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10.xml"/>
  <Override ContentType="application/vnd.openxmlformats-officedocument.spreadsheetml.externalLink+xml" PartName="/xl/externalLinks/externalLink11.xml"/>
  <Override ContentType="application/vnd.openxmlformats-officedocument.spreadsheetml.externalLink+xml" PartName="/xl/externalLinks/externalLink12.xml"/>
  <Override ContentType="application/vnd.openxmlformats-officedocument.spreadsheetml.externalLink+xml" PartName="/xl/externalLinks/externalLink13.xml"/>
  <Override ContentType="application/vnd.openxmlformats-officedocument.spreadsheetml.externalLink+xml" PartName="/xl/externalLinks/externalLink14.xml"/>
  <Override ContentType="application/vnd.openxmlformats-officedocument.spreadsheetml.externalLink+xml" PartName="/xl/externalLinks/externalLink15.xml"/>
  <Override ContentType="application/vnd.openxmlformats-officedocument.spreadsheetml.externalLink+xml" PartName="/xl/externalLinks/externalLink16.xml"/>
  <Override ContentType="application/vnd.openxmlformats-officedocument.spreadsheetml.externalLink+xml" PartName="/xl/externalLinks/externalLink17.xml"/>
  <Override ContentType="application/vnd.openxmlformats-officedocument.spreadsheetml.externalLink+xml" PartName="/xl/externalLinks/externalLink18.xml"/>
  <Override ContentType="application/vnd.openxmlformats-officedocument.spreadsheetml.externalLink+xml" PartName="/xl/externalLinks/externalLink19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20.xml"/>
  <Override ContentType="application/vnd.openxmlformats-officedocument.spreadsheetml.externalLink+xml" PartName="/xl/externalLinks/externalLink21.xml"/>
  <Override ContentType="application/vnd.openxmlformats-officedocument.spreadsheetml.externalLink+xml" PartName="/xl/externalLinks/externalLink22.xml"/>
  <Override ContentType="application/vnd.openxmlformats-officedocument.spreadsheetml.externalLink+xml" PartName="/xl/externalLinks/externalLink23.xml"/>
  <Override ContentType="application/vnd.openxmlformats-officedocument.spreadsheetml.externalLink+xml" PartName="/xl/externalLinks/externalLink24.xml"/>
  <Override ContentType="application/vnd.openxmlformats-officedocument.spreadsheetml.externalLink+xml" PartName="/xl/externalLinks/externalLink25.xml"/>
  <Override ContentType="application/vnd.openxmlformats-officedocument.spreadsheetml.externalLink+xml" PartName="/xl/externalLinks/externalLink26.xml"/>
  <Override ContentType="application/vnd.openxmlformats-officedocument.spreadsheetml.externalLink+xml" PartName="/xl/externalLinks/externalLink27.xml"/>
  <Override ContentType="application/vnd.openxmlformats-officedocument.spreadsheetml.externalLink+xml" PartName="/xl/externalLinks/externalLink28.xml"/>
  <Override ContentType="application/vnd.openxmlformats-officedocument.spreadsheetml.externalLink+xml" PartName="/xl/externalLinks/externalLink29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30.xml"/>
  <Override ContentType="application/vnd.openxmlformats-officedocument.spreadsheetml.externalLink+xml" PartName="/xl/externalLinks/externalLink31.xml"/>
  <Override ContentType="application/vnd.openxmlformats-officedocument.spreadsheetml.externalLink+xml" PartName="/xl/externalLinks/externalLink32.xml"/>
  <Override ContentType="application/vnd.openxmlformats-officedocument.spreadsheetml.externalLink+xml" PartName="/xl/externalLinks/externalLink33.xml"/>
  <Override ContentType="application/vnd.openxmlformats-officedocument.spreadsheetml.externalLink+xml" PartName="/xl/externalLinks/externalLink34.xml"/>
  <Override ContentType="application/vnd.openxmlformats-officedocument.spreadsheetml.externalLink+xml" PartName="/xl/externalLinks/externalLink35.xml"/>
  <Override ContentType="application/vnd.openxmlformats-officedocument.spreadsheetml.externalLink+xml" PartName="/xl/externalLinks/externalLink36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autoCompressPictures="0"/>
  <bookViews>
    <workbookView xWindow="0" yWindow="225" windowWidth="18960" windowHeight="11400" tabRatio="763"/>
  </bookViews>
  <sheets>
    <sheet name="ImportantDisclosures" sheetId="47" r:id="rId1"/>
    <sheet name="XLRN - IS" sheetId="1" r:id="rId2"/>
    <sheet name="MW-Cache" sheetId="38" state="veryHidden" r:id="rId3"/>
    <sheet name="XLRN - BS" sheetId="3" r:id="rId4"/>
    <sheet name="XLRN - CFS" sheetId="4" r:id="rId5"/>
    <sheet name="Valuation" sheetId="26" r:id="rId6"/>
    <sheet name="SOP" sheetId="43" r:id="rId7"/>
    <sheet name="Royalties" sheetId="42" r:id="rId8"/>
    <sheet name="Indication - Drug Models --&gt;" sheetId="31" r:id="rId9"/>
    <sheet name="MDS Revs" sheetId="34" r:id="rId10"/>
    <sheet name="MDS Epi" sheetId="11" r:id="rId11"/>
    <sheet name="B-Thal" sheetId="9" r:id="rId12"/>
    <sheet name="IndexInformation" sheetId="48" r:id="rId13"/>
    <sheet name="ModPubIndex" sheetId="49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</externalReferences>
  <definedNames>
    <definedName name="__DAT1">'[1]CVS DCF'!$A$9:$F$15</definedName>
    <definedName name="__DAT2">'[1]CVS DCF'!$A$19:$F$25</definedName>
    <definedName name="__DAT3">'[1]CVS DCF'!$A$29:$F$35</definedName>
    <definedName name="__DAT4">'[1]CVS DCF'!$H$9:$M$15</definedName>
    <definedName name="__DAT5">'[1]CVS DCF'!$H$19:$M$25</definedName>
    <definedName name="__DAT6">'[1]CVS DCF'!$H$29:$M$35</definedName>
    <definedName name="__DAT7">'[1]CVS DCF'!$A$39:$F$45</definedName>
    <definedName name="__DAT8">'[1]CVS DCF'!$H$39:$M$45</definedName>
    <definedName name="__FDS_HYPERLINK_TOGGLE_STATE__" hidden="1">"ON"</definedName>
    <definedName name="__FYE2">'[1]CVS DCF'!$D$13</definedName>
    <definedName name="__rev1">[2]Sheet1!$A$8:$G$103</definedName>
    <definedName name="__rev2">[2]Sheet1!$A$105:$G$155</definedName>
    <definedName name="__rev3">[2]Sheet1!$A$157:$G$197</definedName>
    <definedName name="__val1">'[3]ABS Annual'!$A$2:$X$100</definedName>
    <definedName name="__val2">'[3]ABS Annual'!$S$2:$X$100</definedName>
    <definedName name="__val3">'[3]ABS Annual'!$A$102:$R$163</definedName>
    <definedName name="_15_0000_0" localSheetId="9">AcqIS:'[1]CVS DCF'!$A$47:$N$48</definedName>
    <definedName name="_15_0000_0" localSheetId="7">AcqIS:'[1]CVS DCF'!$A$47:$N$48</definedName>
    <definedName name="_15_0000_0" localSheetId="6">AcqIS:'[1]CVS DCF'!$A$47:$N$48</definedName>
    <definedName name="_15_0000_0">AcqIS:'[1]CVS DCF'!$A$47:$N$48</definedName>
    <definedName name="_9_0000_0" localSheetId="9">AcqIS:'[1]CVS DCF'!$A$47:$N$48</definedName>
    <definedName name="_9_0000_0" localSheetId="7">AcqIS:'[1]CVS DCF'!$A$47:$N$48</definedName>
    <definedName name="_9_0000_0" localSheetId="6">AcqIS:'[1]CVS DCF'!$A$47:$N$48</definedName>
    <definedName name="_9_0000_0">AcqIS:'[1]CVS DCF'!$A$47:$N$48</definedName>
    <definedName name="_DAT1">'[1]CVS DCF'!$A$9:$F$15</definedName>
    <definedName name="_DAT2">'[1]CVS DCF'!$A$19:$F$25</definedName>
    <definedName name="_DAT3">'[1]CVS DCF'!$A$29:$F$35</definedName>
    <definedName name="_DAT4">'[1]CVS DCF'!$H$9:$M$15</definedName>
    <definedName name="_DAT5">'[1]CVS DCF'!$H$19:$M$25</definedName>
    <definedName name="_DAT6">'[1]CVS DCF'!$H$29:$M$35</definedName>
    <definedName name="_DAT7">'[1]CVS DCF'!$A$39:$F$45</definedName>
    <definedName name="_DAT8">'[1]CVS DCF'!$H$39:$M$45</definedName>
    <definedName name="_FYE2">'[1]CVS DCF'!$D$13</definedName>
    <definedName name="_rev1">[2]Sheet1!$A$8:$G$103</definedName>
    <definedName name="_rev2">[2]Sheet1!$A$105:$G$155</definedName>
    <definedName name="_rev3">[2]Sheet1!$A$157:$G$197</definedName>
    <definedName name="_val1">'[3]ABS Annual'!$A$2:$X$100</definedName>
    <definedName name="_val2">'[3]ABS Annual'!$S$2:$X$100</definedName>
    <definedName name="_val3">'[3]ABS Annual'!$A$102:$R$163</definedName>
    <definedName name="aassas" hidden="1">{"PR1","pr1",TRUE,"Sch PR-1"}</definedName>
    <definedName name="AboutCompGraph" localSheetId="9">[4]Disclaimers!AboutCompGraph</definedName>
    <definedName name="AboutCompGraph" localSheetId="7">[4]Disclaimers!AboutCompGraph</definedName>
    <definedName name="AboutCompGraph" localSheetId="6">[4]Disclaimers!AboutCompGraph</definedName>
    <definedName name="AboutCompGraph">[4]Disclaimers!AboutCompGraph</definedName>
    <definedName name="Accounts_Receivables">[5]Yields!A$65</definedName>
    <definedName name="acqstrat">'[1]CVS DCF'!$C$33</definedName>
    <definedName name="adasdasdasdasd" hidden="1">{"PR1","pr1",TRUE,"Sch PR-1"}</definedName>
    <definedName name="AdditionalInstructions">IndexInformation!$B$42</definedName>
    <definedName name="Address" localSheetId="0">ImportantDisclosures!$A$2:$A$2</definedName>
    <definedName name="Adjusted_Net_Operating_Profit">[6]NOPAT_VDF!$C$26:$AU$26</definedName>
    <definedName name="ADRX_1">[7]IMS!$A$3:$BP$89</definedName>
    <definedName name="ADRX_2">[7]IMS!$A$90:$BP$127</definedName>
    <definedName name="ADRX_3">[7]IMS!$A$128:$BP$229</definedName>
    <definedName name="af">'[1]CVS DCF'!$J$2</definedName>
    <definedName name="AGN_1">[8]IMS!$A$3:$BP$90</definedName>
    <definedName name="AGN_2">[8]IMS!$A$91:$BP$172</definedName>
    <definedName name="AGN_3">[8]IMS!$A$173:$BP$239</definedName>
    <definedName name="AGN_4">[8]IMS!$A$240:$BP$283</definedName>
    <definedName name="agtech">'[1]CVS DCF'!$B$20</definedName>
    <definedName name="AHC_CAPEX">[9]BalanceSheet!$A$75:$IV$75</definedName>
    <definedName name="AHC_CAPEX_2004">[9]BalanceSheet!$S$75</definedName>
    <definedName name="AHC_CAPEX_2005">[9]BalanceSheet!$T$75</definedName>
    <definedName name="AHC_CAPEX_2006">[9]BalanceSheet!$U$75</definedName>
    <definedName name="AHC_CAPEX_2007">[9]BalanceSheet!$V$75</definedName>
    <definedName name="AHC_CAPEX_Chems">[9]BalanceSheet!$A$82:$IV$82</definedName>
    <definedName name="AHC_CAPEX_EP">[9]BalanceSheet!$A$76:$IV$76</definedName>
    <definedName name="AHC_CAPEX_EP_2004">[9]BalanceSheet!$S$76</definedName>
    <definedName name="AHC_CAPEX_EP_2005">[9]BalanceSheet!$T$76</definedName>
    <definedName name="AHC_CAPEX_EP_2006">[9]BalanceSheet!$U$76</definedName>
    <definedName name="AHC_CAPEX_EP_2007">[9]BalanceSheet!$V$76</definedName>
    <definedName name="AHC_CAPEX_Other">[9]BalanceSheet!$A$85:$IV$85</definedName>
    <definedName name="AHC_CAPEX_Other_2004">[9]BalanceSheet!$S$85</definedName>
    <definedName name="AHC_CAPEX_Other_2005">[9]BalanceSheet!$T$85</definedName>
    <definedName name="AHC_CAPEX_Other_2006">[9]BalanceSheet!$U$85</definedName>
    <definedName name="AHC_CAPEX_Other_2007">[9]BalanceSheet!$V$85</definedName>
    <definedName name="AHC_CAPEX_RM">[9]BalanceSheet!$A$79:$IV$79</definedName>
    <definedName name="AHC_CAPEX_RM_2004">[9]BalanceSheet!$S$79</definedName>
    <definedName name="AHC_CAPEX_RM_2005">[9]BalanceSheet!$T$79</definedName>
    <definedName name="AHC_CAPEX_RM_2006">[9]BalanceSheet!$U$79</definedName>
    <definedName name="AHC_CAPEX_RM_2007">[9]BalanceSheet!$V$79</definedName>
    <definedName name="Allergan_Inc.">[10]RPCWORK!$A$29:$D$92</definedName>
    <definedName name="ALO_1">[11]IMS!$A$3:$BM$87</definedName>
    <definedName name="ALO_2">[11]IMS!$A$88:$BM$132</definedName>
    <definedName name="ANA" localSheetId="13">ModPubIndex!$A$7</definedName>
    <definedName name="AnnotateClearSet">[2]Sheet1!$AF$7</definedName>
    <definedName name="AnnotateNoteClear">[2]Sheet1!$G$3</definedName>
    <definedName name="AnnotateNoteReturn">[2]Sheet1!$F$3</definedName>
    <definedName name="AnnotateNoteSet">[2]Sheet1!$AE$7</definedName>
    <definedName name="APPX_1">[12]IMS!$A$3:$BI$74</definedName>
    <definedName name="APPX_2">[12]IMS!$A$76:$BI$103</definedName>
    <definedName name="Aqu">'[1]CVS DCF'!$Q$7</definedName>
    <definedName name="AS2DocOpenMode" hidden="1">"AS2DocumentEdit"</definedName>
    <definedName name="asasasasas" hidden="1">{"PR1","pr1",TRUE,"Sch PR-1"}</definedName>
    <definedName name="assasdafsda" hidden="1">{"PR1","pr1",TRUE,"Sch PR-1"}</definedName>
    <definedName name="Authors" localSheetId="0">ImportantDisclosures!$A$7</definedName>
    <definedName name="Authors" localSheetId="12">IndexInformation!$B$18</definedName>
    <definedName name="Average_invested_capital">'[6]Invested capital_VDF'!$C$89:$AZ$89</definedName>
    <definedName name="Average_invested_capital_DCF">[6]DCF_VDF!$C$78:$AZ$78</definedName>
    <definedName name="AxesFormat" localSheetId="9">[4]Disclaimers!AxesFormat</definedName>
    <definedName name="AxesFormat" localSheetId="7">[4]Disclaimers!AxesFormat</definedName>
    <definedName name="AxesFormat" localSheetId="6">[4]Disclaimers!AxesFormat</definedName>
    <definedName name="AxesFormat">[4]Disclaimers!AxesFormat</definedName>
    <definedName name="BackFromCompanySelector" localSheetId="9">[4]Disclaimers!BackFromCompanySelector</definedName>
    <definedName name="BackFromCompanySelector" localSheetId="7">[4]Disclaimers!BackFromCompanySelector</definedName>
    <definedName name="BackFromCompanySelector" localSheetId="6">[4]Disclaimers!BackFromCompanySelector</definedName>
    <definedName name="BackFromCompanySelector">[4]Disclaimers!BackFromCompanySelector</definedName>
    <definedName name="BackFromItemSelect" localSheetId="9">[4]Disclaimers!BackFromItemSelect</definedName>
    <definedName name="BackFromItemSelect" localSheetId="7">[4]Disclaimers!BackFromItemSelect</definedName>
    <definedName name="BackFromItemSelect" localSheetId="6">[4]Disclaimers!BackFromItemSelect</definedName>
    <definedName name="BackFromItemSelect">[4]Disclaimers!BackFromItemSelect</definedName>
    <definedName name="Balance_Sheet">[5]Yields!$A$60:$A$104</definedName>
    <definedName name="bass">'[1]CVS DCF'!$X$16</definedName>
    <definedName name="bDown" localSheetId="9">[4]Disclaimers!bDown</definedName>
    <definedName name="bDown" localSheetId="7">[4]Disclaimers!bDown</definedName>
    <definedName name="bDown" localSheetId="6">[4]Disclaimers!bDown</definedName>
    <definedName name="bDown">[4]Disclaimers!bDown</definedName>
    <definedName name="BeginDateSet">[2]Sheet1!$AJ$6</definedName>
    <definedName name="BeginReturn">[2]Sheet1!$Q$4:$S$4</definedName>
    <definedName name="Benicar">[13]Benicar!$A$6:$W$140</definedName>
    <definedName name="BlackWhiteSet">[2]Sheet1!$AF$1</definedName>
    <definedName name="bLeft" localSheetId="9">[4]Disclaimers!bLeft</definedName>
    <definedName name="bLeft" localSheetId="7">[4]Disclaimers!bLeft</definedName>
    <definedName name="bLeft" localSheetId="6">[4]Disclaimers!bLeft</definedName>
    <definedName name="bLeft">[4]Disclaimers!bLeft</definedName>
    <definedName name="bRight" localSheetId="9">[4]Disclaimers!bRight</definedName>
    <definedName name="bRight" localSheetId="7">[4]Disclaimers!bRight</definedName>
    <definedName name="bRight" localSheetId="6">[4]Disclaimers!bRight</definedName>
    <definedName name="bRight">[4]Disclaimers!bRight</definedName>
    <definedName name="BRL_1">[14]IMS!$A$4:$BO$74</definedName>
    <definedName name="BRL_2">[14]IMS!$A$75:$BO$138</definedName>
    <definedName name="BRL_3">[14]IMS!$A$139:$BO$223</definedName>
    <definedName name="BRL_4">[14]IMS!$A$224:$BO$305</definedName>
    <definedName name="BRL_5">[14]IMS!$A$309:$BO$397</definedName>
    <definedName name="BRO" localSheetId="13">ModPubIndex!$A$1</definedName>
    <definedName name="bUp" localSheetId="9">[4]Disclaimers!bUp</definedName>
    <definedName name="bUp" localSheetId="7">[4]Disclaimers!bUp</definedName>
    <definedName name="bUp" localSheetId="6">[4]Disclaimers!bUp</definedName>
    <definedName name="bUp">[4]Disclaimers!bUp</definedName>
    <definedName name="cal00_rev">[5]Yields!$AL$15</definedName>
    <definedName name="cal95_eps">[5]Yields!O40</definedName>
    <definedName name="cal95_rev">[5]Yields!O15</definedName>
    <definedName name="cal96_eps">[5]Yields!$J$4</definedName>
    <definedName name="cal96_rev">[5]Yields!$J$3</definedName>
    <definedName name="cal97_eps">[5]Yields!$K$4</definedName>
    <definedName name="cal97_rev">[5]Yields!$K$3</definedName>
    <definedName name="cal98_eps">[5]Yields!$L$4</definedName>
    <definedName name="cal98_rev">[5]Yields!$L$3</definedName>
    <definedName name="cal99_eps">[5]Yields!$U$4</definedName>
    <definedName name="cal99_rev">[5]Yields!$U$3</definedName>
    <definedName name="capgain">'[1]CVS DCF'!$F$20</definedName>
    <definedName name="Cash_and_Equivalents">[5]Yields!A$64</definedName>
    <definedName name="Cash_DCF">[6]DCF_VDF!$C$33:$AZ$33</definedName>
    <definedName name="Cash_Operating_Taxes">[6]NOPAT_VDF!$C$39:$AU$39</definedName>
    <definedName name="Celexa">[13]Celexa!$A$6:$V$139</definedName>
    <definedName name="CF_BOE_1998">'[9]E&amp;P'!$J$379</definedName>
    <definedName name="CF_BOE_1999">'[9]E&amp;P'!$K$379</definedName>
    <definedName name="CF_BOE_2000">'[9]E&amp;P'!$L$379</definedName>
    <definedName name="CF_BOE_2001">'[9]E&amp;P'!$M$379</definedName>
    <definedName name="CF_BOE_2002">'[9]E&amp;P'!$N$379</definedName>
    <definedName name="CF_BOE_2003">'[9]E&amp;P'!$O$379</definedName>
    <definedName name="CF_BOE_2004">'[9]E&amp;P'!$P$379</definedName>
    <definedName name="CF_BOE_2005">'[9]E&amp;P'!$Q$379</definedName>
    <definedName name="CF_BOE_2006">'[9]E&amp;P'!$R$379</definedName>
    <definedName name="CF_BOE_2007">'[9]E&amp;P'!$S$379</definedName>
    <definedName name="CF_BOE_2008">'[9]E&amp;P'!$T$379</definedName>
    <definedName name="ChangeSize" localSheetId="9">[4]Disclaimers!ChangeSize</definedName>
    <definedName name="ChangeSize" localSheetId="7">[4]Disclaimers!ChangeSize</definedName>
    <definedName name="ChangeSize" localSheetId="6">[4]Disclaimers!ChangeSize</definedName>
    <definedName name="ChangeSize">[4]Disclaimers!ChangeSize</definedName>
    <definedName name="ChartOptions" localSheetId="9">[4]Disclaimers!ChartOptions</definedName>
    <definedName name="ChartOptions" localSheetId="7">[4]Disclaimers!ChartOptions</definedName>
    <definedName name="ChartOptions" localSheetId="6">[4]Disclaimers!ChartOptions</definedName>
    <definedName name="ChartOptions">[4]Disclaimers!ChartOptions</definedName>
    <definedName name="ChartType">[2]Sheet1!$F$5</definedName>
    <definedName name="ChartTypeChange" localSheetId="9">[4]Disclaimers!ChartTypeChange</definedName>
    <definedName name="ChartTypeChange" localSheetId="7">[4]Disclaimers!ChartTypeChange</definedName>
    <definedName name="ChartTypeChange" localSheetId="6">[4]Disclaimers!ChartTypeChange</definedName>
    <definedName name="ChartTypeChange">[4]Disclaimers!ChartTypeChange</definedName>
    <definedName name="ClearCompList" localSheetId="9">[4]Disclaimers!ClearCompList</definedName>
    <definedName name="ClearCompList" localSheetId="7">[4]Disclaimers!ClearCompList</definedName>
    <definedName name="ClearCompList" localSheetId="6">[4]Disclaimers!ClearCompList</definedName>
    <definedName name="ClearCompList">[4]Disclaimers!ClearCompList</definedName>
    <definedName name="ClipBoardRange">[2]Sheet1!$C$19:$O$33</definedName>
    <definedName name="COGS">[5]Yields!A$11</definedName>
    <definedName name="ColorNoteReturn">[2]Sheet1!$H$9</definedName>
    <definedName name="ColorNoteSet">[2]Sheet1!$AE$1</definedName>
    <definedName name="combo">[5]Yields!$A$2:$A$59</definedName>
    <definedName name="company">'[1]CVS DCF'!$A$12:$V$69</definedName>
    <definedName name="Company1">[2]Sheet1!$X$22:$X$275</definedName>
    <definedName name="Company2">[2]Sheet1!$Y$22:$Y$275</definedName>
    <definedName name="Company3">[2]Sheet1!$Z$22:$Z$275</definedName>
    <definedName name="Company4">[2]Sheet1!$AA$22:$AA$276</definedName>
    <definedName name="CompanyChangeSize" localSheetId="9">[4]Disclaimers!CompanyChangeSize</definedName>
    <definedName name="CompanyChangeSize" localSheetId="7">[4]Disclaimers!CompanyChangeSize</definedName>
    <definedName name="CompanyChangeSize" localSheetId="6">[4]Disclaimers!CompanyChangeSize</definedName>
    <definedName name="CompanyChangeSize">[4]Disclaimers!CompanyChangeSize</definedName>
    <definedName name="CompanyLookup" localSheetId="9">[4]Disclaimers!CompanyLookup</definedName>
    <definedName name="CompanyLookup" localSheetId="7">[4]Disclaimers!CompanyLookup</definedName>
    <definedName name="CompanyLookup" localSheetId="6">[4]Disclaimers!CompanyLookup</definedName>
    <definedName name="CompanyLookup">[4]Disclaimers!CompanyLookup</definedName>
    <definedName name="CompanyName4">'[1]CVS DCF'!$AC$6</definedName>
    <definedName name="CompanyTicker4">'[1]CVS DCF'!$AB$6</definedName>
    <definedName name="CompgraphHelp" localSheetId="9">[4]Disclaimers!CompgraphHelp</definedName>
    <definedName name="CompgraphHelp" localSheetId="7">[4]Disclaimers!CompgraphHelp</definedName>
    <definedName name="CompgraphHelp" localSheetId="6">[4]Disclaimers!CompgraphHelp</definedName>
    <definedName name="CompgraphHelp">[4]Disclaimers!CompgraphHelp</definedName>
    <definedName name="complookup" localSheetId="9">[4]Disclaimers!complookup</definedName>
    <definedName name="complookup" localSheetId="7">[4]Disclaimers!complookup</definedName>
    <definedName name="complookup" localSheetId="6">[4]Disclaimers!complookup</definedName>
    <definedName name="complookup">[4]Disclaimers!complookup</definedName>
    <definedName name="CompositeBuilder" localSheetId="9">[4]Disclaimers!CompositeBuilder</definedName>
    <definedName name="CompositeBuilder" localSheetId="7">[4]Disclaimers!CompositeBuilder</definedName>
    <definedName name="CompositeBuilder" localSheetId="6">[4]Disclaimers!CompositeBuilder</definedName>
    <definedName name="CompositeBuilder">[4]Disclaimers!CompositeBuilder</definedName>
    <definedName name="comps">'[3]ABS Annual'!$A$139:$M$155</definedName>
    <definedName name="comps2">'[3]ABS Annual'!$A$104:$D$124</definedName>
    <definedName name="COP_BS_EP_2004">[15]BalanceSheet!$Q$68</definedName>
    <definedName name="COP_BS_EP_2005">[15]BalanceSheet!$R$68</definedName>
    <definedName name="COP_BS_EP_2006">[15]BalanceSheet!$S$68</definedName>
    <definedName name="CopyrightStamp">ImportantDisclosures!$A$27</definedName>
    <definedName name="CoSelectorOutputs" localSheetId="9">[4]Disclaimers!CoSelectorOutputs</definedName>
    <definedName name="CoSelectorOutputs" localSheetId="7">[4]Disclaimers!CoSelectorOutputs</definedName>
    <definedName name="CoSelectorOutputs" localSheetId="6">[4]Disclaimers!CoSelectorOutputs</definedName>
    <definedName name="CoSelectorOutputs">[4]Disclaimers!CoSelectorOutputs</definedName>
    <definedName name="COU" localSheetId="13">ModPubIndex!$A$5</definedName>
    <definedName name="CQEnd" localSheetId="12">IndexInformation!$B$31</definedName>
    <definedName name="Currency" localSheetId="12">IndexInformation!$B$24</definedName>
    <definedName name="currency">'[1]CVS DCF'!$C$23</definedName>
    <definedName name="CurrentStockPrice" localSheetId="12">IndexInformation!$B$23</definedName>
    <definedName name="CurrQtrEPS" localSheetId="12">IndexInformation!$B$29</definedName>
    <definedName name="CurrYearEPS" localSheetId="12">IndexInformation!$B$11</definedName>
    <definedName name="CurrYearTotalRevenue" localSheetId="12">IndexInformation!$B$10</definedName>
    <definedName name="CurrYearTotalRevenueActual" localSheetId="12">IndexInformation!$B$32</definedName>
    <definedName name="CursorSet">[2]Sheet1!$A$15</definedName>
    <definedName name="CUSIP" localSheetId="12">IndexInformation!$B$20</definedName>
    <definedName name="Cust_Seats_Per_Month">[16]SensitivityA!$B$15</definedName>
    <definedName name="CustomChart" localSheetId="9">[4]Disclaimers!CustomChart</definedName>
    <definedName name="CustomChart" localSheetId="7">[4]Disclaimers!CustomChart</definedName>
    <definedName name="CustomChart" localSheetId="6">[4]Disclaimers!CustomChart</definedName>
    <definedName name="CustomChart">[4]Disclaimers!CustomChart</definedName>
    <definedName name="CYEnd" localSheetId="12">IndexInformation!$B$30</definedName>
    <definedName name="DAN">[17]APCCMP!$A$2:$W$72</definedName>
    <definedName name="Dan_Case">'[1]CVS DCF'!$I$28</definedName>
    <definedName name="data">'[1]CVS DCF'!$BM$233:$DA$266</definedName>
    <definedName name="DataOptions">[2]Sheet1!$V$1</definedName>
    <definedName name="Date" localSheetId="0">ImportantDisclosures!$A$8</definedName>
    <definedName name="DateChange">[2]Sheet1!$Q$3</definedName>
    <definedName name="DateColumn">[2]Sheet1!$W$22:$W$275</definedName>
    <definedName name="DateReturn">[2]Sheet1!$S$3</definedName>
    <definedName name="dates">[18]Formula!$B$2:$B$25</definedName>
    <definedName name="DateSet">[2]Sheet1!$AJ$1</definedName>
    <definedName name="DCF">'[19]CVS DFC'!$A$1:$L$49</definedName>
    <definedName name="DCF_EY1">[6]DCF_VDF!$D$1:$D$65536</definedName>
    <definedName name="DCF_EY10">[6]DCF_VDF!$M$1:$M$65536</definedName>
    <definedName name="DCF_EY14">[6]DCF_VDF!$Q$1:$Q$65536</definedName>
    <definedName name="DCF_EY15">[6]DCF_VDF!$R$1:$R$65536</definedName>
    <definedName name="DCF_EY2">[6]DCF_VDF!$E$1:$E$65536</definedName>
    <definedName name="DCF_EY24">[6]DCF_VDF!$AA$1:$AA$65536</definedName>
    <definedName name="DCF_EY25">[6]DCF_VDF!$AB$1:$AB$65536</definedName>
    <definedName name="DCF_EY3">[6]DCF_VDF!$F$1:$F$65536</definedName>
    <definedName name="DCF_EY4">[6]DCF_VDF!$G$1:$G$65536</definedName>
    <definedName name="DCF_EY5">[6]DCF_VDF!$H$1:$H$65536</definedName>
    <definedName name="DCF_EY9">[6]DCF_VDF!$L$1:$L$65536</definedName>
    <definedName name="DCF_P">[6]DCF_VDF!$C$1:$C$65536</definedName>
    <definedName name="dDownEnd">[2]Sheet1!$N$9</definedName>
    <definedName name="ddownNames">[2]Sheet1!$L$3:$O$10</definedName>
    <definedName name="DDownStart">[2]Sheet1!$K$3</definedName>
    <definedName name="Debt_growth">[6]NOPAT_VDF!$M$153:$Q$153</definedName>
    <definedName name="Deleted" localSheetId="12">IndexInformation!$B$27</definedName>
    <definedName name="Dep_and_Amort">[6]NOPAT_VDF!$C$100:$AU$100</definedName>
    <definedName name="Depreciation">[6]NOPAT_VDF!$C$104:$AE$104</definedName>
    <definedName name="Description" localSheetId="12">IndexInformation!$B$7</definedName>
    <definedName name="Detail1">[20]Financial!$A$141:$K$174</definedName>
    <definedName name="Discipline" localSheetId="12">IndexInformation!$B$3</definedName>
    <definedName name="DISCIPLINE" localSheetId="13">ModPubIndex!$A$12</definedName>
    <definedName name="DisclosuresText">ImportantDisclosures!$A$22</definedName>
    <definedName name="DismissItemDlog" localSheetId="9">[4]Disclaimers!DismissItemDlog</definedName>
    <definedName name="DismissItemDlog" localSheetId="7">[4]Disclaimers!DismissItemDlog</definedName>
    <definedName name="DismissItemDlog" localSheetId="6">[4]Disclaimers!DismissItemDlog</definedName>
    <definedName name="DismissItemDlog">[4]Disclaimers!DismissItemDlog</definedName>
    <definedName name="Distribution" localSheetId="12">IndexInformation!$B$26</definedName>
    <definedName name="DistTable" localSheetId="0">ImportantDisclosures!#REF!</definedName>
    <definedName name="DistTablePreamble" localSheetId="0">ImportantDisclosures!#REF!</definedName>
    <definedName name="DOCDAT" localSheetId="13">ModPubIndex!$A$2</definedName>
    <definedName name="DOCTIME" localSheetId="13">ModPubIndex!$A$3</definedName>
    <definedName name="DocType" localSheetId="12">IndexInformation!$B$5</definedName>
    <definedName name="dol">'[1]CVS DCF'!$A$3</definedName>
    <definedName name="EBIT">[6]NOPAT_VDF!$C$17:$AZ$17</definedName>
    <definedName name="EBIT_margin">[6]NOPAT_VDF!$C$111:$AU$111</definedName>
    <definedName name="EBITA">[6]NOPAT_VDF!$C$101:$AZ$101</definedName>
    <definedName name="EBITDA">[6]NOPAT_VDF!$C$102:$AE$102</definedName>
    <definedName name="EBITDA_DCF">[6]DCF_VDF!$C$15:$AZ$15</definedName>
    <definedName name="EBITDA_margin">[6]NOPAT_VDF!$C$109:$AZ$109</definedName>
    <definedName name="editgraph" localSheetId="9">[4]Disclaimers!editgraph</definedName>
    <definedName name="editgraph" localSheetId="7">[4]Disclaimers!editgraph</definedName>
    <definedName name="editgraph" localSheetId="6">[4]Disclaimers!editgraph</definedName>
    <definedName name="editgraph">[4]Disclaimers!editgraph</definedName>
    <definedName name="EditReturn">[2]Sheet1!$B$3</definedName>
    <definedName name="EMAIL_ALERT" localSheetId="13">ModPubIndex!$A$10</definedName>
    <definedName name="EmailAlert" localSheetId="12">IndexInformation!$B$28</definedName>
    <definedName name="enable" localSheetId="9">[4]Disclaimers!enable</definedName>
    <definedName name="enable" localSheetId="7">[4]Disclaimers!enable</definedName>
    <definedName name="enable" localSheetId="6">[4]Disclaimers!enable</definedName>
    <definedName name="enable">[4]Disclaimers!enable</definedName>
    <definedName name="EndDateCell">[2]Sheet1!$F$9</definedName>
    <definedName name="EndDateSet">[2]Sheet1!$AJ$8</definedName>
    <definedName name="EndReturn">[2]Sheet1!$Q$6:$S$6</definedName>
    <definedName name="EPS">[6]NOPAT_VDF!$C$96:$AU$96</definedName>
    <definedName name="Excess_cash">'[6]Invested capital_VDF'!$C$5:$AE$5</definedName>
    <definedName name="ExitCompanySelector" localSheetId="9">[4]Disclaimers!ExitCompanySelector</definedName>
    <definedName name="ExitCompanySelector" localSheetId="7">[4]Disclaimers!ExitCompanySelector</definedName>
    <definedName name="ExitCompanySelector" localSheetId="6">[4]Disclaimers!ExitCompanySelector</definedName>
    <definedName name="ExitCompanySelector">[4]Disclaimers!ExitCompanySelector</definedName>
    <definedName name="ExitFormat" localSheetId="9">[4]Disclaimers!ExitFormat</definedName>
    <definedName name="ExitFormat" localSheetId="7">[4]Disclaimers!ExitFormat</definedName>
    <definedName name="ExitFormat" localSheetId="6">[4]Disclaimers!ExitFormat</definedName>
    <definedName name="ExitFormat">[4]Disclaimers!ExitFormat</definedName>
    <definedName name="ExitItemBuilder" localSheetId="9">[4]Disclaimers!ExitItemBuilder</definedName>
    <definedName name="ExitItemBuilder" localSheetId="7">[4]Disclaimers!ExitItemBuilder</definedName>
    <definedName name="ExitItemBuilder" localSheetId="6">[4]Disclaimers!ExitItemBuilder</definedName>
    <definedName name="ExitItemBuilder">[4]Disclaimers!ExitItemBuilder</definedName>
    <definedName name="exitMainMenu" localSheetId="9">[4]Disclaimers!exitMainMenu</definedName>
    <definedName name="exitMainMenu" localSheetId="7">[4]Disclaimers!exitMainMenu</definedName>
    <definedName name="exitMainMenu" localSheetId="6">[4]Disclaimers!exitMainMenu</definedName>
    <definedName name="exitMainMenu">[4]Disclaimers!exitMainMenu</definedName>
    <definedName name="exitmsg" localSheetId="9">[4]Disclaimers!exitmsg</definedName>
    <definedName name="exitmsg" localSheetId="7">[4]Disclaimers!exitmsg</definedName>
    <definedName name="exitmsg" localSheetId="6">[4]Disclaimers!exitmsg</definedName>
    <definedName name="exitmsg">[4]Disclaimers!exitmsg</definedName>
    <definedName name="ExitReturn">[2]Sheet1!$D$3</definedName>
    <definedName name="Expected_Comp_on_ASP">[16]SensitivityA!$C$15</definedName>
    <definedName name="ExportSpot">[2]Sheet1!$AD$3</definedName>
    <definedName name="exratio4">'[1]CVS DCF'!$G$13</definedName>
    <definedName name="f" hidden="1">{"PR1","pr1",TRUE,"Sch PR-1"}</definedName>
    <definedName name="fasdfs" hidden="1">{#N/A,#N/A,FALSE,"Aging Summary";#N/A,#N/A,FALSE,"Ratio Analysis";#N/A,#N/A,FALSE,"Test 120 Day Accts";#N/A,#N/A,FALSE,"Tickmarks"}</definedName>
    <definedName name="fifteen">'[1]CVS DCF'!$C$7</definedName>
    <definedName name="FirstHalf_99_00">[5]Yields!$C$15:$L$49</definedName>
    <definedName name="FiveYearGrowthRate" localSheetId="12">IndexInformation!$B$16</definedName>
    <definedName name="Fixed_asset_turns">'[6]Invested capital_VDF'!$C$99:$AU$99</definedName>
    <definedName name="Fixed_assets">'[6]Invested capital_VDF'!$C$43:$AE$43</definedName>
    <definedName name="FollowingYearEPS" localSheetId="12">IndexInformation!$B$15</definedName>
    <definedName name="FollowingYearTotalRevenue" localSheetId="12">IndexInformation!$B$14</definedName>
    <definedName name="FollowingYearTotalRevenueActual" localSheetId="12">IndexInformation!$B$34</definedName>
    <definedName name="Footnote3">[2]Sheet1!$AD$8</definedName>
    <definedName name="FormatMod.FormatMaster" localSheetId="9">[4]Disclaimers!FormatMod.FormatMaster</definedName>
    <definedName name="FormatMod.FormatMaster" localSheetId="7">[4]Disclaimers!FormatMod.FormatMaster</definedName>
    <definedName name="FormatMod.FormatMaster" localSheetId="6">[4]Disclaimers!FormatMod.FormatMaster</definedName>
    <definedName name="FormatMod.FormatMaster">[4]Disclaimers!FormatMod.FormatMaster</definedName>
    <definedName name="FreqCell">[2]Sheet1!$F$11</definedName>
    <definedName name="FreqReturn">[2]Sheet1!$Q$8:$S$8</definedName>
    <definedName name="FreqSet">[2]Sheet1!$AJ$10</definedName>
    <definedName name="FRX_1">[13]IMS!$A$3:$BP$81</definedName>
    <definedName name="FRX_2">[13]IMS!$A$82:$BP$185</definedName>
    <definedName name="FRX_3">[13]IMS!$A$186:$BP$268</definedName>
    <definedName name="FRX_4">[13]IMS!$A$249:$CB$282</definedName>
    <definedName name="Fully_Diluted_Shares">[5]Yields!A$46</definedName>
    <definedName name="fy_98">[5]Yields!$AA$43</definedName>
    <definedName name="fy95_rev">[5]Yields!$X$18</definedName>
    <definedName name="fy96_rev">[5]Yields!$Y$18</definedName>
    <definedName name="fy97_rev">[5]Yields!$Z$18</definedName>
    <definedName name="FYE">[21]Trading!$V$35</definedName>
    <definedName name="g">[5]Yields!$C$12:$Z$78</definedName>
    <definedName name="GraphbuildingMod.ChangeTicker" localSheetId="9">[4]Disclaimers!GraphbuildingMod.ChangeTicker</definedName>
    <definedName name="GraphbuildingMod.ChangeTicker" localSheetId="7">[4]Disclaimers!GraphbuildingMod.ChangeTicker</definedName>
    <definedName name="GraphbuildingMod.ChangeTicker" localSheetId="6">[4]Disclaimers!GraphbuildingMod.ChangeTicker</definedName>
    <definedName name="GraphbuildingMod.ChangeTicker">[4]Disclaimers!GraphbuildingMod.ChangeTicker</definedName>
    <definedName name="GraphbuildingMod.editgraph" localSheetId="9">[4]Disclaimers!GraphbuildingMod.editgraph</definedName>
    <definedName name="GraphbuildingMod.editgraph" localSheetId="7">[4]Disclaimers!GraphbuildingMod.editgraph</definedName>
    <definedName name="GraphbuildingMod.editgraph" localSheetId="6">[4]Disclaimers!GraphbuildingMod.editgraph</definedName>
    <definedName name="GraphbuildingMod.editgraph">[4]Disclaimers!GraphbuildingMod.editgraph</definedName>
    <definedName name="GraphbuildingMod.ExportData" localSheetId="9">[4]Disclaimers!GraphbuildingMod.ExportData</definedName>
    <definedName name="GraphbuildingMod.ExportData" localSheetId="7">[4]Disclaimers!GraphbuildingMod.ExportData</definedName>
    <definedName name="GraphbuildingMod.ExportData" localSheetId="6">[4]Disclaimers!GraphbuildingMod.ExportData</definedName>
    <definedName name="GraphbuildingMod.ExportData">[4]Disclaimers!GraphbuildingMod.ExportData</definedName>
    <definedName name="GraphbuildingMod.LayoutSet" localSheetId="9">[4]Disclaimers!GraphbuildingMod.LayoutSet</definedName>
    <definedName name="GraphbuildingMod.LayoutSet" localSheetId="7">[4]Disclaimers!GraphbuildingMod.LayoutSet</definedName>
    <definedName name="GraphbuildingMod.LayoutSet" localSheetId="6">[4]Disclaimers!GraphbuildingMod.LayoutSet</definedName>
    <definedName name="GraphbuildingMod.LayoutSet">[4]Disclaimers!GraphbuildingMod.LayoutSet</definedName>
    <definedName name="GraphbuildingMod.PasteGraph" localSheetId="9">[4]Disclaimers!GraphbuildingMod.PasteGraph</definedName>
    <definedName name="GraphbuildingMod.PasteGraph" localSheetId="7">[4]Disclaimers!GraphbuildingMod.PasteGraph</definedName>
    <definedName name="GraphbuildingMod.PasteGraph" localSheetId="6">[4]Disclaimers!GraphbuildingMod.PasteGraph</definedName>
    <definedName name="GraphbuildingMod.PasteGraph">[4]Disclaimers!GraphbuildingMod.PasteGraph</definedName>
    <definedName name="GraphbuildingMod.PrintPreview" localSheetId="9">[4]Disclaimers!GraphbuildingMod.PrintPreview</definedName>
    <definedName name="GraphbuildingMod.PrintPreview" localSheetId="7">[4]Disclaimers!GraphbuildingMod.PrintPreview</definedName>
    <definedName name="GraphbuildingMod.PrintPreview" localSheetId="6">[4]Disclaimers!GraphbuildingMod.PrintPreview</definedName>
    <definedName name="GraphbuildingMod.PrintPreview">[4]Disclaimers!GraphbuildingMod.PrintPreview</definedName>
    <definedName name="GraphbuildingMod.ShowData" localSheetId="9">[4]Disclaimers!GraphbuildingMod.ShowData</definedName>
    <definedName name="GraphbuildingMod.ShowData" localSheetId="7">[4]Disclaimers!GraphbuildingMod.ShowData</definedName>
    <definedName name="GraphbuildingMod.ShowData" localSheetId="6">[4]Disclaimers!GraphbuildingMod.ShowData</definedName>
    <definedName name="GraphbuildingMod.ShowData">[4]Disclaimers!GraphbuildingMod.ShowData</definedName>
    <definedName name="GraphbuildingMod.ShowGraph" localSheetId="9">[4]Disclaimers!GraphbuildingMod.ShowGraph</definedName>
    <definedName name="GraphbuildingMod.ShowGraph" localSheetId="7">[4]Disclaimers!GraphbuildingMod.ShowGraph</definedName>
    <definedName name="GraphbuildingMod.ShowGraph" localSheetId="6">[4]Disclaimers!GraphbuildingMod.ShowGraph</definedName>
    <definedName name="GraphbuildingMod.ShowGraph">[4]Disclaimers!GraphbuildingMod.ShowGraph</definedName>
    <definedName name="GraphCompBuild" localSheetId="9">[4]Disclaimers!GraphCompBuild</definedName>
    <definedName name="GraphCompBuild" localSheetId="7">[4]Disclaimers!GraphCompBuild</definedName>
    <definedName name="GraphCompBuild" localSheetId="6">[4]Disclaimers!GraphCompBuild</definedName>
    <definedName name="GraphCompBuild">[4]Disclaimers!GraphCompBuild</definedName>
    <definedName name="Graphexitmsg" localSheetId="9">[4]Disclaimers!Graphexitmsg</definedName>
    <definedName name="Graphexitmsg" localSheetId="7">[4]Disclaimers!Graphexitmsg</definedName>
    <definedName name="Graphexitmsg" localSheetId="6">[4]Disclaimers!Graphexitmsg</definedName>
    <definedName name="Graphexitmsg">[4]Disclaimers!Graphexitmsg</definedName>
    <definedName name="GraphIntroMod.exitmsg" localSheetId="9">[4]Disclaimers!GraphIntroMod.exitmsg</definedName>
    <definedName name="GraphIntroMod.exitmsg" localSheetId="7">[4]Disclaimers!GraphIntroMod.exitmsg</definedName>
    <definedName name="GraphIntroMod.exitmsg" localSheetId="6">[4]Disclaimers!GraphIntroMod.exitmsg</definedName>
    <definedName name="GraphIntroMod.exitmsg">[4]Disclaimers!GraphIntroMod.exitmsg</definedName>
    <definedName name="GraphIntroMod.Graphexitmsg" localSheetId="9">[4]Disclaimers!GraphIntroMod.Graphexitmsg</definedName>
    <definedName name="GraphIntroMod.Graphexitmsg" localSheetId="7">[4]Disclaimers!GraphIntroMod.Graphexitmsg</definedName>
    <definedName name="GraphIntroMod.Graphexitmsg" localSheetId="6">[4]Disclaimers!GraphIntroMod.Graphexitmsg</definedName>
    <definedName name="GraphIntroMod.Graphexitmsg">[4]Disclaimers!GraphIntroMod.Graphexitmsg</definedName>
    <definedName name="Graphprint">[2]Sheet1!$B$14:$T$58</definedName>
    <definedName name="GraphStart">[2]Sheet1!$B$1</definedName>
    <definedName name="Gross_income">[6]NOPAT_VDF!$C$10:$AE$10</definedName>
    <definedName name="gun">'[1]CVS DCF'!$F$3</definedName>
    <definedName name="HeaderFormat" localSheetId="9">[4]Disclaimers!HeaderFormat</definedName>
    <definedName name="HeaderFormat" localSheetId="7">[4]Disclaimers!HeaderFormat</definedName>
    <definedName name="HeaderFormat" localSheetId="6">[4]Disclaimers!HeaderFormat</definedName>
    <definedName name="HeaderFormat">[4]Disclaimers!HeaderFormat</definedName>
    <definedName name="hello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HelpTest" localSheetId="9">[4]Disclaimers!HelpTest</definedName>
    <definedName name="HelpTest" localSheetId="7">[4]Disclaimers!HelpTest</definedName>
    <definedName name="HelpTest" localSheetId="6">[4]Disclaimers!HelpTest</definedName>
    <definedName name="HelpTest">[4]Disclaimers!HelpTest</definedName>
    <definedName name="hi" hidden="1">{"FCB_ALL",#N/A,FALSE,"FCB";"GREY_ALL",#N/A,FALSE,"GREY"}</definedName>
    <definedName name="Hidden_Sheet">[17]ADK!$A$2:$AW$27</definedName>
    <definedName name="HistoDecimalSet">[2]Sheet1!$A$5</definedName>
    <definedName name="HL" localSheetId="13">ModPubIndex!$A$8</definedName>
    <definedName name="HTML_CodePage" hidden="1">1252</definedName>
    <definedName name="HTML_Control" hidden="1">{"'Directory'!$A$72:$E$91"}</definedName>
    <definedName name="HTML_Description" hidden="1">""</definedName>
    <definedName name="HTML_Email" hidden="1">""</definedName>
    <definedName name="HTML_Header" hidden="1">"Income-Adj"</definedName>
    <definedName name="HTML_LastUpdate" hidden="1">"9/1/99"</definedName>
    <definedName name="HTML_LineAfter" hidden="1">FALSE</definedName>
    <definedName name="HTML_LineBefore" hidden="1">FALSE</definedName>
    <definedName name="HTML_Name" hidden="1">"Neo"</definedName>
    <definedName name="HTML_OBDlg2" hidden="1">TRUE</definedName>
    <definedName name="HTML_OBDlg4" hidden="1">TRUE</definedName>
    <definedName name="HTML_OS" hidden="1">0</definedName>
    <definedName name="HTML_PathFile" hidden="1">"E:\statements-2.0\from_excel.htm"</definedName>
    <definedName name="HTML_Title" hidden="1">"Histo_Statements"</definedName>
    <definedName name="IC_1">'[6]Invested capital_VDF'!$P$1:$P$65536</definedName>
    <definedName name="IC_2">'[6]Invested capital_VDF'!$O$1:$O$65536</definedName>
    <definedName name="IC_P">'[6]Invested capital_VDF'!$Q$1:$Q$65536</definedName>
    <definedName name="IC_P1">'[6]Invested capital_VDF'!$R$1:$R$65536</definedName>
    <definedName name="IC_P2">'[6]Invested capital_VDF'!$S$1:$S$65536</definedName>
    <definedName name="IC_P3">'[6]Invested capital_VDF'!$T$1:$T$65536</definedName>
    <definedName name="Img_ML_2b2b8h8h" hidden="1">"IMG_11"</definedName>
    <definedName name="Img_ML_3c7g1a7g" hidden="1">"IMG_3"</definedName>
    <definedName name="Img_ML_4d2b6f6f" hidden="1">"IMG_11"</definedName>
    <definedName name="Img_ML_5e7g5e5e" hidden="1">"IMG_6"</definedName>
    <definedName name="Img_ML_5h6q3g8u" hidden="1">"IMG_6"</definedName>
    <definedName name="Img_ML_7g5e5e2b" hidden="1">"IMG_3"</definedName>
    <definedName name="Img_ML_7n6h3t1t" hidden="1">"IMG_11"</definedName>
    <definedName name="Img_ML_8h7g4d4d" hidden="1">"IMG_3"</definedName>
    <definedName name="Img_ML_8r1k8t4y" hidden="1">"IMG_11"</definedName>
    <definedName name="Img_Production_Breakdown" hidden="1">"IMG_3"</definedName>
    <definedName name="IN">[5]Yields!$C$3:$O$40</definedName>
    <definedName name="includegildan">'[1]CVS DCF'!$D$4</definedName>
    <definedName name="includeperry">'[1]CVS DCF'!$D$22</definedName>
    <definedName name="Income_equivalents">[6]NOPAT_VDF!$C$30:$AZ$30</definedName>
    <definedName name="Income_from_Unconsolidated_Subs">[6]NOPAT_VDF!$C$48:$AZ$48</definedName>
    <definedName name="Income_State">[5]Yields!$A$2:$A$59</definedName>
    <definedName name="INCOME_STATEMENT">[5]Yields!$A$2:$A$59</definedName>
    <definedName name="Income_tax">[6]NOPAT_VDF!$C$34:$AE$34</definedName>
    <definedName name="INCOME1">[2]Sheet1!$A$1:$S$39</definedName>
    <definedName name="INCOME2">[2]Sheet1!$U$1:$AK$39</definedName>
    <definedName name="INCOME3">[2]Sheet1!$AM$1:$AP$39</definedName>
    <definedName name="Increase_Capitalized_R_D_net">[6]NOPAT_VDF!$C$22:$AZ$22</definedName>
    <definedName name="IncrementCustomNote">[2]Sheet1!$M$6</definedName>
    <definedName name="IncrementCustomSet">[2]Sheet1!$AH$7</definedName>
    <definedName name="IncrementNote">[2]Sheet1!$M$3</definedName>
    <definedName name="IncrementSet">[2]Sheet1!$AH$1</definedName>
    <definedName name="IND" localSheetId="1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fu">'[1]CVS DCF'!$O$15</definedName>
    <definedName name="infus">'[1]CVS DCF'!$I$9</definedName>
    <definedName name="Interest_expense_income">[6]NOPAT_VDF!$C$63:$AE$63</definedName>
    <definedName name="Intl_EP_Depr_2004">'[22]E&amp;P'!$I$588</definedName>
    <definedName name="Intl_EP_NI_2004">'[22]E&amp;P'!$I$597</definedName>
    <definedName name="IntlGasProd_2004">'[22]E&amp;P'!$I$36</definedName>
    <definedName name="IntlOilProd_2004">'[22]E&amp;P'!$I$35</definedName>
    <definedName name="IntlOtherCosts_2004">'[9]E&amp;P'!$P$333</definedName>
    <definedName name="IntlProd_2004">'[22]E&amp;P'!$I$37</definedName>
    <definedName name="IntlProdCosts_2004">'[9]E&amp;P'!$P$331</definedName>
    <definedName name="Invested_capital">'[6]Invested capital_VDF'!$C$87:$AE$87</definedName>
    <definedName name="Invested_capital_DCF">[6]DCF_VDF!$C$77:$AZ$77</definedName>
    <definedName name="Invested_capital_turns">'[6]Invested capital_VDF'!$C$102:$AU$102</definedName>
    <definedName name="Invested_capital_turns_DCF">[6]DCF_VDF!$C$83:$AZ$83</definedName>
    <definedName name="IPXL_1">[23]IMS!$A$3:$BI$94</definedName>
    <definedName name="IPXL_2">[23]IMS!$A$81:$BU$102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39170.5951967593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"iQShowAll"</definedName>
    <definedName name="IVX_1">[24]IVX!$A$3:$BP$88</definedName>
    <definedName name="IVX_2">[24]IVX!$A$89:$BP$170</definedName>
    <definedName name="Ke">[6]WACC_VDF!$D$11</definedName>
    <definedName name="KeepVersions" localSheetId="12">IndexInformation!$B$8</definedName>
    <definedName name="KOSP_1">[25]IMS!$A$3:$BF$84</definedName>
    <definedName name="KOSP_2">[25]IMS!$A$86:$BF$170</definedName>
    <definedName name="LanguageCode">IndexInformation!$B$38</definedName>
    <definedName name="LastCell" localSheetId="0">ImportantDisclosures!$A$22</definedName>
    <definedName name="LastDate">[2]Sheet1!$Z$9</definedName>
    <definedName name="LastListUpdate">0</definedName>
    <definedName name="LaunchFormulaLookup" localSheetId="9">[4]Disclaimers!LaunchFormulaLookup</definedName>
    <definedName name="LaunchFormulaLookup" localSheetId="7">[4]Disclaimers!LaunchFormulaLookup</definedName>
    <definedName name="LaunchFormulaLookup" localSheetId="6">[4]Disclaimers!LaunchFormulaLookup</definedName>
    <definedName name="LaunchFormulaLookup">[4]Disclaimers!LaunchFormulaLookup</definedName>
    <definedName name="Linking_1">Valuation!$B$2:$I$43</definedName>
    <definedName name="Linking_10">'XLRN - BS'!$B$2:$W$39</definedName>
    <definedName name="Linking_11">'XLRN - CFS'!$B$2:$X$46</definedName>
    <definedName name="Linking_12">'XLRN - IS'!$B$2:$AM$53</definedName>
    <definedName name="Linking_3" localSheetId="7">Royalties!$N$81</definedName>
    <definedName name="Linking_3">#N/A</definedName>
    <definedName name="Linking_4">Valuation!$B$2:$I$45</definedName>
    <definedName name="Linking_5">Valuation!$B$2:$I$46</definedName>
    <definedName name="Linking_6">'XLRN - IS'!$B$2:$AM$55</definedName>
    <definedName name="Linking_7">'XLRN - BS'!$B$2:$R$39</definedName>
    <definedName name="Linking_8">'XLRN - CFS'!$B$2:$S$46</definedName>
    <definedName name="Linking_9">'XLRN - IS'!$B$2:$AR$53</definedName>
    <definedName name="Long_Term_Debt">[5]Yields!A$85</definedName>
    <definedName name="M_PlaceofPath" hidden="1">"F:\DANDERS\COMPANY\FS\FS_VDF.xls"</definedName>
    <definedName name="MacroVersion" localSheetId="12">IndexInformation!$B$1</definedName>
    <definedName name="MaxRange">[2]Sheet1!$AI$2:$AI$5</definedName>
    <definedName name="mcs03g.ReqArray">{"Price","ICTG","TS131","D","0","0","H"}</definedName>
    <definedName name="mcs03g.reqarray1">{"Price","hpc","TS1/TS131","D","1/1/91","6/1/98","V"}</definedName>
    <definedName name="mergercosts">'[1]CVS DCF'!$E$26</definedName>
    <definedName name="MinRange">[2]Sheet1!$AH$2:$AH$5</definedName>
    <definedName name="MKTD_2">[8]MKTD!$A$3:$G$3,[8]MKTD!$A$11:$G$12,[8]MKTD!$A$27:$G$35</definedName>
    <definedName name="modelpg1">[5]Yields!$A$2:$P$59</definedName>
    <definedName name="ModelPrice" localSheetId="0">ImportantDisclosures!$A$14</definedName>
    <definedName name="Month">[5]Yields!A$4</definedName>
    <definedName name="MRX_1">[26]IMS!$A$3:$BE$73</definedName>
    <definedName name="MRX_2">[26]IMS!$A$74:$BE$143</definedName>
    <definedName name="MRX_3">[26]IMS!$A$144:$BE$221</definedName>
    <definedName name="MRX_4">[26]IMS!$A$222:$BE$250</definedName>
    <definedName name="Multiplier" localSheetId="12">IndexInformation!$B$35</definedName>
    <definedName name="MvsS">'[1]CVS DCF'!$C$19</definedName>
    <definedName name="MYL_1">[27]IMS!$A$3:$BI$82</definedName>
    <definedName name="MYL_2">[27]IMS!$A$84:$BI$147</definedName>
    <definedName name="MYL_3">[27]IMS!$A$148:$BI$196</definedName>
    <definedName name="Namenda">[13]Namenda!$A$6:$L$137</definedName>
    <definedName name="NameTar">'[1]CVS DCF'!$C$5</definedName>
    <definedName name="Net_Income">[6]NOPAT_VDF!$C$94:$AZ$94</definedName>
    <definedName name="Net_Income_from_Operations">[5]Yields!A$39</definedName>
    <definedName name="Net_margin">[6]NOPAT_VDF!$C$113:$AU$113</definedName>
    <definedName name="Net_sales">[6]NOPAT_VDF!$C$8:$AE$8</definedName>
    <definedName name="Net_sales_DCF">[6]DCF_VDF!$C$9:$AZ$9</definedName>
    <definedName name="Net_working_capital">'[6]Invested capital_VDF'!$C$26:$AE$26</definedName>
    <definedName name="Net_working_capital_turns">'[6]Invested capital_VDF'!$C$97:$AU$97</definedName>
    <definedName name="NextYearEPS" localSheetId="12">IndexInformation!$B$13</definedName>
    <definedName name="NextYearTotalRevenue" localSheetId="12">IndexInformation!$B$12</definedName>
    <definedName name="NextYearTotalRevenueActual" localSheetId="12">IndexInformation!$B$33</definedName>
    <definedName name="NI_BOE_1998">'[9]E&amp;P'!$J$378</definedName>
    <definedName name="NI_BOE_1999">'[9]E&amp;P'!$K$378</definedName>
    <definedName name="NI_BOE_2000">'[9]E&amp;P'!$L$378</definedName>
    <definedName name="NI_BOE_2001">'[9]E&amp;P'!$M$378</definedName>
    <definedName name="NI_BOE_2002">'[9]E&amp;P'!$N$378</definedName>
    <definedName name="NI_BOE_2003">'[9]E&amp;P'!$O$378</definedName>
    <definedName name="NI_BOE_2004">'[9]E&amp;P'!$P$378</definedName>
    <definedName name="NI_BOE_2005">'[9]E&amp;P'!$Q$378</definedName>
    <definedName name="NI_BOE_2006">'[9]E&amp;P'!$R$378</definedName>
    <definedName name="NI_BOE_2007">'[9]E&amp;P'!$S$378</definedName>
    <definedName name="NI_BOE_2008">'[9]E&amp;P'!$T$378</definedName>
    <definedName name="NI_Intl_EP_2004">[22]EXXONMOBIL!$BI$10</definedName>
    <definedName name="NI_Total_EP_2004">[22]EXXONMOBIL!$BI$11</definedName>
    <definedName name="NI_US_EP_2004">[22]EXXONMOBIL!$BI$9</definedName>
    <definedName name="nio_95">[5]Yields!$X$41</definedName>
    <definedName name="nio_96">[5]Yields!$Y$41</definedName>
    <definedName name="nio_97">[5]Yields!$Z$41</definedName>
    <definedName name="nio_98">[5]Yields!$AA$41</definedName>
    <definedName name="no" hidden="1">{"PR1","pr1",TRUE,"Sch PR-1"}</definedName>
    <definedName name="NOPAT">[6]NOPAT_VDF!$C$41:$AU$41</definedName>
    <definedName name="NOPAT_DCF">[6]DCF_VDF!$C$12:$AZ$12</definedName>
    <definedName name="NOPAT_margin">[6]NOPAT_VDF!$C$112:$AU$112</definedName>
    <definedName name="NOPBT">[6]NOPAT_VDF!$C$32:$AU$32</definedName>
    <definedName name="NPT_1">[6]NOPAT_VDF!$P$1:$P$65536</definedName>
    <definedName name="NPT_2">[6]NOPAT_VDF!$O$1:$O$65536</definedName>
    <definedName name="NPT_P">[6]NOPAT_VDF!$Q$1:$Q$65536</definedName>
    <definedName name="NudgeSet">[2]Sheet1!$AI$1</definedName>
    <definedName name="ObjectType">IndexInformation!$B$37</definedName>
    <definedName name="Off_B_S_Income">[6]NOPAT_VDF!$C$7:$AZ$7</definedName>
    <definedName name="Off_B_S_Income_DCF">[6]DCF_VDF!$C$8:$BZ$8</definedName>
    <definedName name="offpr">'[1]CVS DCF'!$O$9</definedName>
    <definedName name="OL_1">'[6]PV of Op Leases_VDF'!$AD$1:$AD$65536</definedName>
    <definedName name="OL_P">'[6]PV of Op Leases_VDF'!$AF$1:$AF$65536</definedName>
    <definedName name="OnShow" localSheetId="9">[4]Disclaimers!OnShow</definedName>
    <definedName name="OnShow" localSheetId="7">[4]Disclaimers!OnShow</definedName>
    <definedName name="OnShow" localSheetId="6">[4]Disclaimers!OnShow</definedName>
    <definedName name="OnShow">[4]Disclaimers!OnShow</definedName>
    <definedName name="Operating_Income">[5]Yields!A$21</definedName>
    <definedName name="Operating_Lease_Expense">[6]NOPAT_VDF!$C$23:$AZ$23</definedName>
    <definedName name="oprice">'[1]CVS DCF'!$D$8</definedName>
    <definedName name="options4">'[1]CVS DCF'!$G$16</definedName>
    <definedName name="Other_asset_turns">'[6]Invested capital_VDF'!$A$101:$Z$101</definedName>
    <definedName name="Other_Expenses">[6]NOPAT_VDF!$C$59:$AZ$59</definedName>
    <definedName name="Other_expenses_gains">[6]NOPAT_VDF!$C$14:$AZ$14</definedName>
    <definedName name="Other_Income">[6]NOPAT_VDF!$C$58:$AZ$58</definedName>
    <definedName name="page">[2]Sheet1!$A$2:$Q$65</definedName>
    <definedName name="Page_1">[17]ADK!$A$30:$AW$63</definedName>
    <definedName name="Page_2">[17]ADK!$A$65:$AW$113</definedName>
    <definedName name="Page_3">[28]iQ_US_CoreIndustrials!$A$168:$AM$234</definedName>
    <definedName name="Page_4">[28]iQ_US_CoreIndustrials!$A$237:$AM$295</definedName>
    <definedName name="PANA" localSheetId="13">ModPubIndex!$A$11</definedName>
    <definedName name="PasteCell">[2]Sheet1!$Z$275</definedName>
    <definedName name="PasteGraph" localSheetId="9">[4]Disclaimers!PasteGraph</definedName>
    <definedName name="PasteGraph" localSheetId="7">[4]Disclaimers!PasteGraph</definedName>
    <definedName name="PasteGraph" localSheetId="6">[4]Disclaimers!PasteGraph</definedName>
    <definedName name="PasteGraph">[4]Disclaimers!PasteGraph</definedName>
    <definedName name="PathName" localSheetId="12">IndexInformation!$B$25</definedName>
    <definedName name="Preferred_stock">'[29]Invested capital_VDF'!$C$81:$AE$81</definedName>
    <definedName name="premium">'[1]CVS DCF'!$G$12</definedName>
    <definedName name="Present_Value_Oper_lease">'[6]PV of Op Leases_VDF'!$C$62:$AW$62</definedName>
    <definedName name="Pretax_income">[6]NOPAT_VDF!$C$90:$AE$90</definedName>
    <definedName name="PriceMaxCell">[2]Sheet1!$Y$7</definedName>
    <definedName name="_xlnm.Print_Area" localSheetId="1">'XLRN - IS'!$B$1:$AL$52</definedName>
    <definedName name="_xlnm.Print_Area">#REF!</definedName>
    <definedName name="_xlnm.Print_Titles">'[1]CVS DCF'!$A$1:$E$65536,'[1]CVS DCF'!$A$1:$IV$2</definedName>
    <definedName name="PrintPreview" localSheetId="9">[4]Disclaimers!PrintPreview</definedName>
    <definedName name="PrintPreview" localSheetId="7">[4]Disclaimers!PrintPreview</definedName>
    <definedName name="PrintPreview" localSheetId="6">[4]Disclaimers!PrintPreview</definedName>
    <definedName name="PrintPreview">[4]Disclaimers!PrintPreview</definedName>
    <definedName name="PRODUCT" localSheetId="13">ModPubIndex!$A$6</definedName>
    <definedName name="Progress">[2]Sheet1!$H$13</definedName>
    <definedName name="PSYM" localSheetId="13">ModPubIndex!$A$4</definedName>
    <definedName name="PublishDate" localSheetId="12">IndexInformation!$B$2</definedName>
    <definedName name="R_and_D">[5]Yields!A$15</definedName>
    <definedName name="R_D_amort_years">'[6]Invested capital_VDF'!$A$34</definedName>
    <definedName name="R_D_Amortization">'[6]Invested capital_VDF'!$C$31:$AU$31</definedName>
    <definedName name="R_D_expense">'[6]Invested capital_VDF'!$C$28:$AZ$28</definedName>
    <definedName name="rate">'[1]CVS DCF'!$L$19</definedName>
    <definedName name="Rating" localSheetId="12">IndexInformation!$B$9</definedName>
    <definedName name="RatingsDefined" localSheetId="0">ImportantDisclosures!$A$21</definedName>
    <definedName name="RatingsDefs" localSheetId="0">ImportantDisclosures!#REF!</definedName>
    <definedName name="rDataColumns">[2]Sheet1!$W$1:$AK$65536</definedName>
    <definedName name="_xlnm.Recorder">'[3]ABS Annual'!$A$1:$A$65536</definedName>
    <definedName name="RefreshNote">[2]Sheet1!$H$3</definedName>
    <definedName name="RefreshSet">[2]Sheet1!$AG$7</definedName>
    <definedName name="RegACDisclosure" localSheetId="0">ImportantDisclosures!#REF!</definedName>
    <definedName name="Regional">[28]iQ_US_CoreIndustrials!$A$21:$AM$157</definedName>
    <definedName name="Report">[5]Yields!$C$12:$Y$78</definedName>
    <definedName name="Required_cash_percent">'[6]Invested capital_VDF'!$A$9</definedName>
    <definedName name="ResearchTopic" localSheetId="12">IndexInformation!$B$4</definedName>
    <definedName name="ResetItemView" localSheetId="9">[4]Disclaimers!ResetItemView</definedName>
    <definedName name="ResetItemView" localSheetId="7">[4]Disclaimers!ResetItemView</definedName>
    <definedName name="ResetItemView" localSheetId="6">[4]Disclaimers!ResetItemView</definedName>
    <definedName name="ResetItemView">[4]Disclaimers!ResetItemView</definedName>
    <definedName name="Rev_At_20_Per_Month_Per_User">[16]SensitivityA!$G$15</definedName>
    <definedName name="Revenue">[30]Model!$P$2:$AE$34</definedName>
    <definedName name="REVENUE_WORKSHEET_1">[31]Model!$A$2:$BB$53</definedName>
    <definedName name="REVENUE_WORKSHEET_2">[31]Model!$A$55:$BB$113</definedName>
    <definedName name="Revenue_Worksheet_3">[32]Model!$A$130:$BB$173</definedName>
    <definedName name="Revenue_Worksheet_4">[32]Model!$A$175:$BB$199</definedName>
    <definedName name="Revenue1">[28]iQ_US_CoreIndustrials!$A$21:$AM$183</definedName>
    <definedName name="Revenue2">[28]iQ_US_CoreIndustrials!$A$185:$AM$234</definedName>
    <definedName name="revprint">[5]Yields!$C$1:$BA$41</definedName>
    <definedName name="rGraphInfo">[2]Sheet1!$AD$1</definedName>
    <definedName name="rHistoTitle">[2]Sheet1!$A$4</definedName>
    <definedName name="RIC" localSheetId="12">IndexInformation!$B$21</definedName>
    <definedName name="rIndexTitle">[2]Sheet1!$A$1</definedName>
    <definedName name="RM_DDA_2004">[22]BalanceSheet!$S$94</definedName>
    <definedName name="RM_DDA_2005">[22]BalanceSheet!$T$94</definedName>
    <definedName name="RM_DDA_2006">[22]BalanceSheet!$U$94</definedName>
    <definedName name="RM_DDA_2007">[22]BalanceSheet!$V$94</definedName>
    <definedName name="RM_DDA_2008">[22]BalanceSheet!$W$94</definedName>
    <definedName name="RnD_expense">'[6]Invested capital_VDF'!$C$28:$AZ$28</definedName>
    <definedName name="ROCC_Intl_2004">'[22]E&amp;P'!$I$617</definedName>
    <definedName name="ROCC_US_2004">'[22]E&amp;P'!$I$413</definedName>
    <definedName name="ROCC_WW_2004">'[22]E&amp;P'!$I$655</definedName>
    <definedName name="ROE">[5]Yields!$AO$9</definedName>
    <definedName name="rPriceTitle">[2]Sheet1!$A$2</definedName>
    <definedName name="rPVolTitle">[2]Sheet1!$A$3</definedName>
    <definedName name="s">[33]Scenarios!$B$6</definedName>
    <definedName name="sales_00">[34]anfqtr!$AT$8</definedName>
    <definedName name="sales_01">[34]anfqtr!$AU$8</definedName>
    <definedName name="SaveReturn">[2]Sheet1!$C$3</definedName>
    <definedName name="Scenario">'[1]CVS DCF'!$AA$1</definedName>
    <definedName name="sdsds" hidden="1">{"PR1","pr1",TRUE,"Sch PR-1"}</definedName>
    <definedName name="SECSettlement" localSheetId="0">ImportantDisclosures!#REF!</definedName>
    <definedName name="SEDOL" localSheetId="12">IndexInformation!$B$22</definedName>
    <definedName name="Segment1_income">[6]NOPAT_VDF!$C$5:$AZ$5</definedName>
    <definedName name="Segment1_income_DCF">[6]DCF_VDF!$C$6:$BZ$6</definedName>
    <definedName name="Segment2_income">[6]NOPAT_VDF!$C$6:$AZ$6</definedName>
    <definedName name="Segment2_income_DCF">[6]DCF_VDF!$C$7:$BZ$7</definedName>
    <definedName name="SENS">'[1]CVS DCF'!$A$1:$M$48</definedName>
    <definedName name="SeriesFormat" localSheetId="9">[4]Disclaimers!SeriesFormat</definedName>
    <definedName name="SeriesFormat" localSheetId="7">[4]Disclaimers!SeriesFormat</definedName>
    <definedName name="SeriesFormat" localSheetId="6">[4]Disclaimers!SeriesFormat</definedName>
    <definedName name="SeriesFormat">[4]Disclaimers!SeriesFormat</definedName>
    <definedName name="SGA">[6]NOPAT_VDF!$C$12:$AE$12</definedName>
    <definedName name="shares_avg">[5]Yields!$AL$9</definedName>
    <definedName name="Shares_DCF">[6]DCF_VDF!$C$37:$AZ$37</definedName>
    <definedName name="Shares_growth">[6]NOPAT_VDF!$M$151:$Q$151</definedName>
    <definedName name="shares_qtr">[5]Yields!$AK$9</definedName>
    <definedName name="shares4">'[1]CVS DCF'!$G$15</definedName>
    <definedName name="ShowData" localSheetId="9">[4]Disclaimers!ShowData</definedName>
    <definedName name="ShowData" localSheetId="7">[4]Disclaimers!ShowData</definedName>
    <definedName name="ShowData" localSheetId="6">[4]Disclaimers!ShowData</definedName>
    <definedName name="ShowData">[4]Disclaimers!ShowData</definedName>
    <definedName name="ShowDottedLine" localSheetId="9">[4]Disclaimers!ShowDottedLine</definedName>
    <definedName name="ShowDottedLine" localSheetId="7">[4]Disclaimers!ShowDottedLine</definedName>
    <definedName name="ShowDottedLine" localSheetId="6">[4]Disclaimers!ShowDottedLine</definedName>
    <definedName name="ShowDottedLine">[4]Disclaimers!ShowDottedLine</definedName>
    <definedName name="ShowGraph" localSheetId="9">[4]Disclaimers!ShowGraph</definedName>
    <definedName name="ShowGraph" localSheetId="7">[4]Disclaimers!ShowGraph</definedName>
    <definedName name="ShowGraph" localSheetId="6">[4]Disclaimers!ShowGraph</definedName>
    <definedName name="ShowGraph">[4]Disclaimers!ShowGraph</definedName>
    <definedName name="solver_adj" localSheetId="6" hidden="1">SOP!$C$196</definedName>
    <definedName name="solver_cvg" localSheetId="6" hidden="1">0.0001</definedName>
    <definedName name="solver_cvg" hidden="1">0.0001</definedName>
    <definedName name="solver_drv" localSheetId="6" hidden="1">1</definedName>
    <definedName name="solver_drv" hidden="1">1</definedName>
    <definedName name="solver_eng" localSheetId="6" hidden="1">1</definedName>
    <definedName name="solver_est" localSheetId="6" hidden="1">1</definedName>
    <definedName name="solver_est" hidden="1">1</definedName>
    <definedName name="solver_itr" localSheetId="6" hidden="1">2147483647</definedName>
    <definedName name="solver_itr" hidden="1">100</definedName>
    <definedName name="solver_lin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eg" hidden="1">2</definedName>
    <definedName name="solver_nod" localSheetId="6" hidden="1">2147483647</definedName>
    <definedName name="solver_num" localSheetId="6" hidden="1">0</definedName>
    <definedName name="solver_num" hidden="1">1</definedName>
    <definedName name="solver_nwt" localSheetId="6" hidden="1">1</definedName>
    <definedName name="solver_nwt" hidden="1">1</definedName>
    <definedName name="solver_opt" localSheetId="6" hidden="1">SOP!$D$196</definedName>
    <definedName name="solver_pre" localSheetId="6" hidden="1">0.000001</definedName>
    <definedName name="solver_pre" hidden="1">0.000001</definedName>
    <definedName name="solver_rbv" localSheetId="6" hidden="1">1</definedName>
    <definedName name="solver_rel1" hidden="1">2</definedName>
    <definedName name="solver_rel10" hidden="1">1</definedName>
    <definedName name="solver_rel11" hidden="1">3</definedName>
    <definedName name="solver_rel2" hidden="1">2</definedName>
    <definedName name="solver_rel3" hidden="1">2</definedName>
    <definedName name="solver_rel4" hidden="1">2</definedName>
    <definedName name="solver_rel5" hidden="1">1</definedName>
    <definedName name="solver_rel6" hidden="1">3</definedName>
    <definedName name="solver_rel7" hidden="1">2</definedName>
    <definedName name="solver_rel8" hidden="1">1</definedName>
    <definedName name="solver_rel9" hidden="1">3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cl" hidden="1">2</definedName>
    <definedName name="solver_sho" localSheetId="6" hidden="1">2</definedName>
    <definedName name="solver_sho" hidden="1">2</definedName>
    <definedName name="solver_ssz" localSheetId="6" hidden="1">100</definedName>
    <definedName name="solver_tim" localSheetId="6" hidden="1">2147483647</definedName>
    <definedName name="solver_tim" hidden="1">100</definedName>
    <definedName name="solver_tol" localSheetId="6" hidden="1">0.01</definedName>
    <definedName name="solver_tol" hidden="1">0.05</definedName>
    <definedName name="solver_typ" localSheetId="6" hidden="1">3</definedName>
    <definedName name="solver_typ" hidden="1">3</definedName>
    <definedName name="solver_val" localSheetId="6" hidden="1">272413</definedName>
    <definedName name="solver_val" hidden="1">1053</definedName>
    <definedName name="solver_ver" localSheetId="6" hidden="1">3</definedName>
    <definedName name="SourceDefined" localSheetId="0">ImportantDisclosures!$A$19</definedName>
    <definedName name="spot">'[1]CVS DCF'!$C$24</definedName>
    <definedName name="ss">[5]Yields!$B$12:$AA$70</definedName>
    <definedName name="sssssss" hidden="1">{"PR1","pr1",TRUE,"Sch PR-1"}</definedName>
    <definedName name="startcell">[2]Sheet1!$Z$21</definedName>
    <definedName name="StartDateCell">[2]Sheet1!$F$7</definedName>
    <definedName name="StatusSection">[2]Sheet1!$C$2:$H$15</definedName>
    <definedName name="StepCustom">[2]Sheet1!$N$7</definedName>
    <definedName name="stock_price_date">[21]bltzSingleDPmap!$E$2</definedName>
    <definedName name="Stockholders_Equity">[5]Yields!A$89</definedName>
    <definedName name="StockRating" localSheetId="0">ImportantDisclosures!$A$11</definedName>
    <definedName name="Subheader">[21]Trading!$B$4</definedName>
    <definedName name="SubjectCode" localSheetId="12">IndexInformation!$B$6</definedName>
    <definedName name="SubmitterUserId">IndexInformation!$B$39</definedName>
    <definedName name="SUPPRESSED" localSheetId="13">ModPubIndex!$A$13</definedName>
    <definedName name="Synergies">'[1]CVS DCF'!$F$2</definedName>
    <definedName name="tar">'[1]CVS DCF'!$Y$8</definedName>
    <definedName name="targ2">'[1]CVS DCF'!$C$31</definedName>
    <definedName name="TARGET">'[1]CVS DCF'!$A$26</definedName>
    <definedName name="targetfull">'[1]CVS DCF'!$G$6</definedName>
    <definedName name="TargetPrice" localSheetId="0">ImportantDisclosures!$A$15</definedName>
    <definedName name="TARO_1">[35]IMS!$A$3:$BI$78</definedName>
    <definedName name="TARO_2">[35]IMS!$A$79:$BI$130</definedName>
    <definedName name="TemplateRegion">IndexInformation!$B$36</definedName>
    <definedName name="TEVA_1">[36]IMS!$A$3:$BI$92</definedName>
    <definedName name="TEVA_2">[36]IMS!$A$94:$BI$203</definedName>
    <definedName name="TextFormat" localSheetId="9">[4]Disclaimers!TextFormat</definedName>
    <definedName name="TextFormat" localSheetId="7">[4]Disclaimers!TextFormat</definedName>
    <definedName name="TextFormat" localSheetId="6">[4]Disclaimers!TextFormat</definedName>
    <definedName name="TextFormat">[4]Disclaimers!TextFormat</definedName>
    <definedName name="TGMvss">'[1]CVS DCF'!$D$3</definedName>
    <definedName name="Ticker" localSheetId="0">ImportantDisclosures!$A$10</definedName>
    <definedName name="TickerRegion">IndexInformation!$B$41</definedName>
    <definedName name="Tickers" localSheetId="12">IndexInformation!$B$19</definedName>
    <definedName name="TickerToNameOnEnter" localSheetId="9">[4]Disclaimers!TickerToNameOnEnter</definedName>
    <definedName name="TickerToNameOnEnter" localSheetId="7">[4]Disclaimers!TickerToNameOnEnter</definedName>
    <definedName name="TickerToNameOnEnter" localSheetId="6">[4]Disclaimers!TickerToNameOnEnter</definedName>
    <definedName name="TickerToNameOnEnter">[4]Disclaimers!TickerToNameOnEnter</definedName>
    <definedName name="Title2Spot">[2]Sheet1!$B$17</definedName>
    <definedName name="top">[18]Formula!$A$1</definedName>
    <definedName name="tot_debt">[5]Yields!$P$4</definedName>
    <definedName name="Total_Amortization">[6]NOPAT_VDF!$C$18:$AZ$18</definedName>
    <definedName name="Total_Assets">[5]Yields!A$74</definedName>
    <definedName name="Total_Company_Size__Employees">[16]SensitivityA!$D$7</definedName>
    <definedName name="Total_COS">[6]NOPAT_VDF!$C$9:$AZ$9</definedName>
    <definedName name="Total_Current_Assets">[5]Yields!A$68</definedName>
    <definedName name="Total_Current_Liabilities">[5]Yields!A$83</definedName>
    <definedName name="Total_debt">'[6]Invested capital_VDF'!$C$61:$AU$61</definedName>
    <definedName name="Total_debt_DCF">[6]DCF_VDF!$C$35:$AZ$35</definedName>
    <definedName name="Total_other_assets">'[6]Invested capital_VDF'!$C$47:$Z$47</definedName>
    <definedName name="TOTAL_REVENUE">[5]Yields!A$7</definedName>
    <definedName name="trailing_revs">[5]Yields!$AM$9</definedName>
    <definedName name="transx" localSheetId="9">[4]Disclaimers!transx</definedName>
    <definedName name="transx" localSheetId="7">[4]Disclaimers!transx</definedName>
    <definedName name="transx" localSheetId="6">[4]Disclaimers!transx</definedName>
    <definedName name="transx">[4]Disclaimers!transx</definedName>
    <definedName name="UpdateReason" localSheetId="12">IndexInformation!$B$17</definedName>
    <definedName name="US_EP_Depr_2003">'[22]E&amp;P'!$H$377</definedName>
    <definedName name="US_EP_Depr_2004">'[9]E&amp;P'!$P$224</definedName>
    <definedName name="US_EP_NI_2004">'[9]E&amp;P'!$P$230</definedName>
    <definedName name="USGasProd_2004">'[9]E&amp;P'!$P$5</definedName>
    <definedName name="USOilProd_2004">'[9]E&amp;P'!$P$4</definedName>
    <definedName name="USOtherCosts_2004">'[9]E&amp;P'!$P$237</definedName>
    <definedName name="USProd_2004">'[9]E&amp;P'!$P$6</definedName>
    <definedName name="USProdCosts_2004">'[9]E&amp;P'!$P$235</definedName>
    <definedName name="USRegDisclosures" localSheetId="0">ImportantDisclosures!#REF!</definedName>
    <definedName name="valuation">'[3]ABS Annual'!$A$138:$M$155</definedName>
    <definedName name="Value_to_TargetPrice_at_9mult">[16]SensitivityA!$E$36</definedName>
    <definedName name="WACC_fore">[6]WACC_VDF!$J$21</definedName>
    <definedName name="WACC_P">'[6]Income Statement_VDF'!$R$44</definedName>
    <definedName name="WACC_P_1">[6]WACC_VDF!$U$23</definedName>
    <definedName name="WORLDWIDE">[28]iQ_US_CoreIndustrials!$A$161:$AM$183</definedName>
    <definedName name="wrn.2" hidden="1">{"FCB_ALL",#N/A,FALSE,"FCB";"GREY_ALL",#N/A,FALSE,"GREY"}</definedName>
    <definedName name="wrn.Aging._.and._.Trend._.Analysis." hidden="1">{#N/A,#N/A,FALSE,"Aging Summary";#N/A,#N/A,FALSE,"Ratio Analysis";#N/A,#N/A,FALSE,"Test 120 Day Accts";#N/A,#N/A,FALSE,"Tickmarks"}</definedName>
    <definedName name="wrn.ColumbiaModel." hidden="1">{"QuarterlyFinancialForecasts",#N/A,FALSE,"Sheet1";"AnnualIncomeStatementForecast",#N/A,FALSE,"Sheet1";"IncomeStatementAnalysis",#N/A,FALSE,"Sheet1";"BalanceSheetForecasts",#N/A,FALSE,"Sheet1";"CashFlowForecast",#N/A,FALSE,"Sheet1";"WorkingCapitalAnalysis",#N/A,FALSE,"Sheet1";"AnalysisNetPPE",#N/A,FALSE,"Sheet1";"AnnualRevenueModel",#N/A,FALSE,"Sheet1";"DetailedRevModPart1",#N/A,FALSE,"Sheet1";"DetailedRevModelPart2",#N/A,FALSE,"Sheet1";"ExpenseAnalysis",#N/A,FALSE,"Sheet1"}</definedName>
    <definedName name="wrn.CORR." hidden="1">{"INCSTMT1",#N/A,FALSE,"COR";"INCSTMT2",#N/A,FALSE,"COR"}</definedName>
    <definedName name="wrn.FCB." hidden="1">{"FCB_ALL",#N/A,FALSE,"FCB"}</definedName>
    <definedName name="wrn.fcb.1" hidden="1">{"FCB_ALL",#N/A,FALSE,"FCB"}</definedName>
    <definedName name="wrn.fcb2" hidden="1">{"FCB_ALL",#N/A,FALSE,"FCB"}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Report_PR_1." hidden="1">{"PR1","pr1",TRUE,"Sch PR-1"}</definedName>
    <definedName name="wrn.STAND_ALONE_BOTH." hidden="1">{"FCB_ALL",#N/A,FALSE,"FCB";"GREY_ALL",#N/A,FALSE,"GREY"}</definedName>
    <definedName name="wrn.wag." hidden="1">{"inc.ann",#N/A,FALSE,"WAG";"inc.quart",#N/A,FALSE,"WAG"}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W_EP_Depr_2004">'[9]E&amp;P'!$P$358</definedName>
    <definedName name="WW_EP_NI_2004">'[9]E&amp;P'!$P$364</definedName>
    <definedName name="WW_EP_ROCC_1998">'[9]E&amp;P'!$J$393</definedName>
    <definedName name="WW_EP_ROCC_1999">'[9]E&amp;P'!$K$393</definedName>
    <definedName name="WW_EP_ROCC_2000">'[9]E&amp;P'!$L$393</definedName>
    <definedName name="WW_EP_ROCC_2001">'[9]E&amp;P'!$M$393</definedName>
    <definedName name="WW_EP_ROCC_2002">'[9]E&amp;P'!$N$393</definedName>
    <definedName name="WW_EP_ROCC_2003">'[9]E&amp;P'!$O$393</definedName>
    <definedName name="WW_EP_ROCC_2004">'[9]E&amp;P'!$P$393</definedName>
    <definedName name="WW_EP_ROCC_2005">'[9]E&amp;P'!$Q$393</definedName>
    <definedName name="WW_EP_ROCC_2006">'[9]E&amp;P'!$R$393</definedName>
    <definedName name="WWGasProd_2004">'[9]E&amp;P'!$P$25</definedName>
    <definedName name="WWOilProd_2004">'[9]E&amp;P'!$P$24</definedName>
    <definedName name="WWOtherCosts_2004">'[9]E&amp;P'!$P$371</definedName>
    <definedName name="WWProd_2004">'[9]E&amp;P'!$P$26</definedName>
    <definedName name="WWProdCosts_2004">'[9]E&amp;P'!$P$369</definedName>
    <definedName name="XOM_CAPEX">[22]BalanceSheet!$A$76:$IV$76</definedName>
    <definedName name="XOM_CAPEX_Chems">[22]BalanceSheet!$A$83:$IV$83</definedName>
    <definedName name="XOM_CAPEX_EP">[22]BalanceSheet!$A$77:$IV$77</definedName>
    <definedName name="XOM_CAPEX_Other">[22]BalanceSheet!$A$86:$IV$86</definedName>
    <definedName name="XOM_CAPEX_RM">[22]BalanceSheet!$A$80:$IV$80</definedName>
    <definedName name="XR">'[1]CVS DCF'!$E$10</definedName>
    <definedName name="YEAR2">'[1]CVS DCF'!$D$14</definedName>
    <definedName name="yr_ago_rev">[5]Yields!$AA$4</definedName>
  </definedNames>
  <calcPr calcId="145621" iterate="1"/>
</workbook>
</file>

<file path=xl/calcChain.xml><?xml version="1.0" encoding="utf-8"?>
<calcChain xmlns="http://schemas.openxmlformats.org/spreadsheetml/2006/main">
  <c r="AJ60" i="1" l="1"/>
  <c r="AI60" i="1"/>
  <c r="AI59" i="1"/>
  <c r="AK19" i="1"/>
  <c r="AK18" i="1"/>
  <c r="AK17" i="1"/>
  <c r="AK40" i="1"/>
  <c r="AK41" i="1"/>
  <c r="AK35" i="1"/>
  <c r="AK32" i="1"/>
  <c r="AK25" i="1"/>
  <c r="AJ52" i="1"/>
  <c r="AI52" i="1"/>
  <c r="AH52" i="1"/>
  <c r="AG52" i="1"/>
  <c r="AK51" i="1"/>
  <c r="AJ57" i="1"/>
  <c r="AI57" i="1"/>
  <c r="AH57" i="1"/>
  <c r="AG57" i="1"/>
  <c r="AJ38" i="1"/>
  <c r="AI38" i="1"/>
  <c r="AH38" i="1"/>
  <c r="AG38" i="1"/>
  <c r="AJ21" i="1"/>
  <c r="AJ23" i="1" s="1"/>
  <c r="AI21" i="1"/>
  <c r="AI23" i="1" s="1"/>
  <c r="AH21" i="1"/>
  <c r="AH23" i="1" s="1"/>
  <c r="AG21" i="1"/>
  <c r="AG23" i="1" s="1"/>
  <c r="AJ12" i="1"/>
  <c r="AI12" i="1"/>
  <c r="AH12" i="1"/>
  <c r="AG12" i="1"/>
  <c r="AH60" i="1" l="1"/>
  <c r="AH59" i="1"/>
  <c r="AJ59" i="1"/>
  <c r="AG59" i="1"/>
  <c r="AG60" i="1"/>
  <c r="AJ39" i="1"/>
  <c r="AJ43" i="1" s="1"/>
  <c r="AJ46" i="1" s="1"/>
  <c r="AJ50" i="1" s="1"/>
  <c r="AJ53" i="1" s="1"/>
  <c r="AI39" i="1"/>
  <c r="AI43" i="1" s="1"/>
  <c r="AI46" i="1" s="1"/>
  <c r="AI50" i="1" s="1"/>
  <c r="AI53" i="1" s="1"/>
  <c r="AH39" i="1"/>
  <c r="AH43" i="1" s="1"/>
  <c r="AH46" i="1" s="1"/>
  <c r="AH50" i="1" s="1"/>
  <c r="AH53" i="1" s="1"/>
  <c r="AG39" i="1"/>
  <c r="AG43" i="1" s="1"/>
  <c r="AG46" i="1" s="1"/>
  <c r="AG50" i="1" s="1"/>
  <c r="AG53" i="1" s="1"/>
  <c r="C7" i="26" l="1"/>
  <c r="S36" i="43"/>
  <c r="H7" i="26"/>
  <c r="C245" i="43" l="1"/>
  <c r="C54" i="43" l="1"/>
  <c r="C37" i="43"/>
  <c r="C14" i="43"/>
  <c r="D7" i="26" l="1"/>
  <c r="V54" i="42" l="1"/>
  <c r="V51" i="42"/>
  <c r="S28" i="43"/>
  <c r="R28" i="43"/>
  <c r="Q28" i="43"/>
  <c r="P28" i="43"/>
  <c r="O28" i="43"/>
  <c r="N28" i="43"/>
  <c r="M28" i="43"/>
  <c r="L28" i="43"/>
  <c r="K28" i="43"/>
  <c r="J28" i="43"/>
  <c r="I28" i="43"/>
  <c r="H28" i="43"/>
  <c r="C38" i="43"/>
  <c r="E7" i="26" s="1"/>
  <c r="M29" i="43" l="1"/>
  <c r="L29" i="43"/>
  <c r="R29" i="43"/>
  <c r="Q29" i="43"/>
  <c r="I29" i="43"/>
  <c r="H29" i="43"/>
  <c r="C33" i="43"/>
  <c r="D33" i="43"/>
  <c r="E33" i="43"/>
  <c r="F33" i="43"/>
  <c r="G33" i="43"/>
  <c r="K29" i="43"/>
  <c r="O29" i="43"/>
  <c r="S29" i="43"/>
  <c r="N29" i="43"/>
  <c r="P29" i="43"/>
  <c r="J29" i="43"/>
  <c r="E32" i="43"/>
  <c r="E34" i="43" s="1"/>
  <c r="D32" i="43"/>
  <c r="C32" i="43"/>
  <c r="G29" i="43"/>
  <c r="G32" i="43" s="1"/>
  <c r="G34" i="43" s="1"/>
  <c r="F29" i="43"/>
  <c r="F32" i="43" s="1"/>
  <c r="F34" i="43" s="1"/>
  <c r="C34" i="43" l="1"/>
  <c r="D34" i="43"/>
  <c r="O118" i="3" l="1"/>
  <c r="O119" i="3"/>
  <c r="AC32" i="1" l="1"/>
  <c r="AF44" i="1" l="1"/>
  <c r="AF17" i="1" l="1"/>
  <c r="AE37" i="1"/>
  <c r="AE36" i="1"/>
  <c r="AE12" i="1"/>
  <c r="AE57" i="1" s="1"/>
  <c r="AD12" i="1"/>
  <c r="AD57" i="1" s="1"/>
  <c r="AC12" i="1"/>
  <c r="AC57" i="1" s="1"/>
  <c r="AB12" i="1"/>
  <c r="AB57" i="1" s="1"/>
  <c r="AE52" i="1"/>
  <c r="AD52" i="1"/>
  <c r="AC52" i="1"/>
  <c r="AB52" i="1"/>
  <c r="AF52" i="1"/>
  <c r="AF41" i="1"/>
  <c r="AF40" i="1"/>
  <c r="AE38" i="1"/>
  <c r="AD38" i="1"/>
  <c r="AC38" i="1"/>
  <c r="AB38" i="1"/>
  <c r="AF32" i="1"/>
  <c r="AF25" i="1"/>
  <c r="AE21" i="1"/>
  <c r="AE60" i="1" s="1"/>
  <c r="AD21" i="1"/>
  <c r="AD23" i="1" s="1"/>
  <c r="AC21" i="1"/>
  <c r="AC60" i="1" s="1"/>
  <c r="AB21" i="1"/>
  <c r="AB60" i="1" s="1"/>
  <c r="AD59" i="1" l="1"/>
  <c r="AD60" i="1"/>
  <c r="AE35" i="1"/>
  <c r="AB23" i="1"/>
  <c r="AB39" i="1" s="1"/>
  <c r="AB43" i="1" s="1"/>
  <c r="AB46" i="1" s="1"/>
  <c r="AB50" i="1" s="1"/>
  <c r="AB53" i="1" s="1"/>
  <c r="AE59" i="1"/>
  <c r="AC23" i="1"/>
  <c r="AC39" i="1" s="1"/>
  <c r="AC43" i="1" s="1"/>
  <c r="AC46" i="1" s="1"/>
  <c r="AC50" i="1" s="1"/>
  <c r="AC53" i="1" s="1"/>
  <c r="AB59" i="1"/>
  <c r="AE23" i="1"/>
  <c r="AE39" i="1" s="1"/>
  <c r="AE43" i="1" s="1"/>
  <c r="AE46" i="1" s="1"/>
  <c r="AE50" i="1" s="1"/>
  <c r="AE53" i="1" s="1"/>
  <c r="AD39" i="1"/>
  <c r="AD43" i="1" s="1"/>
  <c r="AD46" i="1" s="1"/>
  <c r="AD50" i="1" s="1"/>
  <c r="AD53" i="1" s="1"/>
  <c r="AC59" i="1"/>
  <c r="E92" i="43"/>
  <c r="C92" i="43"/>
  <c r="E91" i="43"/>
  <c r="C91" i="43"/>
  <c r="E90" i="43"/>
  <c r="C90" i="43"/>
  <c r="AW18" i="1"/>
  <c r="AV18" i="1"/>
  <c r="AU18" i="1"/>
  <c r="AT18" i="1"/>
  <c r="AS18" i="1"/>
  <c r="AR18" i="1"/>
  <c r="AQ18" i="1"/>
  <c r="AP18" i="1"/>
  <c r="AL18" i="1"/>
  <c r="AF18" i="1"/>
  <c r="E88" i="43"/>
  <c r="E87" i="43"/>
  <c r="E86" i="43"/>
  <c r="C88" i="43"/>
  <c r="C87" i="43"/>
  <c r="C86" i="43"/>
  <c r="C85" i="43"/>
  <c r="E85" i="43"/>
  <c r="K65" i="34" l="1"/>
  <c r="K86" i="34" s="1"/>
  <c r="K107" i="34" s="1"/>
  <c r="K128" i="34" s="1"/>
  <c r="AA44" i="1" l="1"/>
  <c r="AA41" i="1" l="1"/>
  <c r="AA40" i="1"/>
  <c r="W66" i="1" l="1"/>
  <c r="W65" i="1"/>
  <c r="Z37" i="1" l="1"/>
  <c r="Y37" i="1"/>
  <c r="X37" i="1"/>
  <c r="Z36" i="1"/>
  <c r="Y36" i="1"/>
  <c r="X36" i="1"/>
  <c r="AA19" i="1"/>
  <c r="Z52" i="1"/>
  <c r="Y52" i="1"/>
  <c r="X52" i="1"/>
  <c r="U52" i="1"/>
  <c r="Z38" i="1"/>
  <c r="Y38" i="1"/>
  <c r="X38" i="1"/>
  <c r="W38" i="1"/>
  <c r="AA32" i="1"/>
  <c r="AA25" i="1"/>
  <c r="AA18" i="1"/>
  <c r="V25" i="1"/>
  <c r="N118" i="3"/>
  <c r="AA66" i="1" l="1"/>
  <c r="Z35" i="1"/>
  <c r="X35" i="1"/>
  <c r="Y35" i="1"/>
  <c r="AA65" i="1"/>
  <c r="W35" i="1"/>
  <c r="Z12" i="1" l="1"/>
  <c r="Z57" i="1" s="1"/>
  <c r="Y12" i="1"/>
  <c r="Y57" i="1" s="1"/>
  <c r="X12" i="1"/>
  <c r="X57" i="1" s="1"/>
  <c r="W12" i="1"/>
  <c r="W57" i="1" s="1"/>
  <c r="AF22" i="1" l="1"/>
  <c r="AZ18" i="1"/>
  <c r="H8" i="26" l="1"/>
  <c r="H6" i="26"/>
  <c r="F13" i="26"/>
  <c r="H16" i="26"/>
  <c r="E164" i="43" l="1"/>
  <c r="E162" i="43"/>
  <c r="H153" i="43"/>
  <c r="S277" i="43"/>
  <c r="R277" i="43"/>
  <c r="Q277" i="43"/>
  <c r="P277" i="43"/>
  <c r="O277" i="43"/>
  <c r="N277" i="43"/>
  <c r="M277" i="43"/>
  <c r="L277" i="43"/>
  <c r="K277" i="43"/>
  <c r="J277" i="43"/>
  <c r="I277" i="43"/>
  <c r="H277" i="43"/>
  <c r="G277" i="43"/>
  <c r="F277" i="43"/>
  <c r="E277" i="43"/>
  <c r="D277" i="43"/>
  <c r="C277" i="43"/>
  <c r="C215" i="43"/>
  <c r="L208" i="43"/>
  <c r="M208" i="43" s="1"/>
  <c r="K208" i="43"/>
  <c r="E202" i="43"/>
  <c r="E203" i="43" s="1"/>
  <c r="E205" i="43" s="1"/>
  <c r="C202" i="43"/>
  <c r="C203" i="43" s="1"/>
  <c r="C205" i="43" s="1"/>
  <c r="K200" i="43"/>
  <c r="J200" i="43"/>
  <c r="C192" i="43"/>
  <c r="E185" i="43"/>
  <c r="E186" i="43" s="1"/>
  <c r="E188" i="43" s="1"/>
  <c r="C185" i="43"/>
  <c r="C186" i="43" s="1"/>
  <c r="C188" i="43" s="1"/>
  <c r="L183" i="43"/>
  <c r="C170" i="43"/>
  <c r="C169" i="43"/>
  <c r="E168" i="43"/>
  <c r="C168" i="43"/>
  <c r="E167" i="43"/>
  <c r="C167" i="43"/>
  <c r="C164" i="43"/>
  <c r="C162" i="43"/>
  <c r="E160" i="43"/>
  <c r="C160" i="43"/>
  <c r="G158" i="43"/>
  <c r="H158" i="43" s="1"/>
  <c r="E158" i="43"/>
  <c r="C158" i="43"/>
  <c r="G155" i="43"/>
  <c r="G160" i="43" s="1"/>
  <c r="H160" i="43" s="1"/>
  <c r="E153" i="43"/>
  <c r="C153" i="43"/>
  <c r="R148" i="43"/>
  <c r="N148" i="43"/>
  <c r="J148" i="43"/>
  <c r="S147" i="43"/>
  <c r="S148" i="43" s="1"/>
  <c r="R147" i="43"/>
  <c r="Q147" i="43"/>
  <c r="Q148" i="43" s="1"/>
  <c r="P147" i="43"/>
  <c r="P148" i="43" s="1"/>
  <c r="O147" i="43"/>
  <c r="O148" i="43" s="1"/>
  <c r="N147" i="43"/>
  <c r="M147" i="43"/>
  <c r="M148" i="43" s="1"/>
  <c r="L147" i="43"/>
  <c r="L148" i="43" s="1"/>
  <c r="K147" i="43"/>
  <c r="K148" i="43" s="1"/>
  <c r="J147" i="43"/>
  <c r="I147" i="43"/>
  <c r="I148" i="43" s="1"/>
  <c r="H147" i="43"/>
  <c r="H148" i="43" s="1"/>
  <c r="G147" i="43"/>
  <c r="G148" i="43" s="1"/>
  <c r="F147" i="43"/>
  <c r="F148" i="43" s="1"/>
  <c r="E147" i="43"/>
  <c r="E148" i="43" s="1"/>
  <c r="D147" i="43"/>
  <c r="D148" i="43" s="1"/>
  <c r="C147" i="43"/>
  <c r="C148" i="43" s="1"/>
  <c r="C121" i="43"/>
  <c r="G162" i="43" s="1"/>
  <c r="H162" i="43" s="1"/>
  <c r="K114" i="43"/>
  <c r="L114" i="43" s="1"/>
  <c r="M114" i="43" s="1"/>
  <c r="N114" i="43" s="1"/>
  <c r="J114" i="43"/>
  <c r="J107" i="43"/>
  <c r="K107" i="43" s="1"/>
  <c r="L107" i="43" s="1"/>
  <c r="E94" i="43"/>
  <c r="C94" i="43"/>
  <c r="E93" i="43"/>
  <c r="C93" i="43"/>
  <c r="G83" i="43"/>
  <c r="G87" i="43" s="1"/>
  <c r="H87" i="43" s="1"/>
  <c r="H82" i="43"/>
  <c r="E82" i="43"/>
  <c r="C82" i="43"/>
  <c r="S77" i="43"/>
  <c r="O77" i="43"/>
  <c r="K77" i="43"/>
  <c r="C77" i="43"/>
  <c r="S76" i="43"/>
  <c r="R76" i="43"/>
  <c r="R77" i="43" s="1"/>
  <c r="Q76" i="43"/>
  <c r="Q77" i="43" s="1"/>
  <c r="P76" i="43"/>
  <c r="P77" i="43" s="1"/>
  <c r="O76" i="43"/>
  <c r="N76" i="43"/>
  <c r="N77" i="43" s="1"/>
  <c r="M76" i="43"/>
  <c r="M77" i="43" s="1"/>
  <c r="L76" i="43"/>
  <c r="L77" i="43" s="1"/>
  <c r="K76" i="43"/>
  <c r="AO18" i="1" s="1"/>
  <c r="J76" i="43"/>
  <c r="I76" i="43"/>
  <c r="H76" i="43"/>
  <c r="H77" i="43" s="1"/>
  <c r="G76" i="43"/>
  <c r="G77" i="43" s="1"/>
  <c r="F76" i="43"/>
  <c r="F77" i="43" s="1"/>
  <c r="E76" i="43"/>
  <c r="E77" i="43" s="1"/>
  <c r="D76" i="43"/>
  <c r="D77" i="43" s="1"/>
  <c r="C76" i="43"/>
  <c r="C55" i="43"/>
  <c r="E8" i="26" s="1"/>
  <c r="E51" i="43"/>
  <c r="D51" i="43"/>
  <c r="E49" i="43"/>
  <c r="D49" i="43"/>
  <c r="C49" i="43"/>
  <c r="C51" i="43" s="1"/>
  <c r="F46" i="43"/>
  <c r="F49" i="43" s="1"/>
  <c r="F51" i="43" s="1"/>
  <c r="H22" i="43"/>
  <c r="I22" i="43" s="1"/>
  <c r="G22" i="43"/>
  <c r="C15" i="43"/>
  <c r="E6" i="26" s="1"/>
  <c r="F9" i="43"/>
  <c r="F11" i="43" s="1"/>
  <c r="E9" i="43"/>
  <c r="E11" i="43" s="1"/>
  <c r="D9" i="43"/>
  <c r="D11" i="43" s="1"/>
  <c r="C9" i="43"/>
  <c r="C11" i="43" s="1"/>
  <c r="H44" i="42"/>
  <c r="G44" i="42"/>
  <c r="F44" i="42"/>
  <c r="E44" i="42"/>
  <c r="D44" i="42"/>
  <c r="C44" i="42"/>
  <c r="D34" i="42"/>
  <c r="D35" i="42" s="1"/>
  <c r="D36" i="42" s="1"/>
  <c r="D37" i="42" s="1"/>
  <c r="C38" i="42" s="1"/>
  <c r="C34" i="42"/>
  <c r="C33" i="42"/>
  <c r="G32" i="42"/>
  <c r="E32" i="42"/>
  <c r="D26" i="42"/>
  <c r="C26" i="42"/>
  <c r="C25" i="42"/>
  <c r="D24" i="42"/>
  <c r="C24" i="42"/>
  <c r="D23" i="42"/>
  <c r="C23" i="42"/>
  <c r="D22" i="42"/>
  <c r="C22" i="42"/>
  <c r="D21" i="42"/>
  <c r="C21" i="42"/>
  <c r="D2" i="42"/>
  <c r="E2" i="42" s="1"/>
  <c r="F2" i="42" s="1"/>
  <c r="G2" i="42" s="1"/>
  <c r="H2" i="42" s="1"/>
  <c r="I2" i="42" s="1"/>
  <c r="J2" i="42" s="1"/>
  <c r="K2" i="42" s="1"/>
  <c r="L2" i="42" s="1"/>
  <c r="M2" i="42" s="1"/>
  <c r="N2" i="42" s="1"/>
  <c r="O2" i="42" s="1"/>
  <c r="P2" i="42" s="1"/>
  <c r="Q2" i="42" s="1"/>
  <c r="R2" i="42" s="1"/>
  <c r="S2" i="42" s="1"/>
  <c r="T2" i="42" s="1"/>
  <c r="U2" i="42" s="1"/>
  <c r="V2" i="42" s="1"/>
  <c r="I77" i="43" l="1"/>
  <c r="AM18" i="1"/>
  <c r="J77" i="43"/>
  <c r="AN18" i="1"/>
  <c r="G85" i="43"/>
  <c r="H85" i="43" s="1"/>
  <c r="I183" i="43"/>
  <c r="E95" i="43"/>
  <c r="D9" i="26" s="1"/>
  <c r="E33" i="42"/>
  <c r="G33" i="42" s="1"/>
  <c r="C35" i="42"/>
  <c r="E34" i="42" s="1"/>
  <c r="G34" i="42" s="1"/>
  <c r="J183" i="43"/>
  <c r="K183" i="43"/>
  <c r="I200" i="43"/>
  <c r="G164" i="43"/>
  <c r="G168" i="43" s="1"/>
  <c r="H168" i="43" s="1"/>
  <c r="E172" i="43"/>
  <c r="J22" i="43"/>
  <c r="M183" i="43"/>
  <c r="N208" i="43"/>
  <c r="D101" i="43"/>
  <c r="M107" i="43"/>
  <c r="N107" i="43" s="1"/>
  <c r="O107" i="43" s="1"/>
  <c r="P107" i="43" s="1"/>
  <c r="Q107" i="43" s="1"/>
  <c r="R107" i="43" s="1"/>
  <c r="S107" i="43" s="1"/>
  <c r="M200" i="43"/>
  <c r="F162" i="43"/>
  <c r="G86" i="43"/>
  <c r="H86" i="43" s="1"/>
  <c r="G88" i="43"/>
  <c r="H88" i="43" s="1"/>
  <c r="O114" i="43"/>
  <c r="D178" i="43"/>
  <c r="L200" i="43"/>
  <c r="G167" i="43"/>
  <c r="H167" i="43" s="1"/>
  <c r="D25" i="42"/>
  <c r="C37" i="42"/>
  <c r="E37" i="42" s="1"/>
  <c r="G37" i="42" s="1"/>
  <c r="C27" i="42"/>
  <c r="C20" i="42" s="1"/>
  <c r="C36" i="42"/>
  <c r="E35" i="42" s="1"/>
  <c r="G35" i="42" s="1"/>
  <c r="D27" i="42"/>
  <c r="G171" i="43" l="1"/>
  <c r="G170" i="43"/>
  <c r="H170" i="43" s="1"/>
  <c r="D20" i="42"/>
  <c r="H164" i="43"/>
  <c r="F164" i="43"/>
  <c r="G169" i="43"/>
  <c r="H169" i="43" s="1"/>
  <c r="F88" i="43"/>
  <c r="G94" i="43"/>
  <c r="H94" i="43" s="1"/>
  <c r="G93" i="43"/>
  <c r="H93" i="43" s="1"/>
  <c r="G92" i="43"/>
  <c r="H92" i="43" s="1"/>
  <c r="G91" i="43"/>
  <c r="H91" i="43" s="1"/>
  <c r="G90" i="43"/>
  <c r="H90" i="43" s="1"/>
  <c r="C98" i="43" s="1"/>
  <c r="K22" i="43"/>
  <c r="F86" i="43"/>
  <c r="P114" i="43"/>
  <c r="N200" i="43"/>
  <c r="N183" i="43"/>
  <c r="O208" i="43"/>
  <c r="E36" i="42"/>
  <c r="G36" i="42" s="1"/>
  <c r="C175" i="43" l="1"/>
  <c r="F9" i="26"/>
  <c r="O200" i="43"/>
  <c r="P208" i="43"/>
  <c r="O183" i="43"/>
  <c r="Q114" i="43"/>
  <c r="R114" i="43" l="1"/>
  <c r="Q208" i="43"/>
  <c r="P183" i="43"/>
  <c r="P200" i="43"/>
  <c r="Q183" i="43" l="1"/>
  <c r="R208" i="43"/>
  <c r="Q200" i="43"/>
  <c r="S114" i="43"/>
  <c r="R200" i="43" l="1"/>
  <c r="R183" i="43"/>
  <c r="S208" i="43"/>
  <c r="E21" i="42" l="1"/>
  <c r="E23" i="42"/>
  <c r="E25" i="42"/>
  <c r="E27" i="42"/>
  <c r="E22" i="42"/>
  <c r="E24" i="42"/>
  <c r="E26" i="42"/>
  <c r="S200" i="43"/>
  <c r="S183" i="43"/>
  <c r="E20" i="42" l="1"/>
  <c r="F25" i="42" l="1"/>
  <c r="F24" i="42"/>
  <c r="F23" i="42"/>
  <c r="F21" i="42"/>
  <c r="F22" i="42"/>
  <c r="F26" i="42"/>
  <c r="F27" i="42"/>
  <c r="F20" i="42" l="1"/>
  <c r="C105" i="43" s="1"/>
  <c r="C109" i="43" s="1"/>
  <c r="C111" i="43" s="1"/>
  <c r="C278" i="43" s="1"/>
  <c r="G23" i="42" l="1"/>
  <c r="G21" i="42"/>
  <c r="G22" i="42"/>
  <c r="G25" i="42"/>
  <c r="G24" i="42"/>
  <c r="G26" i="42"/>
  <c r="G27" i="42"/>
  <c r="G20" i="42" l="1"/>
  <c r="D105" i="43" s="1"/>
  <c r="D109" i="43" s="1"/>
  <c r="D111" i="43" s="1"/>
  <c r="H22" i="42" l="1"/>
  <c r="H24" i="42"/>
  <c r="H21" i="42"/>
  <c r="H26" i="42"/>
  <c r="H23" i="42"/>
  <c r="H25" i="42"/>
  <c r="H27" i="42"/>
  <c r="H20" i="42" l="1"/>
  <c r="E105" i="43" s="1"/>
  <c r="E109" i="43" s="1"/>
  <c r="E111" i="43" s="1"/>
  <c r="E278" i="43" s="1"/>
  <c r="I21" i="42" l="1"/>
  <c r="I23" i="42"/>
  <c r="I25" i="42"/>
  <c r="I27" i="42"/>
  <c r="I22" i="42"/>
  <c r="I24" i="42"/>
  <c r="I26" i="42"/>
  <c r="I20" i="42" l="1"/>
  <c r="F105" i="43" s="1"/>
  <c r="F109" i="43" l="1"/>
  <c r="F111" i="43" s="1"/>
  <c r="J26" i="42" l="1"/>
  <c r="J23" i="42"/>
  <c r="J21" i="42"/>
  <c r="J24" i="42"/>
  <c r="J22" i="42"/>
  <c r="J27" i="42"/>
  <c r="J25" i="42"/>
  <c r="J20" i="42" l="1"/>
  <c r="G105" i="43" l="1"/>
  <c r="AK16" i="1"/>
  <c r="G109" i="43" l="1"/>
  <c r="G111" i="43" s="1"/>
  <c r="AL6" i="1" l="1"/>
  <c r="K23" i="42"/>
  <c r="K22" i="42"/>
  <c r="K21" i="42"/>
  <c r="K25" i="42"/>
  <c r="K24" i="42"/>
  <c r="K27" i="42"/>
  <c r="K26" i="42"/>
  <c r="K20" i="42" l="1"/>
  <c r="AL16" i="1" l="1"/>
  <c r="H105" i="43"/>
  <c r="H106" i="43" l="1"/>
  <c r="H109" i="43" l="1"/>
  <c r="H111" i="43" s="1"/>
  <c r="AM6" i="1" l="1"/>
  <c r="L24" i="42"/>
  <c r="L23" i="42"/>
  <c r="L22" i="42"/>
  <c r="L21" i="42"/>
  <c r="L25" i="42"/>
  <c r="L26" i="42"/>
  <c r="L27" i="42"/>
  <c r="L20" i="42" l="1"/>
  <c r="AM16" i="1" l="1"/>
  <c r="I105" i="43"/>
  <c r="I106" i="43" s="1"/>
  <c r="I109" i="43" l="1"/>
  <c r="I110" i="43" s="1"/>
  <c r="I111" i="43" s="1"/>
  <c r="T17" i="1" l="1"/>
  <c r="T66" i="1" l="1"/>
  <c r="T65" i="1"/>
  <c r="S66" i="1" l="1"/>
  <c r="S65" i="1"/>
  <c r="V18" i="1"/>
  <c r="L113" i="3" l="1"/>
  <c r="T36" i="4" l="1"/>
  <c r="U36" i="4"/>
  <c r="V36" i="4"/>
  <c r="W36" i="4"/>
  <c r="X36" i="4"/>
  <c r="Y36" i="4"/>
  <c r="Z36" i="4"/>
  <c r="AA36" i="4"/>
  <c r="AB36" i="4"/>
  <c r="AC36" i="4"/>
  <c r="AN48" i="1" l="1"/>
  <c r="AO48" i="1" s="1"/>
  <c r="AP48" i="1" s="1"/>
  <c r="AQ48" i="1" s="1"/>
  <c r="AR48" i="1" s="1"/>
  <c r="AS48" i="1" s="1"/>
  <c r="AT48" i="1" s="1"/>
  <c r="AU48" i="1" s="1"/>
  <c r="AV48" i="1" s="1"/>
  <c r="AW48" i="1" s="1"/>
  <c r="AN47" i="1"/>
  <c r="AO47" i="1" s="1"/>
  <c r="AP47" i="1" s="1"/>
  <c r="AQ47" i="1" s="1"/>
  <c r="AR47" i="1" s="1"/>
  <c r="AS47" i="1" s="1"/>
  <c r="AT47" i="1" s="1"/>
  <c r="AU47" i="1" s="1"/>
  <c r="AV47" i="1" s="1"/>
  <c r="AW47" i="1" s="1"/>
  <c r="T39" i="4"/>
  <c r="U39" i="4" s="1"/>
  <c r="V39" i="4" s="1"/>
  <c r="W39" i="4" s="1"/>
  <c r="X39" i="4" s="1"/>
  <c r="Y39" i="4" s="1"/>
  <c r="Z39" i="4" s="1"/>
  <c r="AA39" i="4" s="1"/>
  <c r="AB39" i="4" s="1"/>
  <c r="AC39" i="4" s="1"/>
  <c r="T38" i="4"/>
  <c r="U38" i="4" s="1"/>
  <c r="V38" i="4" s="1"/>
  <c r="W38" i="4" s="1"/>
  <c r="X38" i="4" s="1"/>
  <c r="Y38" i="4" s="1"/>
  <c r="Z38" i="4" s="1"/>
  <c r="AA38" i="4" s="1"/>
  <c r="AB38" i="4" s="1"/>
  <c r="AC38" i="4" s="1"/>
  <c r="T35" i="4"/>
  <c r="U35" i="4" s="1"/>
  <c r="V35" i="4" s="1"/>
  <c r="W35" i="4" s="1"/>
  <c r="X35" i="4" s="1"/>
  <c r="Y35" i="4" s="1"/>
  <c r="Z35" i="4" s="1"/>
  <c r="AA35" i="4" s="1"/>
  <c r="AB35" i="4" s="1"/>
  <c r="AC35" i="4" s="1"/>
  <c r="T34" i="4"/>
  <c r="U34" i="4" s="1"/>
  <c r="V34" i="4" s="1"/>
  <c r="T15" i="4"/>
  <c r="U15" i="4" s="1"/>
  <c r="V15" i="4" s="1"/>
  <c r="W15" i="4" s="1"/>
  <c r="X15" i="4" s="1"/>
  <c r="Y15" i="4" s="1"/>
  <c r="Z15" i="4" s="1"/>
  <c r="AA15" i="4" s="1"/>
  <c r="AB15" i="4" s="1"/>
  <c r="AC15" i="4" s="1"/>
  <c r="T14" i="4"/>
  <c r="U14" i="4" s="1"/>
  <c r="V14" i="4" s="1"/>
  <c r="W14" i="4" s="1"/>
  <c r="X14" i="4" s="1"/>
  <c r="Y14" i="4" s="1"/>
  <c r="Z14" i="4" s="1"/>
  <c r="AA14" i="4" s="1"/>
  <c r="AB14" i="4" s="1"/>
  <c r="AC14" i="4" s="1"/>
  <c r="T13" i="4"/>
  <c r="U13" i="4" s="1"/>
  <c r="V13" i="4" s="1"/>
  <c r="W13" i="4" s="1"/>
  <c r="X13" i="4" s="1"/>
  <c r="Y13" i="4" s="1"/>
  <c r="Z13" i="4" s="1"/>
  <c r="AA13" i="4" s="1"/>
  <c r="AB13" i="4" s="1"/>
  <c r="AC13" i="4" s="1"/>
  <c r="T12" i="4"/>
  <c r="U12" i="4" s="1"/>
  <c r="V12" i="4" s="1"/>
  <c r="W12" i="4" s="1"/>
  <c r="X12" i="4" s="1"/>
  <c r="Y12" i="4" s="1"/>
  <c r="Z12" i="4" s="1"/>
  <c r="AA12" i="4" s="1"/>
  <c r="AB12" i="4" s="1"/>
  <c r="AC12" i="4" s="1"/>
  <c r="T11" i="4"/>
  <c r="U11" i="4" s="1"/>
  <c r="V11" i="4" s="1"/>
  <c r="W11" i="4" s="1"/>
  <c r="X11" i="4" s="1"/>
  <c r="Y11" i="4" s="1"/>
  <c r="Z11" i="4" s="1"/>
  <c r="AA11" i="4" s="1"/>
  <c r="AB11" i="4" s="1"/>
  <c r="AC11" i="4" s="1"/>
  <c r="T10" i="4"/>
  <c r="U10" i="4" s="1"/>
  <c r="V10" i="4" s="1"/>
  <c r="W10" i="4" s="1"/>
  <c r="X10" i="4" s="1"/>
  <c r="Y10" i="4" s="1"/>
  <c r="Z10" i="4" s="1"/>
  <c r="AA10" i="4" s="1"/>
  <c r="AB10" i="4" s="1"/>
  <c r="AC10" i="4" s="1"/>
  <c r="T8" i="4"/>
  <c r="U8" i="4" s="1"/>
  <c r="V8" i="4" s="1"/>
  <c r="W8" i="4" s="1"/>
  <c r="X8" i="4" s="1"/>
  <c r="Y8" i="4" s="1"/>
  <c r="Z8" i="4" s="1"/>
  <c r="AA8" i="4" s="1"/>
  <c r="AB8" i="4" s="1"/>
  <c r="AC8" i="4" s="1"/>
  <c r="T25" i="4"/>
  <c r="U25" i="4" s="1"/>
  <c r="V25" i="4" s="1"/>
  <c r="W25" i="4" s="1"/>
  <c r="X25" i="4" s="1"/>
  <c r="Y25" i="4" s="1"/>
  <c r="Z25" i="4" s="1"/>
  <c r="AA25" i="4" s="1"/>
  <c r="AB25" i="4" s="1"/>
  <c r="AC25" i="4" s="1"/>
  <c r="T20" i="4"/>
  <c r="U20" i="4" s="1"/>
  <c r="V20" i="4" s="1"/>
  <c r="W20" i="4" s="1"/>
  <c r="S28" i="3"/>
  <c r="T28" i="3" s="1"/>
  <c r="U28" i="3" s="1"/>
  <c r="V28" i="3" s="1"/>
  <c r="W28" i="3" s="1"/>
  <c r="X28" i="3" s="1"/>
  <c r="Y28" i="3" s="1"/>
  <c r="Z28" i="3" s="1"/>
  <c r="AA28" i="3" s="1"/>
  <c r="AB28" i="3" s="1"/>
  <c r="S27" i="3"/>
  <c r="T27" i="3" s="1"/>
  <c r="S26" i="3"/>
  <c r="T26" i="3" s="1"/>
  <c r="U26" i="3" s="1"/>
  <c r="V26" i="3" s="1"/>
  <c r="W26" i="3" s="1"/>
  <c r="X26" i="3" s="1"/>
  <c r="Y26" i="3" s="1"/>
  <c r="Z26" i="3" s="1"/>
  <c r="AA26" i="3" s="1"/>
  <c r="AB26" i="3" s="1"/>
  <c r="S25" i="3"/>
  <c r="T25" i="3" s="1"/>
  <c r="U25" i="3" s="1"/>
  <c r="S13" i="3"/>
  <c r="T13" i="3" s="1"/>
  <c r="U13" i="3" s="1"/>
  <c r="V13" i="3" s="1"/>
  <c r="W13" i="3" s="1"/>
  <c r="X13" i="3" s="1"/>
  <c r="Y13" i="3" s="1"/>
  <c r="Z13" i="3" s="1"/>
  <c r="AA13" i="3" s="1"/>
  <c r="AB13" i="3" s="1"/>
  <c r="S12" i="3"/>
  <c r="T12" i="3" s="1"/>
  <c r="U12" i="3" s="1"/>
  <c r="V12" i="3" s="1"/>
  <c r="W12" i="3" s="1"/>
  <c r="X12" i="3" s="1"/>
  <c r="Y12" i="3" s="1"/>
  <c r="Z12" i="3" s="1"/>
  <c r="AA12" i="3" s="1"/>
  <c r="AB12" i="3" s="1"/>
  <c r="T110" i="3"/>
  <c r="U110" i="3" s="1"/>
  <c r="V110" i="3" s="1"/>
  <c r="W110" i="3" s="1"/>
  <c r="X110" i="3" s="1"/>
  <c r="Y110" i="3" s="1"/>
  <c r="Z110" i="3" s="1"/>
  <c r="AA110" i="3" s="1"/>
  <c r="AB110" i="3" s="1"/>
  <c r="Z116" i="3"/>
  <c r="AA116" i="3" s="1"/>
  <c r="AB116" i="3" s="1"/>
  <c r="S108" i="3"/>
  <c r="T108" i="3" s="1"/>
  <c r="U108" i="3" s="1"/>
  <c r="V108" i="3" s="1"/>
  <c r="W108" i="3" s="1"/>
  <c r="X108" i="3" s="1"/>
  <c r="Y108" i="3" s="1"/>
  <c r="Z108" i="3" s="1"/>
  <c r="AA108" i="3" s="1"/>
  <c r="AB108" i="3" s="1"/>
  <c r="S105" i="3"/>
  <c r="T105" i="3" s="1"/>
  <c r="U105" i="3" s="1"/>
  <c r="V105" i="3" s="1"/>
  <c r="W105" i="3" s="1"/>
  <c r="X105" i="3" s="1"/>
  <c r="Y105" i="3" s="1"/>
  <c r="Z105" i="3" s="1"/>
  <c r="AA105" i="3" s="1"/>
  <c r="AB105" i="3" s="1"/>
  <c r="U64" i="3"/>
  <c r="V64" i="3" s="1"/>
  <c r="W64" i="3" s="1"/>
  <c r="X64" i="3" s="1"/>
  <c r="Y64" i="3" s="1"/>
  <c r="Z64" i="3" s="1"/>
  <c r="AA64" i="3" s="1"/>
  <c r="AB64" i="3" s="1"/>
  <c r="S62" i="3"/>
  <c r="T62" i="3" s="1"/>
  <c r="U62" i="3" s="1"/>
  <c r="V62" i="3" s="1"/>
  <c r="W62" i="3" s="1"/>
  <c r="X62" i="3" s="1"/>
  <c r="Y62" i="3" s="1"/>
  <c r="Z62" i="3" s="1"/>
  <c r="AA62" i="3" s="1"/>
  <c r="AB62" i="3" s="1"/>
  <c r="Z60" i="3"/>
  <c r="AN13" i="1"/>
  <c r="S49" i="3" s="1"/>
  <c r="S59" i="3" s="1"/>
  <c r="S7" i="3" s="1"/>
  <c r="AP13" i="1"/>
  <c r="U49" i="3" s="1"/>
  <c r="U59" i="3" s="1"/>
  <c r="U7" i="3" s="1"/>
  <c r="AR13" i="1"/>
  <c r="W49" i="3" s="1"/>
  <c r="W59" i="3" s="1"/>
  <c r="W7" i="3" s="1"/>
  <c r="AT13" i="1"/>
  <c r="Y49" i="3" s="1"/>
  <c r="Y59" i="3" s="1"/>
  <c r="Y7" i="3" s="1"/>
  <c r="AU13" i="1"/>
  <c r="Z49" i="3" s="1"/>
  <c r="AV13" i="1"/>
  <c r="AA49" i="3" s="1"/>
  <c r="T58" i="3"/>
  <c r="AQ45" i="1"/>
  <c r="AR45" i="1" s="1"/>
  <c r="AS45" i="1" s="1"/>
  <c r="AT45" i="1" s="1"/>
  <c r="AU45" i="1" s="1"/>
  <c r="AV45" i="1" s="1"/>
  <c r="AW45" i="1" s="1"/>
  <c r="AN42" i="1"/>
  <c r="AO42" i="1" s="1"/>
  <c r="AP42" i="1" s="1"/>
  <c r="AQ42" i="1" s="1"/>
  <c r="AR42" i="1" s="1"/>
  <c r="AS42" i="1" s="1"/>
  <c r="AT42" i="1" s="1"/>
  <c r="AU42" i="1" s="1"/>
  <c r="AV42" i="1" s="1"/>
  <c r="AW42" i="1" s="1"/>
  <c r="AN40" i="1"/>
  <c r="AO40" i="1" s="1"/>
  <c r="AP40" i="1" s="1"/>
  <c r="AQ40" i="1" s="1"/>
  <c r="AM41" i="1"/>
  <c r="AN41" i="1" s="1"/>
  <c r="AO41" i="1" s="1"/>
  <c r="AP41" i="1" s="1"/>
  <c r="AQ41" i="1" s="1"/>
  <c r="AR41" i="1" s="1"/>
  <c r="AS41" i="1" s="1"/>
  <c r="AT41" i="1" s="1"/>
  <c r="AU41" i="1" s="1"/>
  <c r="AV41" i="1" s="1"/>
  <c r="AW41" i="1" s="1"/>
  <c r="AN34" i="1"/>
  <c r="AO34" i="1" s="1"/>
  <c r="AP34" i="1" s="1"/>
  <c r="AQ34" i="1" s="1"/>
  <c r="AR34" i="1" s="1"/>
  <c r="AS34" i="1" s="1"/>
  <c r="AT34" i="1" s="1"/>
  <c r="AU34" i="1" s="1"/>
  <c r="AV34" i="1" s="1"/>
  <c r="AW34" i="1" s="1"/>
  <c r="AN33" i="1"/>
  <c r="AO33" i="1" s="1"/>
  <c r="AP33" i="1" s="1"/>
  <c r="AO66" i="1"/>
  <c r="AP66" i="1" s="1"/>
  <c r="AQ66" i="1" s="1"/>
  <c r="AR66" i="1" s="1"/>
  <c r="AS66" i="1" s="1"/>
  <c r="AT66" i="1" s="1"/>
  <c r="AU66" i="1" s="1"/>
  <c r="AV66" i="1" s="1"/>
  <c r="AW66" i="1" s="1"/>
  <c r="AO65" i="1"/>
  <c r="AP65" i="1" s="1"/>
  <c r="AQ65" i="1" s="1"/>
  <c r="AR65" i="1" s="1"/>
  <c r="AS65" i="1" s="1"/>
  <c r="AT65" i="1" s="1"/>
  <c r="AU65" i="1" s="1"/>
  <c r="AV65" i="1" s="1"/>
  <c r="AW65" i="1" s="1"/>
  <c r="AN30" i="1"/>
  <c r="AO30" i="1" s="1"/>
  <c r="AP30" i="1" s="1"/>
  <c r="AQ30" i="1" s="1"/>
  <c r="AR30" i="1" s="1"/>
  <c r="AS30" i="1" s="1"/>
  <c r="AT30" i="1" s="1"/>
  <c r="AU30" i="1" s="1"/>
  <c r="AV30" i="1" s="1"/>
  <c r="AW30" i="1" s="1"/>
  <c r="AO13" i="1"/>
  <c r="T49" i="3" s="1"/>
  <c r="T59" i="3" s="1"/>
  <c r="T7" i="3" s="1"/>
  <c r="AQ13" i="1"/>
  <c r="V49" i="3" s="1"/>
  <c r="V59" i="3" s="1"/>
  <c r="V7" i="3" s="1"/>
  <c r="AS13" i="1"/>
  <c r="X49" i="3" s="1"/>
  <c r="X59" i="3" s="1"/>
  <c r="X7" i="3" s="1"/>
  <c r="AW13" i="1"/>
  <c r="AB49" i="3" s="1"/>
  <c r="M12" i="1"/>
  <c r="M57" i="1" s="1"/>
  <c r="N12" i="1"/>
  <c r="N57" i="1" s="1"/>
  <c r="O12" i="1"/>
  <c r="O57" i="1" s="1"/>
  <c r="P12" i="1"/>
  <c r="P57" i="1" s="1"/>
  <c r="Q12" i="1"/>
  <c r="Q57" i="1" s="1"/>
  <c r="R12" i="1"/>
  <c r="R57" i="1" s="1"/>
  <c r="S12" i="1"/>
  <c r="S57" i="1" s="1"/>
  <c r="T12" i="1"/>
  <c r="T57" i="1" s="1"/>
  <c r="U12" i="1"/>
  <c r="U57" i="1" s="1"/>
  <c r="V12" i="1"/>
  <c r="V57" i="1" s="1"/>
  <c r="AA12" i="1"/>
  <c r="AA57" i="1" s="1"/>
  <c r="AF12" i="1"/>
  <c r="AF57" i="1" s="1"/>
  <c r="AK12" i="1"/>
  <c r="AK57" i="1" s="1"/>
  <c r="AL12" i="1"/>
  <c r="AL57" i="1" s="1"/>
  <c r="AM12" i="1"/>
  <c r="AM57" i="1" s="1"/>
  <c r="AN12" i="1"/>
  <c r="AN57" i="1" s="1"/>
  <c r="AO12" i="1"/>
  <c r="AO57" i="1" s="1"/>
  <c r="AP12" i="1"/>
  <c r="AP57" i="1" s="1"/>
  <c r="AQ12" i="1"/>
  <c r="AQ57" i="1" s="1"/>
  <c r="AR12" i="1"/>
  <c r="AR57" i="1" s="1"/>
  <c r="AS12" i="1"/>
  <c r="AS57" i="1" s="1"/>
  <c r="AT12" i="1"/>
  <c r="AT57" i="1" s="1"/>
  <c r="AU12" i="1"/>
  <c r="AU57" i="1" s="1"/>
  <c r="AV12" i="1"/>
  <c r="AV57" i="1" s="1"/>
  <c r="AW12" i="1"/>
  <c r="AW57" i="1" s="1"/>
  <c r="L12" i="1"/>
  <c r="L57" i="1" s="1"/>
  <c r="G12" i="1"/>
  <c r="G57" i="1" s="1"/>
  <c r="H38" i="3"/>
  <c r="G38" i="3"/>
  <c r="F38" i="3"/>
  <c r="E38" i="3"/>
  <c r="N36" i="3"/>
  <c r="O36" i="3" s="1"/>
  <c r="P36" i="3" s="1"/>
  <c r="Q36" i="3" s="1"/>
  <c r="R36" i="3" s="1"/>
  <c r="S36" i="3" s="1"/>
  <c r="T36" i="3" s="1"/>
  <c r="U36" i="3" s="1"/>
  <c r="V36" i="3" s="1"/>
  <c r="W36" i="3" s="1"/>
  <c r="X36" i="3" s="1"/>
  <c r="Y36" i="3" s="1"/>
  <c r="Z36" i="3" s="1"/>
  <c r="AA36" i="3" s="1"/>
  <c r="AB36" i="3" s="1"/>
  <c r="O36" i="4"/>
  <c r="Q36" i="4"/>
  <c r="N36" i="4"/>
  <c r="L130" i="3"/>
  <c r="M128" i="3"/>
  <c r="L128" i="3"/>
  <c r="L124" i="3"/>
  <c r="M112" i="3"/>
  <c r="N112" i="3" s="1"/>
  <c r="O112" i="3" s="1"/>
  <c r="P112" i="3" s="1"/>
  <c r="Q112" i="3" s="1"/>
  <c r="R112" i="3" s="1"/>
  <c r="L110" i="3"/>
  <c r="L108" i="3"/>
  <c r="M106" i="3"/>
  <c r="M111" i="3" s="1"/>
  <c r="L105" i="3"/>
  <c r="M103" i="3"/>
  <c r="M107" i="3" s="1"/>
  <c r="L116" i="3"/>
  <c r="L120" i="3"/>
  <c r="L126" i="3" s="1"/>
  <c r="N102" i="3"/>
  <c r="O102" i="3" s="1"/>
  <c r="P102" i="3" s="1"/>
  <c r="Q102" i="3" s="1"/>
  <c r="P77" i="3"/>
  <c r="Q77" i="3" s="1"/>
  <c r="F71" i="3"/>
  <c r="G71" i="3"/>
  <c r="H71" i="3"/>
  <c r="L71" i="3"/>
  <c r="E71" i="3"/>
  <c r="F73" i="3"/>
  <c r="G68" i="3" s="1"/>
  <c r="G73" i="3"/>
  <c r="L68" i="3" s="1"/>
  <c r="H73" i="3"/>
  <c r="I68" i="3" s="1"/>
  <c r="I73" i="3"/>
  <c r="J68" i="3" s="1"/>
  <c r="J73" i="3"/>
  <c r="K68" i="3" s="1"/>
  <c r="K73" i="3"/>
  <c r="E73" i="3"/>
  <c r="F68" i="3" s="1"/>
  <c r="H50" i="3"/>
  <c r="I50" i="3"/>
  <c r="J50" i="3"/>
  <c r="K50" i="3"/>
  <c r="H52" i="3"/>
  <c r="I52" i="3"/>
  <c r="J52" i="3"/>
  <c r="K52" i="3"/>
  <c r="F63" i="3"/>
  <c r="G63" i="3"/>
  <c r="H63" i="3"/>
  <c r="I63" i="3"/>
  <c r="J63" i="3"/>
  <c r="K63" i="3"/>
  <c r="E63" i="3"/>
  <c r="F61" i="3"/>
  <c r="G61" i="3"/>
  <c r="H61" i="3"/>
  <c r="I61" i="3"/>
  <c r="J61" i="3"/>
  <c r="K61" i="3"/>
  <c r="E61" i="3"/>
  <c r="G9" i="3"/>
  <c r="F9" i="3"/>
  <c r="E9" i="3"/>
  <c r="H9" i="3"/>
  <c r="I9" i="3"/>
  <c r="K9" i="3"/>
  <c r="M7" i="3"/>
  <c r="N7" i="3"/>
  <c r="O7" i="3"/>
  <c r="P7" i="3"/>
  <c r="Q7" i="3"/>
  <c r="F59" i="3"/>
  <c r="G59" i="3"/>
  <c r="H59" i="3"/>
  <c r="I59" i="3"/>
  <c r="J59" i="3"/>
  <c r="K59" i="3"/>
  <c r="L59" i="3"/>
  <c r="E59" i="3"/>
  <c r="F57" i="3"/>
  <c r="G57" i="3"/>
  <c r="H57" i="3"/>
  <c r="I57" i="3"/>
  <c r="J57" i="3"/>
  <c r="K57" i="3"/>
  <c r="E57" i="3"/>
  <c r="L55" i="3"/>
  <c r="L69" i="3" s="1"/>
  <c r="O81" i="3" s="1"/>
  <c r="H55" i="3"/>
  <c r="H69" i="3" s="1"/>
  <c r="G55" i="3"/>
  <c r="G69" i="3" s="1"/>
  <c r="J80" i="3" s="1"/>
  <c r="F55" i="3"/>
  <c r="F69" i="3" s="1"/>
  <c r="I79" i="3" s="1"/>
  <c r="E55" i="3"/>
  <c r="E69" i="3" s="1"/>
  <c r="H78" i="3" s="1"/>
  <c r="Q52" i="3"/>
  <c r="P52" i="3"/>
  <c r="O52" i="3"/>
  <c r="N52" i="3"/>
  <c r="M52" i="3"/>
  <c r="L52" i="3"/>
  <c r="G52" i="3"/>
  <c r="F52" i="3"/>
  <c r="E52" i="3"/>
  <c r="N50" i="3"/>
  <c r="M50" i="3"/>
  <c r="L50" i="3"/>
  <c r="G50" i="3"/>
  <c r="F50" i="3"/>
  <c r="E50" i="3"/>
  <c r="U58" i="3" l="1"/>
  <c r="R102" i="3"/>
  <c r="R36" i="4"/>
  <c r="Z18" i="4"/>
  <c r="S102" i="3"/>
  <c r="T102" i="3" s="1"/>
  <c r="U102" i="3" s="1"/>
  <c r="V102" i="3" s="1"/>
  <c r="W102" i="3" s="1"/>
  <c r="X102" i="3" s="1"/>
  <c r="Y102" i="3" s="1"/>
  <c r="Z102" i="3" s="1"/>
  <c r="AA102" i="3" s="1"/>
  <c r="AB102" i="3" s="1"/>
  <c r="U18" i="4"/>
  <c r="X18" i="4"/>
  <c r="V18" i="4"/>
  <c r="O18" i="4"/>
  <c r="Y18" i="4"/>
  <c r="Q18" i="4"/>
  <c r="P18" i="4"/>
  <c r="W34" i="4"/>
  <c r="W18" i="4"/>
  <c r="R18" i="4"/>
  <c r="Z59" i="3"/>
  <c r="Z7" i="3" s="1"/>
  <c r="AA18" i="4" s="1"/>
  <c r="AA60" i="3"/>
  <c r="AB60" i="3" s="1"/>
  <c r="AB59" i="3" s="1"/>
  <c r="AB7" i="3" s="1"/>
  <c r="X20" i="4"/>
  <c r="Y20" i="4" s="1"/>
  <c r="Z20" i="4" s="1"/>
  <c r="AA20" i="4" s="1"/>
  <c r="AB20" i="4" s="1"/>
  <c r="AC20" i="4" s="1"/>
  <c r="V25" i="3"/>
  <c r="U27" i="3"/>
  <c r="V27" i="3" s="1"/>
  <c r="W27" i="3" s="1"/>
  <c r="X27" i="3" s="1"/>
  <c r="Y27" i="3" s="1"/>
  <c r="Z27" i="3" s="1"/>
  <c r="AA27" i="3" s="1"/>
  <c r="AB27" i="3" s="1"/>
  <c r="K78" i="3"/>
  <c r="G78" i="3"/>
  <c r="L79" i="3"/>
  <c r="H79" i="3"/>
  <c r="M80" i="3"/>
  <c r="I80" i="3"/>
  <c r="N81" i="3"/>
  <c r="M104" i="3"/>
  <c r="N18" i="4"/>
  <c r="J78" i="3"/>
  <c r="F78" i="3"/>
  <c r="K79" i="3"/>
  <c r="G79" i="3"/>
  <c r="L80" i="3"/>
  <c r="H80" i="3"/>
  <c r="M81" i="3"/>
  <c r="M109" i="3"/>
  <c r="M129" i="3" s="1"/>
  <c r="E78" i="3"/>
  <c r="E98" i="3" s="1"/>
  <c r="I78" i="3"/>
  <c r="F79" i="3"/>
  <c r="J79" i="3"/>
  <c r="G80" i="3"/>
  <c r="K80" i="3"/>
  <c r="L81" i="3"/>
  <c r="N106" i="3"/>
  <c r="M115" i="3"/>
  <c r="L78" i="3"/>
  <c r="M79" i="3"/>
  <c r="N80" i="3"/>
  <c r="S112" i="3"/>
  <c r="T112" i="3" s="1"/>
  <c r="U112" i="3" s="1"/>
  <c r="V112" i="3" s="1"/>
  <c r="W112" i="3" s="1"/>
  <c r="X112" i="3" s="1"/>
  <c r="Y112" i="3" s="1"/>
  <c r="Z112" i="3" s="1"/>
  <c r="AA112" i="3" s="1"/>
  <c r="AB112" i="3" s="1"/>
  <c r="AR40" i="1"/>
  <c r="AQ33" i="1"/>
  <c r="R77" i="3"/>
  <c r="S77" i="3" s="1"/>
  <c r="T77" i="3" s="1"/>
  <c r="H68" i="3"/>
  <c r="R66" i="1"/>
  <c r="R65" i="1"/>
  <c r="V58" i="3" l="1"/>
  <c r="S36" i="4"/>
  <c r="P36" i="4"/>
  <c r="AA59" i="3"/>
  <c r="AA7" i="3" s="1"/>
  <c r="AB18" i="4" s="1"/>
  <c r="M113" i="3"/>
  <c r="N40" i="4" s="1"/>
  <c r="X34" i="4"/>
  <c r="G98" i="3"/>
  <c r="I98" i="3"/>
  <c r="J98" i="3"/>
  <c r="H98" i="3"/>
  <c r="W25" i="3"/>
  <c r="N128" i="3"/>
  <c r="M130" i="3"/>
  <c r="M131" i="3" s="1"/>
  <c r="U77" i="3"/>
  <c r="K98" i="3"/>
  <c r="N103" i="3"/>
  <c r="N111" i="3"/>
  <c r="O106" i="3"/>
  <c r="AS40" i="1"/>
  <c r="AR33" i="1"/>
  <c r="L98" i="3"/>
  <c r="F98" i="3"/>
  <c r="W58" i="3" l="1"/>
  <c r="AC18" i="4"/>
  <c r="M120" i="3"/>
  <c r="Y34" i="4"/>
  <c r="X25" i="3"/>
  <c r="N109" i="3"/>
  <c r="N113" i="3" s="1"/>
  <c r="N104" i="3"/>
  <c r="N115" i="3"/>
  <c r="N107" i="3"/>
  <c r="V77" i="3"/>
  <c r="O111" i="3"/>
  <c r="P106" i="3"/>
  <c r="AT40" i="1"/>
  <c r="AS33" i="1"/>
  <c r="X58" i="3" l="1"/>
  <c r="Z34" i="4"/>
  <c r="O128" i="3"/>
  <c r="Y25" i="3"/>
  <c r="O103" i="3"/>
  <c r="W77" i="3"/>
  <c r="N120" i="3"/>
  <c r="O40" i="4"/>
  <c r="Q106" i="3"/>
  <c r="P111" i="3"/>
  <c r="AU40" i="1"/>
  <c r="AT33" i="1"/>
  <c r="Y58" i="3" l="1"/>
  <c r="N130" i="3"/>
  <c r="N131" i="3" s="1"/>
  <c r="AA34" i="4"/>
  <c r="Z25" i="3"/>
  <c r="R106" i="3"/>
  <c r="Q111" i="3"/>
  <c r="X77" i="3"/>
  <c r="O109" i="3"/>
  <c r="O113" i="3" s="1"/>
  <c r="O104" i="3"/>
  <c r="O115" i="3"/>
  <c r="O107" i="3"/>
  <c r="AV40" i="1"/>
  <c r="AU33" i="1"/>
  <c r="Z58" i="3" l="1"/>
  <c r="AB34" i="4"/>
  <c r="AA25" i="3"/>
  <c r="P103" i="3"/>
  <c r="Y77" i="3"/>
  <c r="P40" i="4"/>
  <c r="O120" i="3"/>
  <c r="R111" i="3"/>
  <c r="S106" i="3"/>
  <c r="O129" i="3"/>
  <c r="AW40" i="1"/>
  <c r="AV33" i="1"/>
  <c r="AA58" i="3" l="1"/>
  <c r="AC34" i="4"/>
  <c r="AB25" i="3"/>
  <c r="Z77" i="3"/>
  <c r="P104" i="3"/>
  <c r="P109" i="3"/>
  <c r="P113" i="3" s="1"/>
  <c r="P107" i="3"/>
  <c r="P115" i="3"/>
  <c r="P128" i="3"/>
  <c r="O130" i="3"/>
  <c r="O131" i="3" s="1"/>
  <c r="S111" i="3"/>
  <c r="T106" i="3"/>
  <c r="AW33" i="1"/>
  <c r="AB58" i="3" l="1"/>
  <c r="P129" i="3"/>
  <c r="P130" i="3" s="1"/>
  <c r="Q103" i="3"/>
  <c r="Q107" i="3" s="1"/>
  <c r="U106" i="3"/>
  <c r="T111" i="3"/>
  <c r="AA77" i="3"/>
  <c r="P120" i="3"/>
  <c r="Q40" i="4"/>
  <c r="P131" i="3" l="1"/>
  <c r="Q115" i="3"/>
  <c r="Q128" i="3"/>
  <c r="Q109" i="3"/>
  <c r="Q113" i="3" s="1"/>
  <c r="Q120" i="3" s="1"/>
  <c r="Q104" i="3"/>
  <c r="AB77" i="3"/>
  <c r="V106" i="3"/>
  <c r="U111" i="3"/>
  <c r="AK75" i="1"/>
  <c r="AF75" i="1"/>
  <c r="AA75" i="1"/>
  <c r="V75" i="1"/>
  <c r="Q75" i="1"/>
  <c r="L75" i="1"/>
  <c r="G75" i="1"/>
  <c r="G70" i="1"/>
  <c r="L70" i="1"/>
  <c r="P70" i="1"/>
  <c r="O70" i="1"/>
  <c r="N70" i="1"/>
  <c r="M70" i="1"/>
  <c r="K70" i="1"/>
  <c r="J70" i="1"/>
  <c r="I70" i="1"/>
  <c r="H70" i="1"/>
  <c r="Q70" i="1"/>
  <c r="V70" i="1" s="1"/>
  <c r="U70" i="1" s="1"/>
  <c r="Q129" i="3" l="1"/>
  <c r="R128" i="3" s="1"/>
  <c r="R103" i="3"/>
  <c r="R115" i="3" s="1"/>
  <c r="R40" i="4"/>
  <c r="AL75" i="1" s="1"/>
  <c r="W106" i="3"/>
  <c r="V111" i="3"/>
  <c r="AA70" i="1"/>
  <c r="R70" i="1"/>
  <c r="S70" i="1"/>
  <c r="T70" i="1"/>
  <c r="AG70" i="1" l="1"/>
  <c r="AJ70" i="1"/>
  <c r="AI70" i="1"/>
  <c r="AH70" i="1"/>
  <c r="AB70" i="1"/>
  <c r="AE70" i="1"/>
  <c r="AD70" i="1"/>
  <c r="AC70" i="1"/>
  <c r="Q130" i="3"/>
  <c r="AF70" i="1"/>
  <c r="AK70" i="1" s="1"/>
  <c r="AL70" i="1" s="1"/>
  <c r="AM70" i="1" s="1"/>
  <c r="X70" i="1"/>
  <c r="Y70" i="1"/>
  <c r="Z70" i="1"/>
  <c r="W70" i="1"/>
  <c r="R107" i="3"/>
  <c r="R109" i="3"/>
  <c r="R104" i="3"/>
  <c r="X106" i="3"/>
  <c r="W111" i="3"/>
  <c r="V40" i="1"/>
  <c r="Q131" i="3" l="1"/>
  <c r="AL51" i="1"/>
  <c r="S103" i="3"/>
  <c r="S115" i="3" s="1"/>
  <c r="R113" i="3"/>
  <c r="R129" i="3"/>
  <c r="Y106" i="3"/>
  <c r="X111" i="3"/>
  <c r="S104" i="3" l="1"/>
  <c r="S109" i="3"/>
  <c r="S113" i="3" s="1"/>
  <c r="T40" i="4" s="1"/>
  <c r="T41" i="4" s="1"/>
  <c r="S107" i="3"/>
  <c r="R130" i="3"/>
  <c r="S128" i="3"/>
  <c r="R120" i="3"/>
  <c r="S40" i="4"/>
  <c r="AM75" i="1" s="1"/>
  <c r="Z106" i="3"/>
  <c r="Y111" i="3"/>
  <c r="L109" i="9"/>
  <c r="L99" i="9"/>
  <c r="L89" i="9"/>
  <c r="L79" i="9"/>
  <c r="L69" i="9"/>
  <c r="L59" i="9"/>
  <c r="R131" i="3" l="1"/>
  <c r="AM51" i="1"/>
  <c r="S129" i="3"/>
  <c r="T128" i="3" s="1"/>
  <c r="S120" i="3"/>
  <c r="T103" i="3"/>
  <c r="T115" i="3" s="1"/>
  <c r="AA106" i="3"/>
  <c r="Z111" i="3"/>
  <c r="D198" i="34"/>
  <c r="L108" i="34"/>
  <c r="M108" i="34" s="1"/>
  <c r="N108" i="34" s="1"/>
  <c r="O108" i="34" s="1"/>
  <c r="P108" i="34" s="1"/>
  <c r="Q108" i="34" s="1"/>
  <c r="R108" i="34" s="1"/>
  <c r="S108" i="34" s="1"/>
  <c r="T108" i="34" s="1"/>
  <c r="U108" i="34" s="1"/>
  <c r="V108" i="34" s="1"/>
  <c r="L87" i="34"/>
  <c r="M87" i="34" s="1"/>
  <c r="N87" i="34" s="1"/>
  <c r="O87" i="34" s="1"/>
  <c r="P87" i="34" s="1"/>
  <c r="Q87" i="34" s="1"/>
  <c r="R87" i="34" s="1"/>
  <c r="S87" i="34" s="1"/>
  <c r="T87" i="34" s="1"/>
  <c r="U87" i="34" s="1"/>
  <c r="V87" i="34" s="1"/>
  <c r="L66" i="34"/>
  <c r="M66" i="34" s="1"/>
  <c r="N66" i="34" s="1"/>
  <c r="O66" i="34" s="1"/>
  <c r="P66" i="34" s="1"/>
  <c r="Q66" i="34" s="1"/>
  <c r="R66" i="34" s="1"/>
  <c r="S66" i="34" s="1"/>
  <c r="T66" i="34" s="1"/>
  <c r="U66" i="34" s="1"/>
  <c r="V66" i="34" s="1"/>
  <c r="L65" i="34"/>
  <c r="L45" i="34"/>
  <c r="L44" i="34" s="1"/>
  <c r="L24" i="34"/>
  <c r="M24" i="34" s="1"/>
  <c r="N24" i="34" s="1"/>
  <c r="O24" i="34" s="1"/>
  <c r="P24" i="34" s="1"/>
  <c r="Q24" i="34" s="1"/>
  <c r="R24" i="34" s="1"/>
  <c r="S24" i="34" s="1"/>
  <c r="T24" i="34" s="1"/>
  <c r="U24" i="34" s="1"/>
  <c r="V24" i="34" s="1"/>
  <c r="D11" i="34"/>
  <c r="E11" i="34" s="1"/>
  <c r="F11" i="34" s="1"/>
  <c r="G11" i="34" s="1"/>
  <c r="H11" i="34" s="1"/>
  <c r="I11" i="34" s="1"/>
  <c r="J11" i="34" s="1"/>
  <c r="K11" i="34" s="1"/>
  <c r="L11" i="34" s="1"/>
  <c r="M11" i="34" s="1"/>
  <c r="N11" i="34" s="1"/>
  <c r="O11" i="34" s="1"/>
  <c r="P11" i="34" s="1"/>
  <c r="Q11" i="34" s="1"/>
  <c r="R11" i="34" s="1"/>
  <c r="S11" i="34" s="1"/>
  <c r="T11" i="34" s="1"/>
  <c r="U11" i="34" s="1"/>
  <c r="V11" i="34" s="1"/>
  <c r="D2" i="34"/>
  <c r="E2" i="34" s="1"/>
  <c r="F2" i="34" s="1"/>
  <c r="G2" i="34" s="1"/>
  <c r="H2" i="34" s="1"/>
  <c r="I2" i="34" s="1"/>
  <c r="J2" i="34" s="1"/>
  <c r="K2" i="34" s="1"/>
  <c r="L2" i="34" s="1"/>
  <c r="M2" i="34" s="1"/>
  <c r="N2" i="34" s="1"/>
  <c r="O2" i="34" s="1"/>
  <c r="P2" i="34" s="1"/>
  <c r="Q2" i="34" s="1"/>
  <c r="R2" i="34" s="1"/>
  <c r="S2" i="34" s="1"/>
  <c r="T2" i="34" s="1"/>
  <c r="U2" i="34" s="1"/>
  <c r="V2" i="34" s="1"/>
  <c r="L23" i="34" l="1"/>
  <c r="M45" i="34"/>
  <c r="N45" i="34" s="1"/>
  <c r="O45" i="34" s="1"/>
  <c r="P45" i="34" s="1"/>
  <c r="Q45" i="34" s="1"/>
  <c r="R45" i="34" s="1"/>
  <c r="S45" i="34" s="1"/>
  <c r="T45" i="34" s="1"/>
  <c r="U45" i="34" s="1"/>
  <c r="V45" i="34" s="1"/>
  <c r="M65" i="34"/>
  <c r="N65" i="34" s="1"/>
  <c r="L107" i="34"/>
  <c r="M107" i="34" s="1"/>
  <c r="T107" i="3"/>
  <c r="T109" i="3"/>
  <c r="T113" i="3" s="1"/>
  <c r="T120" i="3" s="1"/>
  <c r="T104" i="3"/>
  <c r="S130" i="3"/>
  <c r="AB106" i="3"/>
  <c r="AB111" i="3" s="1"/>
  <c r="AA111" i="3"/>
  <c r="M23" i="34"/>
  <c r="M44" i="34"/>
  <c r="L86" i="34"/>
  <c r="L128" i="34"/>
  <c r="U40" i="4" l="1"/>
  <c r="U41" i="4" s="1"/>
  <c r="T129" i="3"/>
  <c r="U128" i="3" s="1"/>
  <c r="S131" i="3"/>
  <c r="AN51" i="1"/>
  <c r="U103" i="3"/>
  <c r="U107" i="3" s="1"/>
  <c r="M128" i="34"/>
  <c r="N107" i="34"/>
  <c r="M86" i="34"/>
  <c r="N23" i="34"/>
  <c r="N44" i="34"/>
  <c r="O65" i="34"/>
  <c r="T130" i="3" l="1"/>
  <c r="AO51" i="1" s="1"/>
  <c r="U104" i="3"/>
  <c r="U115" i="3"/>
  <c r="U109" i="3"/>
  <c r="U113" i="3" s="1"/>
  <c r="U120" i="3" s="1"/>
  <c r="O23" i="34"/>
  <c r="N128" i="34"/>
  <c r="P65" i="34"/>
  <c r="O107" i="34"/>
  <c r="N86" i="34"/>
  <c r="O44" i="34"/>
  <c r="T131" i="3" l="1"/>
  <c r="V40" i="4"/>
  <c r="V41" i="4" s="1"/>
  <c r="V103" i="3"/>
  <c r="V109" i="3" s="1"/>
  <c r="V113" i="3" s="1"/>
  <c r="W40" i="4" s="1"/>
  <c r="W41" i="4" s="1"/>
  <c r="U129" i="3"/>
  <c r="V128" i="3" s="1"/>
  <c r="P44" i="34"/>
  <c r="Q65" i="34"/>
  <c r="O128" i="34"/>
  <c r="P23" i="34"/>
  <c r="O86" i="34"/>
  <c r="P107" i="34"/>
  <c r="V115" i="3" l="1"/>
  <c r="V120" i="3"/>
  <c r="V129" i="3"/>
  <c r="W128" i="3" s="1"/>
  <c r="V104" i="3"/>
  <c r="V107" i="3"/>
  <c r="W103" i="3" s="1"/>
  <c r="W109" i="3" s="1"/>
  <c r="W113" i="3" s="1"/>
  <c r="W120" i="3" s="1"/>
  <c r="U130" i="3"/>
  <c r="U131" i="3" s="1"/>
  <c r="P128" i="34"/>
  <c r="Q44" i="34"/>
  <c r="Q107" i="34"/>
  <c r="P86" i="34"/>
  <c r="Q23" i="34"/>
  <c r="R65" i="34"/>
  <c r="V130" i="3" l="1"/>
  <c r="V131" i="3" s="1"/>
  <c r="AP51" i="1"/>
  <c r="W104" i="3"/>
  <c r="W129" i="3"/>
  <c r="X128" i="3" s="1"/>
  <c r="X40" i="4"/>
  <c r="X41" i="4" s="1"/>
  <c r="W115" i="3"/>
  <c r="W107" i="3"/>
  <c r="S65" i="34"/>
  <c r="Q128" i="34"/>
  <c r="Q86" i="34"/>
  <c r="R44" i="34"/>
  <c r="R23" i="34"/>
  <c r="R107" i="34"/>
  <c r="AQ51" i="1" l="1"/>
  <c r="W130" i="3"/>
  <c r="W131" i="3" s="1"/>
  <c r="X103" i="3"/>
  <c r="X115" i="3" s="1"/>
  <c r="S44" i="34"/>
  <c r="R86" i="34"/>
  <c r="R128" i="34"/>
  <c r="S23" i="34"/>
  <c r="S107" i="34"/>
  <c r="T65" i="34"/>
  <c r="AR51" i="1" l="1"/>
  <c r="X107" i="3"/>
  <c r="X104" i="3"/>
  <c r="X109" i="3"/>
  <c r="X113" i="3" s="1"/>
  <c r="X120" i="3" s="1"/>
  <c r="S86" i="34"/>
  <c r="T44" i="34"/>
  <c r="T23" i="34"/>
  <c r="S128" i="34"/>
  <c r="U65" i="34"/>
  <c r="T107" i="34"/>
  <c r="Y40" i="4" l="1"/>
  <c r="Y41" i="4" s="1"/>
  <c r="Y103" i="3"/>
  <c r="Y107" i="3" s="1"/>
  <c r="X129" i="3"/>
  <c r="Y128" i="3" s="1"/>
  <c r="T128" i="34"/>
  <c r="U107" i="34"/>
  <c r="U44" i="34"/>
  <c r="T86" i="34"/>
  <c r="V65" i="34"/>
  <c r="U23" i="34"/>
  <c r="Y109" i="3" l="1"/>
  <c r="Y113" i="3" s="1"/>
  <c r="Y115" i="3"/>
  <c r="X130" i="3"/>
  <c r="X131" i="3" s="1"/>
  <c r="Y104" i="3"/>
  <c r="U86" i="34"/>
  <c r="U128" i="34"/>
  <c r="V23" i="34"/>
  <c r="V107" i="34"/>
  <c r="V44" i="34"/>
  <c r="Z103" i="3" l="1"/>
  <c r="Z104" i="3" s="1"/>
  <c r="AS51" i="1"/>
  <c r="Y120" i="3"/>
  <c r="Z40" i="4"/>
  <c r="Z41" i="4" s="1"/>
  <c r="Y129" i="3"/>
  <c r="V128" i="34"/>
  <c r="V86" i="34"/>
  <c r="Z109" i="3" l="1"/>
  <c r="Z113" i="3" s="1"/>
  <c r="AA40" i="4" s="1"/>
  <c r="AA41" i="4" s="1"/>
  <c r="Z115" i="3"/>
  <c r="Z107" i="3"/>
  <c r="Z128" i="3"/>
  <c r="Y130" i="3"/>
  <c r="AA103" i="3" l="1"/>
  <c r="AA115" i="3" s="1"/>
  <c r="Z120" i="3"/>
  <c r="AT51" i="1"/>
  <c r="Y131" i="3"/>
  <c r="Z129" i="3"/>
  <c r="AA128" i="3" s="1"/>
  <c r="AA104" i="3" l="1"/>
  <c r="AA109" i="3"/>
  <c r="AA113" i="3" s="1"/>
  <c r="AA120" i="3" s="1"/>
  <c r="AA107" i="3"/>
  <c r="Z130" i="3"/>
  <c r="Z131" i="3" s="1"/>
  <c r="AB40" i="4" l="1"/>
  <c r="AB41" i="4" s="1"/>
  <c r="AB103" i="3"/>
  <c r="AB109" i="3" s="1"/>
  <c r="AB113" i="3" s="1"/>
  <c r="AA129" i="3"/>
  <c r="AB128" i="3" s="1"/>
  <c r="AU51" i="1"/>
  <c r="L39" i="4"/>
  <c r="L37" i="4"/>
  <c r="L35" i="4"/>
  <c r="L34" i="4"/>
  <c r="L20" i="4"/>
  <c r="M16" i="4"/>
  <c r="I16" i="4"/>
  <c r="L10" i="4"/>
  <c r="J9" i="4"/>
  <c r="K9" i="4" s="1"/>
  <c r="L9" i="4" s="1"/>
  <c r="L8" i="4"/>
  <c r="J7" i="4"/>
  <c r="I71" i="3" s="1"/>
  <c r="L29" i="3"/>
  <c r="M29" i="3" s="1"/>
  <c r="N29" i="3" s="1"/>
  <c r="O29" i="3" s="1"/>
  <c r="P29" i="3" s="1"/>
  <c r="Q29" i="3" s="1"/>
  <c r="R29" i="3" s="1"/>
  <c r="S29" i="3" s="1"/>
  <c r="T29" i="3" s="1"/>
  <c r="U29" i="3" s="1"/>
  <c r="V29" i="3" s="1"/>
  <c r="W29" i="3" s="1"/>
  <c r="X29" i="3" s="1"/>
  <c r="Y29" i="3" s="1"/>
  <c r="Z29" i="3" s="1"/>
  <c r="AA29" i="3" s="1"/>
  <c r="AB29" i="3" s="1"/>
  <c r="L5" i="3"/>
  <c r="L10" i="3"/>
  <c r="P37" i="1"/>
  <c r="P36" i="1"/>
  <c r="P42" i="1"/>
  <c r="P41" i="1"/>
  <c r="P40" i="1"/>
  <c r="P31" i="1"/>
  <c r="P30" i="1"/>
  <c r="P29" i="1"/>
  <c r="P28" i="1"/>
  <c r="P27" i="1"/>
  <c r="P32" i="1"/>
  <c r="P18" i="1"/>
  <c r="P19" i="1"/>
  <c r="F17" i="1"/>
  <c r="F14" i="1"/>
  <c r="G17" i="1"/>
  <c r="G14" i="1"/>
  <c r="G16" i="4"/>
  <c r="L17" i="1"/>
  <c r="L14" i="1"/>
  <c r="H16" i="4"/>
  <c r="M17" i="1"/>
  <c r="M14" i="1"/>
  <c r="N25" i="1"/>
  <c r="N38" i="1" s="1"/>
  <c r="I51" i="3" s="1"/>
  <c r="N14" i="1"/>
  <c r="O17" i="1"/>
  <c r="O14" i="1"/>
  <c r="P14" i="1"/>
  <c r="K24" i="3"/>
  <c r="K30" i="3" s="1"/>
  <c r="L19" i="3"/>
  <c r="L63" i="3" s="1"/>
  <c r="L18" i="3"/>
  <c r="L61" i="3" s="1"/>
  <c r="J40" i="4"/>
  <c r="K40" i="4" s="1"/>
  <c r="K38" i="4"/>
  <c r="L38" i="4" s="1"/>
  <c r="K36" i="4"/>
  <c r="L36" i="4" s="1"/>
  <c r="J30" i="4"/>
  <c r="K30" i="4" s="1"/>
  <c r="K25" i="4"/>
  <c r="L25" i="4" s="1"/>
  <c r="J24" i="4"/>
  <c r="J23" i="4"/>
  <c r="K23" i="4" s="1"/>
  <c r="J22" i="4"/>
  <c r="J21" i="4"/>
  <c r="K21" i="4" s="1"/>
  <c r="J19" i="4"/>
  <c r="J17" i="4"/>
  <c r="K17" i="4" s="1"/>
  <c r="J13" i="4"/>
  <c r="K13" i="4" s="1"/>
  <c r="K12" i="4"/>
  <c r="L12" i="4" s="1"/>
  <c r="K11" i="4"/>
  <c r="L11" i="4" s="1"/>
  <c r="O66" i="1"/>
  <c r="O65" i="1"/>
  <c r="N66" i="1"/>
  <c r="G38" i="1"/>
  <c r="F51" i="3" s="1"/>
  <c r="H38" i="1"/>
  <c r="J38" i="1"/>
  <c r="L38" i="1"/>
  <c r="G51" i="3" s="1"/>
  <c r="M38" i="1"/>
  <c r="H51" i="3" s="1"/>
  <c r="S30" i="1"/>
  <c r="T30" i="1" s="1"/>
  <c r="L23" i="3"/>
  <c r="F24" i="3"/>
  <c r="F30" i="3" s="1"/>
  <c r="G24" i="3"/>
  <c r="G30" i="3" s="1"/>
  <c r="H24" i="3"/>
  <c r="H30" i="3" s="1"/>
  <c r="I24" i="3"/>
  <c r="H66" i="1"/>
  <c r="J66" i="1"/>
  <c r="L66" i="1"/>
  <c r="M66" i="1"/>
  <c r="G66" i="1"/>
  <c r="H65" i="1"/>
  <c r="J65" i="1"/>
  <c r="L65" i="1"/>
  <c r="M65" i="1"/>
  <c r="G65" i="1"/>
  <c r="F13" i="1"/>
  <c r="E49" i="3" s="1"/>
  <c r="D23" i="1"/>
  <c r="E23" i="1"/>
  <c r="F35" i="1"/>
  <c r="F38" i="1"/>
  <c r="E51" i="3" s="1"/>
  <c r="F62" i="1"/>
  <c r="F63" i="1"/>
  <c r="F16" i="4"/>
  <c r="Q26" i="1"/>
  <c r="Q25" i="1" s="1"/>
  <c r="F123" i="4"/>
  <c r="I123" i="4"/>
  <c r="F122" i="4"/>
  <c r="I122" i="4"/>
  <c r="F119" i="4"/>
  <c r="I119" i="4"/>
  <c r="F117" i="4"/>
  <c r="F127" i="4" s="1"/>
  <c r="I117" i="4"/>
  <c r="F115" i="4"/>
  <c r="I115" i="4"/>
  <c r="M109" i="9"/>
  <c r="N109" i="9" s="1"/>
  <c r="N110" i="9"/>
  <c r="O110" i="9" s="1"/>
  <c r="P110" i="9" s="1"/>
  <c r="Q110" i="9" s="1"/>
  <c r="R110" i="9" s="1"/>
  <c r="S110" i="9" s="1"/>
  <c r="T110" i="9" s="1"/>
  <c r="U110" i="9" s="1"/>
  <c r="V110" i="9" s="1"/>
  <c r="W110" i="9" s="1"/>
  <c r="X110" i="9" s="1"/>
  <c r="Y110" i="9" s="1"/>
  <c r="M99" i="9"/>
  <c r="N99" i="9" s="1"/>
  <c r="N100" i="9"/>
  <c r="P100" i="9"/>
  <c r="Q100" i="9" s="1"/>
  <c r="R100" i="9" s="1"/>
  <c r="S100" i="9" s="1"/>
  <c r="T100" i="9" s="1"/>
  <c r="U100" i="9" s="1"/>
  <c r="V100" i="9" s="1"/>
  <c r="W100" i="9" s="1"/>
  <c r="X100" i="9" s="1"/>
  <c r="Y100" i="9" s="1"/>
  <c r="M89" i="9"/>
  <c r="N89" i="9" s="1"/>
  <c r="N90" i="9"/>
  <c r="P90" i="9"/>
  <c r="Q90" i="9" s="1"/>
  <c r="R90" i="9" s="1"/>
  <c r="S90" i="9" s="1"/>
  <c r="T90" i="9" s="1"/>
  <c r="U90" i="9" s="1"/>
  <c r="V90" i="9" s="1"/>
  <c r="W90" i="9" s="1"/>
  <c r="X90" i="9" s="1"/>
  <c r="Y90" i="9" s="1"/>
  <c r="M79" i="9"/>
  <c r="N80" i="9"/>
  <c r="P80" i="9"/>
  <c r="Q80" i="9" s="1"/>
  <c r="R80" i="9" s="1"/>
  <c r="S80" i="9" s="1"/>
  <c r="T80" i="9" s="1"/>
  <c r="U80" i="9" s="1"/>
  <c r="V80" i="9" s="1"/>
  <c r="W80" i="9" s="1"/>
  <c r="X80" i="9" s="1"/>
  <c r="Y80" i="9" s="1"/>
  <c r="M69" i="9"/>
  <c r="N70" i="9"/>
  <c r="P70" i="9"/>
  <c r="Q70" i="9" s="1"/>
  <c r="R70" i="9" s="1"/>
  <c r="S70" i="9" s="1"/>
  <c r="T70" i="9" s="1"/>
  <c r="U70" i="9" s="1"/>
  <c r="V70" i="9" s="1"/>
  <c r="W70" i="9" s="1"/>
  <c r="X70" i="9" s="1"/>
  <c r="Y70" i="9" s="1"/>
  <c r="M59" i="9"/>
  <c r="N60" i="9"/>
  <c r="P60" i="9"/>
  <c r="Q60" i="9" s="1"/>
  <c r="R60" i="9" s="1"/>
  <c r="S60" i="9" s="1"/>
  <c r="T60" i="9" s="1"/>
  <c r="U60" i="9" s="1"/>
  <c r="V60" i="9" s="1"/>
  <c r="W60" i="9" s="1"/>
  <c r="X60" i="9" s="1"/>
  <c r="Y60" i="9" s="1"/>
  <c r="O29" i="9"/>
  <c r="P29" i="9" s="1"/>
  <c r="Q29" i="9" s="1"/>
  <c r="R29" i="9" s="1"/>
  <c r="S29" i="9" s="1"/>
  <c r="T29" i="9" s="1"/>
  <c r="U29" i="9" s="1"/>
  <c r="V29" i="9" s="1"/>
  <c r="W29" i="9" s="1"/>
  <c r="X29" i="9" s="1"/>
  <c r="Y29" i="9" s="1"/>
  <c r="N11" i="3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O41" i="4"/>
  <c r="P41" i="4"/>
  <c r="Q41" i="4"/>
  <c r="R41" i="4"/>
  <c r="S41" i="4"/>
  <c r="H14" i="9"/>
  <c r="I14" i="9" s="1"/>
  <c r="I46" i="9"/>
  <c r="J46" i="9" s="1"/>
  <c r="I47" i="9"/>
  <c r="J47" i="9" s="1"/>
  <c r="I48" i="9"/>
  <c r="J48" i="9" s="1"/>
  <c r="I49" i="9"/>
  <c r="J49" i="9" s="1"/>
  <c r="I50" i="9"/>
  <c r="J50" i="9" s="1"/>
  <c r="I51" i="9"/>
  <c r="J51" i="9" s="1"/>
  <c r="L25" i="3"/>
  <c r="I30" i="3"/>
  <c r="N41" i="4"/>
  <c r="M41" i="4"/>
  <c r="J26" i="3"/>
  <c r="L26" i="3"/>
  <c r="L20" i="3"/>
  <c r="M20" i="3" s="1"/>
  <c r="G63" i="1"/>
  <c r="H63" i="1"/>
  <c r="J63" i="1"/>
  <c r="L63" i="1"/>
  <c r="G62" i="1"/>
  <c r="H62" i="1"/>
  <c r="J62" i="1"/>
  <c r="L62" i="1"/>
  <c r="P20" i="3"/>
  <c r="Q23" i="4" s="1"/>
  <c r="G13" i="1"/>
  <c r="H13" i="1"/>
  <c r="I13" i="1"/>
  <c r="J13" i="1"/>
  <c r="K13" i="1"/>
  <c r="L13" i="1"/>
  <c r="G49" i="3" s="1"/>
  <c r="M13" i="1"/>
  <c r="N13" i="1"/>
  <c r="I49" i="3" s="1"/>
  <c r="O13" i="1"/>
  <c r="P13" i="1"/>
  <c r="K49" i="3" s="1"/>
  <c r="Q13" i="1"/>
  <c r="L49" i="3" s="1"/>
  <c r="R13" i="1"/>
  <c r="S13" i="1"/>
  <c r="T13" i="1"/>
  <c r="U13" i="1"/>
  <c r="V13" i="1"/>
  <c r="M49" i="3" s="1"/>
  <c r="AA13" i="1"/>
  <c r="N49" i="3" s="1"/>
  <c r="AF13" i="1"/>
  <c r="O49" i="3" s="1"/>
  <c r="AK13" i="1"/>
  <c r="P49" i="3" s="1"/>
  <c r="AL13" i="1"/>
  <c r="Q49" i="3" s="1"/>
  <c r="Q34" i="1"/>
  <c r="J24" i="3"/>
  <c r="L6" i="3"/>
  <c r="N19" i="4" s="1"/>
  <c r="N6" i="3"/>
  <c r="L8" i="3"/>
  <c r="L57" i="3" s="1"/>
  <c r="I35" i="3"/>
  <c r="L35" i="3"/>
  <c r="I34" i="3"/>
  <c r="L34" i="3"/>
  <c r="M34" i="3" s="1"/>
  <c r="N34" i="3" s="1"/>
  <c r="O34" i="3" s="1"/>
  <c r="P34" i="3" s="1"/>
  <c r="Q34" i="3" s="1"/>
  <c r="R34" i="3" s="1"/>
  <c r="S34" i="3" s="1"/>
  <c r="T34" i="3" s="1"/>
  <c r="L21" i="3"/>
  <c r="M21" i="3"/>
  <c r="AM13" i="1"/>
  <c r="R49" i="3" s="1"/>
  <c r="R59" i="3" s="1"/>
  <c r="R7" i="3" s="1"/>
  <c r="H14" i="1"/>
  <c r="I14" i="1"/>
  <c r="J14" i="1"/>
  <c r="K14" i="1"/>
  <c r="Q14" i="1"/>
  <c r="R14" i="1"/>
  <c r="S14" i="1"/>
  <c r="T14" i="1"/>
  <c r="U14" i="1"/>
  <c r="D3" i="11"/>
  <c r="E3" i="11" s="1"/>
  <c r="F3" i="11" s="1"/>
  <c r="G3" i="11" s="1"/>
  <c r="H3" i="11" s="1"/>
  <c r="I3" i="11" s="1"/>
  <c r="J3" i="11" s="1"/>
  <c r="K3" i="11" s="1"/>
  <c r="L3" i="11" s="1"/>
  <c r="M3" i="11" s="1"/>
  <c r="N3" i="11" s="1"/>
  <c r="O3" i="11" s="1"/>
  <c r="P3" i="11" s="1"/>
  <c r="Q3" i="11" s="1"/>
  <c r="R3" i="11" s="1"/>
  <c r="S3" i="11" s="1"/>
  <c r="T3" i="11" s="1"/>
  <c r="U3" i="11" s="1"/>
  <c r="V3" i="11" s="1"/>
  <c r="D13" i="11"/>
  <c r="E13" i="11" s="1"/>
  <c r="F13" i="11" s="1"/>
  <c r="G13" i="11" s="1"/>
  <c r="H13" i="11" s="1"/>
  <c r="I13" i="11" s="1"/>
  <c r="J13" i="11" s="1"/>
  <c r="K13" i="11" s="1"/>
  <c r="L13" i="11" s="1"/>
  <c r="M13" i="11" s="1"/>
  <c r="N13" i="11" s="1"/>
  <c r="O13" i="11" s="1"/>
  <c r="P13" i="11" s="1"/>
  <c r="Q13" i="11" s="1"/>
  <c r="R13" i="11" s="1"/>
  <c r="S13" i="11" s="1"/>
  <c r="T13" i="11" s="1"/>
  <c r="U13" i="11" s="1"/>
  <c r="V13" i="11" s="1"/>
  <c r="E14" i="1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C15" i="11"/>
  <c r="C16" i="11" s="1"/>
  <c r="O24" i="11"/>
  <c r="P24" i="11" s="1"/>
  <c r="Q24" i="11" s="1"/>
  <c r="R24" i="11" s="1"/>
  <c r="S24" i="11" s="1"/>
  <c r="T24" i="11" s="1"/>
  <c r="U24" i="11" s="1"/>
  <c r="V24" i="11" s="1"/>
  <c r="W25" i="11"/>
  <c r="O25" i="11" s="1"/>
  <c r="W26" i="11"/>
  <c r="O26" i="11" s="1"/>
  <c r="W27" i="11"/>
  <c r="O27" i="11" s="1"/>
  <c r="P27" i="11" s="1"/>
  <c r="Q27" i="11" s="1"/>
  <c r="R27" i="11" s="1"/>
  <c r="S27" i="11" s="1"/>
  <c r="W28" i="11"/>
  <c r="O28" i="11" s="1"/>
  <c r="W29" i="11"/>
  <c r="O29" i="11" s="1"/>
  <c r="W30" i="11"/>
  <c r="O30" i="11" s="1"/>
  <c r="P30" i="11" s="1"/>
  <c r="W31" i="11"/>
  <c r="O31" i="11" s="1"/>
  <c r="W32" i="11"/>
  <c r="O32" i="11" s="1"/>
  <c r="W33" i="11"/>
  <c r="O33" i="11" s="1"/>
  <c r="W34" i="11"/>
  <c r="O34" i="11" s="1"/>
  <c r="W35" i="11"/>
  <c r="O35" i="11" s="1"/>
  <c r="O63" i="11" s="1"/>
  <c r="W36" i="11"/>
  <c r="O36" i="11" s="1"/>
  <c r="W37" i="11"/>
  <c r="O37" i="11" s="1"/>
  <c r="P37" i="11" s="1"/>
  <c r="Q37" i="11" s="1"/>
  <c r="R37" i="11" s="1"/>
  <c r="S37" i="11" s="1"/>
  <c r="T37" i="11" s="1"/>
  <c r="U37" i="11" s="1"/>
  <c r="V37" i="11" s="1"/>
  <c r="C39" i="11"/>
  <c r="D39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C40" i="11"/>
  <c r="C54" i="11"/>
  <c r="D40" i="11"/>
  <c r="E40" i="11"/>
  <c r="F40" i="11"/>
  <c r="G40" i="11"/>
  <c r="G54" i="11"/>
  <c r="H40" i="11"/>
  <c r="I40" i="11"/>
  <c r="J40" i="11"/>
  <c r="K40" i="11"/>
  <c r="K54" i="11"/>
  <c r="L40" i="11"/>
  <c r="M40" i="11"/>
  <c r="N40" i="11"/>
  <c r="O40" i="11"/>
  <c r="P40" i="11"/>
  <c r="Q40" i="11"/>
  <c r="R40" i="11"/>
  <c r="S40" i="11"/>
  <c r="T40" i="11"/>
  <c r="U40" i="11"/>
  <c r="V40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C42" i="11"/>
  <c r="C56" i="11"/>
  <c r="D42" i="11"/>
  <c r="E42" i="11"/>
  <c r="F42" i="11"/>
  <c r="G42" i="11"/>
  <c r="G56" i="11"/>
  <c r="H42" i="11"/>
  <c r="I42" i="11"/>
  <c r="J42" i="11"/>
  <c r="K42" i="11"/>
  <c r="K56" i="11"/>
  <c r="L42" i="11"/>
  <c r="M42" i="11"/>
  <c r="N42" i="11"/>
  <c r="O42" i="11"/>
  <c r="P42" i="11"/>
  <c r="Q42" i="11"/>
  <c r="R42" i="11"/>
  <c r="S42" i="11"/>
  <c r="T42" i="11"/>
  <c r="U42" i="11"/>
  <c r="V42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C44" i="11"/>
  <c r="C58" i="11"/>
  <c r="D44" i="11"/>
  <c r="E44" i="11"/>
  <c r="F44" i="11"/>
  <c r="G44" i="11"/>
  <c r="G58" i="11"/>
  <c r="H44" i="11"/>
  <c r="I44" i="11"/>
  <c r="J44" i="11"/>
  <c r="K44" i="11"/>
  <c r="K58" i="11"/>
  <c r="L44" i="11"/>
  <c r="M44" i="11"/>
  <c r="N44" i="11"/>
  <c r="O44" i="11"/>
  <c r="P44" i="11"/>
  <c r="Q44" i="11"/>
  <c r="R44" i="11"/>
  <c r="S44" i="11"/>
  <c r="T44" i="11"/>
  <c r="U44" i="11"/>
  <c r="V44" i="11"/>
  <c r="C45" i="11"/>
  <c r="D45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C46" i="11"/>
  <c r="C60" i="11"/>
  <c r="D46" i="11"/>
  <c r="E46" i="11"/>
  <c r="F46" i="11"/>
  <c r="G46" i="11"/>
  <c r="G60" i="11"/>
  <c r="H46" i="11"/>
  <c r="I46" i="11"/>
  <c r="J46" i="11"/>
  <c r="K46" i="11"/>
  <c r="K60" i="11"/>
  <c r="L46" i="11"/>
  <c r="M46" i="11"/>
  <c r="N46" i="11"/>
  <c r="O46" i="11"/>
  <c r="P46" i="11"/>
  <c r="Q46" i="11"/>
  <c r="R46" i="11"/>
  <c r="S46" i="11"/>
  <c r="T46" i="11"/>
  <c r="U46" i="11"/>
  <c r="V46" i="11"/>
  <c r="C47" i="11"/>
  <c r="D47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C48" i="11"/>
  <c r="C62" i="11"/>
  <c r="D48" i="11"/>
  <c r="E48" i="11"/>
  <c r="F48" i="11"/>
  <c r="G48" i="11"/>
  <c r="G62" i="11"/>
  <c r="H48" i="11"/>
  <c r="I48" i="11"/>
  <c r="J48" i="11"/>
  <c r="K48" i="11"/>
  <c r="K62" i="11"/>
  <c r="L48" i="11"/>
  <c r="M48" i="11"/>
  <c r="N48" i="11"/>
  <c r="O48" i="11"/>
  <c r="P48" i="11"/>
  <c r="Q48" i="11"/>
  <c r="R48" i="11"/>
  <c r="S48" i="11"/>
  <c r="T48" i="11"/>
  <c r="U48" i="11"/>
  <c r="V48" i="11"/>
  <c r="C49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C50" i="11"/>
  <c r="C64" i="11"/>
  <c r="D50" i="11"/>
  <c r="E50" i="11"/>
  <c r="F50" i="11"/>
  <c r="G50" i="11"/>
  <c r="G64" i="11"/>
  <c r="H50" i="11"/>
  <c r="I50" i="11"/>
  <c r="J50" i="11"/>
  <c r="K50" i="11"/>
  <c r="K64" i="11"/>
  <c r="L50" i="11"/>
  <c r="M50" i="11"/>
  <c r="N50" i="11"/>
  <c r="O50" i="11"/>
  <c r="P50" i="11"/>
  <c r="Q50" i="11"/>
  <c r="R50" i="11"/>
  <c r="S50" i="11"/>
  <c r="T50" i="11"/>
  <c r="U50" i="11"/>
  <c r="V50" i="11"/>
  <c r="C53" i="11"/>
  <c r="D53" i="11"/>
  <c r="E53" i="11"/>
  <c r="F53" i="11"/>
  <c r="G53" i="11"/>
  <c r="H53" i="11"/>
  <c r="I53" i="11"/>
  <c r="J53" i="11"/>
  <c r="K53" i="11"/>
  <c r="L53" i="11"/>
  <c r="M53" i="11"/>
  <c r="N53" i="11"/>
  <c r="D54" i="11"/>
  <c r="E54" i="11"/>
  <c r="F54" i="11"/>
  <c r="H54" i="11"/>
  <c r="I54" i="11"/>
  <c r="J54" i="11"/>
  <c r="L54" i="11"/>
  <c r="M54" i="11"/>
  <c r="N54" i="11"/>
  <c r="C55" i="11"/>
  <c r="D55" i="11"/>
  <c r="E55" i="11"/>
  <c r="F55" i="11"/>
  <c r="G55" i="11"/>
  <c r="H55" i="11"/>
  <c r="I55" i="11"/>
  <c r="J55" i="11"/>
  <c r="K55" i="11"/>
  <c r="L55" i="11"/>
  <c r="M55" i="11"/>
  <c r="N55" i="11"/>
  <c r="D56" i="11"/>
  <c r="E56" i="11"/>
  <c r="F56" i="11"/>
  <c r="H56" i="11"/>
  <c r="I56" i="11"/>
  <c r="J56" i="11"/>
  <c r="L56" i="11"/>
  <c r="M56" i="11"/>
  <c r="N56" i="11"/>
  <c r="C57" i="11"/>
  <c r="D57" i="11"/>
  <c r="E57" i="11"/>
  <c r="F57" i="11"/>
  <c r="G57" i="11"/>
  <c r="H57" i="11"/>
  <c r="I57" i="11"/>
  <c r="J57" i="11"/>
  <c r="K57" i="11"/>
  <c r="L57" i="11"/>
  <c r="M57" i="11"/>
  <c r="N57" i="11"/>
  <c r="D58" i="11"/>
  <c r="E58" i="11"/>
  <c r="F58" i="11"/>
  <c r="H58" i="11"/>
  <c r="I58" i="11"/>
  <c r="J58" i="11"/>
  <c r="L58" i="11"/>
  <c r="M58" i="11"/>
  <c r="N58" i="11"/>
  <c r="C59" i="11"/>
  <c r="D59" i="11"/>
  <c r="E59" i="11"/>
  <c r="F59" i="11"/>
  <c r="G59" i="11"/>
  <c r="H59" i="11"/>
  <c r="I59" i="11"/>
  <c r="J59" i="11"/>
  <c r="K59" i="11"/>
  <c r="L59" i="11"/>
  <c r="M59" i="11"/>
  <c r="N59" i="11"/>
  <c r="D60" i="11"/>
  <c r="E60" i="11"/>
  <c r="F60" i="11"/>
  <c r="H60" i="11"/>
  <c r="I60" i="11"/>
  <c r="J60" i="11"/>
  <c r="L60" i="11"/>
  <c r="M60" i="11"/>
  <c r="N60" i="11"/>
  <c r="C61" i="11"/>
  <c r="C67" i="11" s="1"/>
  <c r="D61" i="11"/>
  <c r="E61" i="11"/>
  <c r="F61" i="11"/>
  <c r="G61" i="11"/>
  <c r="G67" i="11" s="1"/>
  <c r="H61" i="11"/>
  <c r="I61" i="11"/>
  <c r="I67" i="11" s="1"/>
  <c r="J61" i="11"/>
  <c r="K61" i="11"/>
  <c r="L61" i="11"/>
  <c r="M61" i="11"/>
  <c r="N61" i="11"/>
  <c r="D62" i="11"/>
  <c r="E62" i="11"/>
  <c r="F62" i="11"/>
  <c r="H62" i="11"/>
  <c r="I62" i="11"/>
  <c r="J62" i="11"/>
  <c r="J63" i="11"/>
  <c r="J64" i="11"/>
  <c r="L62" i="11"/>
  <c r="M62" i="11"/>
  <c r="N62" i="11"/>
  <c r="C63" i="11"/>
  <c r="D63" i="11"/>
  <c r="E63" i="11"/>
  <c r="F63" i="11"/>
  <c r="G63" i="11"/>
  <c r="H63" i="11"/>
  <c r="I63" i="11"/>
  <c r="K63" i="11"/>
  <c r="K68" i="11" s="1"/>
  <c r="L63" i="11"/>
  <c r="M63" i="11"/>
  <c r="N63" i="11"/>
  <c r="D64" i="11"/>
  <c r="E64" i="11"/>
  <c r="F64" i="11"/>
  <c r="H64" i="11"/>
  <c r="H68" i="11" s="1"/>
  <c r="I64" i="11"/>
  <c r="L64" i="11"/>
  <c r="L68" i="11" s="1"/>
  <c r="M64" i="11"/>
  <c r="N64" i="11"/>
  <c r="C75" i="11"/>
  <c r="O85" i="11"/>
  <c r="P85" i="11" s="1"/>
  <c r="Q85" i="11" s="1"/>
  <c r="R85" i="11" s="1"/>
  <c r="S85" i="11" s="1"/>
  <c r="T85" i="11" s="1"/>
  <c r="U85" i="11" s="1"/>
  <c r="V85" i="11" s="1"/>
  <c r="W86" i="11"/>
  <c r="O86" i="11" s="1"/>
  <c r="W87" i="11"/>
  <c r="O87" i="11" s="1"/>
  <c r="W88" i="11"/>
  <c r="O88" i="11" s="1"/>
  <c r="W89" i="11"/>
  <c r="O89" i="11" s="1"/>
  <c r="W90" i="11"/>
  <c r="O90" i="11" s="1"/>
  <c r="W91" i="11"/>
  <c r="O91" i="11" s="1"/>
  <c r="W92" i="11"/>
  <c r="O92" i="11" s="1"/>
  <c r="W93" i="11"/>
  <c r="O93" i="11" s="1"/>
  <c r="W94" i="11"/>
  <c r="O94" i="11" s="1"/>
  <c r="W95" i="11"/>
  <c r="O95" i="11" s="1"/>
  <c r="O123" i="11" s="1"/>
  <c r="W96" i="11"/>
  <c r="O96" i="11" s="1"/>
  <c r="W97" i="11"/>
  <c r="O97" i="11" s="1"/>
  <c r="O125" i="11" s="1"/>
  <c r="C98" i="11"/>
  <c r="C74" i="11" s="1"/>
  <c r="C76" i="11" s="1"/>
  <c r="D98" i="11"/>
  <c r="D74" i="11" s="1"/>
  <c r="E98" i="11"/>
  <c r="E74" i="11" s="1"/>
  <c r="F98" i="11"/>
  <c r="F74" i="11" s="1"/>
  <c r="G98" i="11"/>
  <c r="G74" i="11" s="1"/>
  <c r="H98" i="11"/>
  <c r="H74" i="11" s="1"/>
  <c r="I98" i="11"/>
  <c r="I74" i="11" s="1"/>
  <c r="J98" i="11"/>
  <c r="J74" i="11" s="1"/>
  <c r="K98" i="11"/>
  <c r="K74" i="11" s="1"/>
  <c r="L98" i="11"/>
  <c r="L74" i="11" s="1"/>
  <c r="M98" i="11"/>
  <c r="M74" i="11" s="1"/>
  <c r="N98" i="11"/>
  <c r="N74" i="11" s="1"/>
  <c r="C100" i="11"/>
  <c r="D100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C101" i="11"/>
  <c r="D101" i="11"/>
  <c r="E101" i="11"/>
  <c r="F101" i="11"/>
  <c r="F115" i="11"/>
  <c r="G101" i="11"/>
  <c r="H101" i="11"/>
  <c r="I101" i="11"/>
  <c r="J101" i="11"/>
  <c r="J115" i="11"/>
  <c r="K101" i="11"/>
  <c r="L101" i="11"/>
  <c r="M101" i="11"/>
  <c r="N101" i="11"/>
  <c r="N115" i="11"/>
  <c r="O101" i="11"/>
  <c r="P101" i="11"/>
  <c r="Q101" i="11"/>
  <c r="R101" i="11"/>
  <c r="S101" i="11"/>
  <c r="T101" i="11"/>
  <c r="U101" i="11"/>
  <c r="V101" i="11"/>
  <c r="C102" i="11"/>
  <c r="D102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C103" i="11"/>
  <c r="D103" i="11"/>
  <c r="E103" i="11"/>
  <c r="F103" i="11"/>
  <c r="F117" i="11"/>
  <c r="G103" i="11"/>
  <c r="H103" i="11"/>
  <c r="I103" i="11"/>
  <c r="J103" i="11"/>
  <c r="J117" i="11"/>
  <c r="K103" i="11"/>
  <c r="L103" i="11"/>
  <c r="M103" i="11"/>
  <c r="N103" i="11"/>
  <c r="N117" i="11"/>
  <c r="O103" i="11"/>
  <c r="P103" i="11"/>
  <c r="Q103" i="11"/>
  <c r="R103" i="11"/>
  <c r="S103" i="11"/>
  <c r="T103" i="11"/>
  <c r="U103" i="11"/>
  <c r="V103" i="11"/>
  <c r="C104" i="11"/>
  <c r="D104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C105" i="11"/>
  <c r="D105" i="11"/>
  <c r="E105" i="11"/>
  <c r="F105" i="11"/>
  <c r="F119" i="11"/>
  <c r="G105" i="11"/>
  <c r="H105" i="11"/>
  <c r="I105" i="11"/>
  <c r="J105" i="11"/>
  <c r="J119" i="11"/>
  <c r="K105" i="11"/>
  <c r="L105" i="11"/>
  <c r="M105" i="11"/>
  <c r="N105" i="11"/>
  <c r="N119" i="11"/>
  <c r="O105" i="11"/>
  <c r="P105" i="11"/>
  <c r="Q105" i="11"/>
  <c r="R105" i="11"/>
  <c r="S105" i="11"/>
  <c r="T105" i="11"/>
  <c r="U105" i="11"/>
  <c r="V105" i="11"/>
  <c r="C106" i="11"/>
  <c r="D106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C107" i="11"/>
  <c r="D107" i="11"/>
  <c r="E107" i="11"/>
  <c r="F107" i="11"/>
  <c r="F121" i="11"/>
  <c r="G107" i="11"/>
  <c r="H107" i="11"/>
  <c r="I107" i="11"/>
  <c r="J107" i="11"/>
  <c r="J121" i="11"/>
  <c r="K107" i="11"/>
  <c r="L107" i="11"/>
  <c r="M107" i="11"/>
  <c r="N107" i="11"/>
  <c r="N121" i="11"/>
  <c r="O107" i="11"/>
  <c r="P107" i="11"/>
  <c r="Q107" i="11"/>
  <c r="R107" i="11"/>
  <c r="S107" i="11"/>
  <c r="T107" i="11"/>
  <c r="U107" i="11"/>
  <c r="V107" i="11"/>
  <c r="C108" i="11"/>
  <c r="D108" i="11"/>
  <c r="E108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C109" i="11"/>
  <c r="D109" i="11"/>
  <c r="E109" i="11"/>
  <c r="F109" i="11"/>
  <c r="F123" i="11"/>
  <c r="G109" i="11"/>
  <c r="H109" i="11"/>
  <c r="I109" i="11"/>
  <c r="J109" i="11"/>
  <c r="J123" i="11"/>
  <c r="K109" i="11"/>
  <c r="L109" i="11"/>
  <c r="M109" i="11"/>
  <c r="N109" i="11"/>
  <c r="N123" i="11"/>
  <c r="O109" i="11"/>
  <c r="P109" i="11"/>
  <c r="Q109" i="11"/>
  <c r="R109" i="11"/>
  <c r="S109" i="11"/>
  <c r="T109" i="11"/>
  <c r="U109" i="11"/>
  <c r="V109" i="11"/>
  <c r="C110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C111" i="11"/>
  <c r="D111" i="11"/>
  <c r="E111" i="11"/>
  <c r="F111" i="11"/>
  <c r="F125" i="11"/>
  <c r="G111" i="11"/>
  <c r="H111" i="11"/>
  <c r="I111" i="11"/>
  <c r="J111" i="11"/>
  <c r="J125" i="11"/>
  <c r="K111" i="11"/>
  <c r="L111" i="11"/>
  <c r="M111" i="11"/>
  <c r="N111" i="11"/>
  <c r="N125" i="11"/>
  <c r="O111" i="11"/>
  <c r="P111" i="11"/>
  <c r="Q111" i="11"/>
  <c r="R111" i="11"/>
  <c r="S111" i="11"/>
  <c r="T111" i="11"/>
  <c r="U111" i="11"/>
  <c r="V111" i="11"/>
  <c r="C114" i="11"/>
  <c r="D114" i="11"/>
  <c r="E114" i="11"/>
  <c r="F114" i="11"/>
  <c r="G114" i="11"/>
  <c r="H114" i="11"/>
  <c r="I114" i="11"/>
  <c r="J114" i="11"/>
  <c r="K114" i="11"/>
  <c r="L114" i="11"/>
  <c r="M114" i="11"/>
  <c r="N114" i="11"/>
  <c r="C115" i="11"/>
  <c r="D115" i="11"/>
  <c r="E115" i="11"/>
  <c r="G115" i="11"/>
  <c r="H115" i="11"/>
  <c r="I115" i="11"/>
  <c r="K115" i="11"/>
  <c r="L115" i="11"/>
  <c r="M115" i="11"/>
  <c r="C116" i="11"/>
  <c r="D116" i="11"/>
  <c r="E116" i="11"/>
  <c r="F116" i="11"/>
  <c r="G116" i="11"/>
  <c r="H116" i="11"/>
  <c r="I116" i="11"/>
  <c r="J116" i="11"/>
  <c r="K116" i="11"/>
  <c r="L116" i="11"/>
  <c r="M116" i="11"/>
  <c r="N116" i="11"/>
  <c r="C117" i="11"/>
  <c r="D117" i="11"/>
  <c r="E117" i="11"/>
  <c r="G117" i="11"/>
  <c r="H117" i="11"/>
  <c r="I117" i="11"/>
  <c r="K117" i="11"/>
  <c r="L117" i="11"/>
  <c r="M117" i="11"/>
  <c r="C118" i="11"/>
  <c r="D118" i="11"/>
  <c r="E118" i="11"/>
  <c r="F118" i="11"/>
  <c r="G118" i="11"/>
  <c r="H118" i="11"/>
  <c r="I118" i="11"/>
  <c r="J118" i="11"/>
  <c r="K118" i="11"/>
  <c r="L118" i="11"/>
  <c r="M118" i="11"/>
  <c r="N118" i="11"/>
  <c r="C119" i="11"/>
  <c r="D119" i="11"/>
  <c r="E119" i="11"/>
  <c r="G119" i="11"/>
  <c r="H119" i="11"/>
  <c r="I119" i="11"/>
  <c r="K119" i="11"/>
  <c r="L119" i="11"/>
  <c r="M119" i="11"/>
  <c r="C120" i="11"/>
  <c r="D120" i="11"/>
  <c r="E120" i="11"/>
  <c r="F120" i="11"/>
  <c r="G120" i="11"/>
  <c r="H120" i="11"/>
  <c r="I120" i="11"/>
  <c r="J120" i="11"/>
  <c r="K120" i="11"/>
  <c r="L120" i="11"/>
  <c r="M120" i="11"/>
  <c r="N120" i="11"/>
  <c r="C121" i="11"/>
  <c r="D121" i="11"/>
  <c r="E121" i="11"/>
  <c r="G121" i="11"/>
  <c r="H121" i="11"/>
  <c r="I121" i="11"/>
  <c r="K121" i="11"/>
  <c r="L121" i="11"/>
  <c r="M121" i="11"/>
  <c r="C122" i="11"/>
  <c r="D122" i="11"/>
  <c r="D128" i="11" s="1"/>
  <c r="E122" i="11"/>
  <c r="F122" i="11"/>
  <c r="G122" i="11"/>
  <c r="H122" i="11"/>
  <c r="I122" i="11"/>
  <c r="J122" i="11"/>
  <c r="K122" i="11"/>
  <c r="L122" i="11"/>
  <c r="L128" i="11" s="1"/>
  <c r="M122" i="11"/>
  <c r="N122" i="11"/>
  <c r="C123" i="11"/>
  <c r="D123" i="11"/>
  <c r="E123" i="11"/>
  <c r="G123" i="11"/>
  <c r="G124" i="11"/>
  <c r="G125" i="11"/>
  <c r="G129" i="11" s="1"/>
  <c r="H123" i="11"/>
  <c r="I123" i="11"/>
  <c r="K123" i="11"/>
  <c r="L123" i="11"/>
  <c r="M123" i="11"/>
  <c r="C124" i="11"/>
  <c r="D124" i="11"/>
  <c r="E124" i="11"/>
  <c r="E129" i="11" s="1"/>
  <c r="E125" i="11"/>
  <c r="F124" i="11"/>
  <c r="H124" i="11"/>
  <c r="I124" i="11"/>
  <c r="J124" i="11"/>
  <c r="K124" i="11"/>
  <c r="L124" i="11"/>
  <c r="M124" i="11"/>
  <c r="M125" i="11"/>
  <c r="N124" i="11"/>
  <c r="C125" i="11"/>
  <c r="D125" i="11"/>
  <c r="H125" i="11"/>
  <c r="I125" i="11"/>
  <c r="K125" i="11"/>
  <c r="L125" i="11"/>
  <c r="I127" i="11"/>
  <c r="C128" i="11"/>
  <c r="I128" i="11"/>
  <c r="C129" i="11"/>
  <c r="C136" i="11"/>
  <c r="O145" i="11"/>
  <c r="P145" i="11" s="1"/>
  <c r="Q145" i="11" s="1"/>
  <c r="R145" i="11" s="1"/>
  <c r="S145" i="11" s="1"/>
  <c r="T145" i="11" s="1"/>
  <c r="U145" i="11" s="1"/>
  <c r="V145" i="11" s="1"/>
  <c r="W146" i="11"/>
  <c r="O146" i="11" s="1"/>
  <c r="W147" i="11"/>
  <c r="O147" i="11" s="1"/>
  <c r="W148" i="11"/>
  <c r="O148" i="11" s="1"/>
  <c r="W149" i="11"/>
  <c r="O149" i="11" s="1"/>
  <c r="W150" i="11"/>
  <c r="O150" i="11" s="1"/>
  <c r="W151" i="11"/>
  <c r="O151" i="11" s="1"/>
  <c r="W152" i="11"/>
  <c r="O152" i="11"/>
  <c r="W153" i="11"/>
  <c r="O153" i="11" s="1"/>
  <c r="W154" i="11"/>
  <c r="O154" i="11" s="1"/>
  <c r="W155" i="11"/>
  <c r="O155" i="11" s="1"/>
  <c r="W156" i="11"/>
  <c r="O156" i="11" s="1"/>
  <c r="P156" i="11" s="1"/>
  <c r="W157" i="11"/>
  <c r="O157" i="11" s="1"/>
  <c r="C158" i="11"/>
  <c r="C135" i="11" s="1"/>
  <c r="C137" i="11" s="1"/>
  <c r="D158" i="11"/>
  <c r="D135" i="11" s="1"/>
  <c r="E158" i="11"/>
  <c r="E135" i="11" s="1"/>
  <c r="F158" i="11"/>
  <c r="F135" i="11" s="1"/>
  <c r="G158" i="11"/>
  <c r="G135" i="11" s="1"/>
  <c r="H158" i="11"/>
  <c r="H135" i="11"/>
  <c r="I158" i="11"/>
  <c r="I135" i="11" s="1"/>
  <c r="J158" i="11"/>
  <c r="J135" i="11" s="1"/>
  <c r="K158" i="11"/>
  <c r="K135" i="11" s="1"/>
  <c r="L158" i="11"/>
  <c r="L135" i="11" s="1"/>
  <c r="M158" i="11"/>
  <c r="M135" i="11" s="1"/>
  <c r="N158" i="11"/>
  <c r="N135" i="11" s="1"/>
  <c r="C160" i="11"/>
  <c r="D160" i="11"/>
  <c r="E160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C161" i="11"/>
  <c r="D161" i="11"/>
  <c r="E161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C162" i="11"/>
  <c r="D162" i="11"/>
  <c r="E162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C163" i="11"/>
  <c r="D163" i="11"/>
  <c r="E163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C164" i="11"/>
  <c r="D164" i="11"/>
  <c r="E164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C165" i="11"/>
  <c r="D165" i="11"/>
  <c r="E165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C166" i="11"/>
  <c r="D166" i="11"/>
  <c r="E166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C167" i="11"/>
  <c r="D167" i="11"/>
  <c r="E167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C168" i="11"/>
  <c r="D168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C169" i="11"/>
  <c r="D169" i="11"/>
  <c r="E169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C170" i="11"/>
  <c r="D170" i="11"/>
  <c r="E170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C171" i="11"/>
  <c r="D171" i="11"/>
  <c r="E171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C174" i="11"/>
  <c r="D174" i="11"/>
  <c r="E174" i="11"/>
  <c r="F174" i="11"/>
  <c r="G174" i="11"/>
  <c r="H174" i="11"/>
  <c r="I174" i="11"/>
  <c r="J174" i="11"/>
  <c r="K174" i="11"/>
  <c r="L174" i="11"/>
  <c r="M174" i="11"/>
  <c r="N174" i="11"/>
  <c r="C175" i="11"/>
  <c r="D175" i="11"/>
  <c r="E175" i="11"/>
  <c r="F175" i="11"/>
  <c r="G175" i="11"/>
  <c r="H175" i="11"/>
  <c r="I175" i="11"/>
  <c r="J175" i="11"/>
  <c r="K175" i="11"/>
  <c r="L175" i="11"/>
  <c r="M175" i="11"/>
  <c r="N175" i="11"/>
  <c r="C176" i="11"/>
  <c r="D176" i="11"/>
  <c r="E176" i="11"/>
  <c r="F176" i="11"/>
  <c r="G176" i="11"/>
  <c r="H176" i="11"/>
  <c r="I176" i="11"/>
  <c r="J176" i="11"/>
  <c r="K176" i="11"/>
  <c r="L176" i="11"/>
  <c r="M176" i="11"/>
  <c r="N176" i="11"/>
  <c r="C177" i="11"/>
  <c r="D177" i="11"/>
  <c r="E177" i="11"/>
  <c r="F177" i="11"/>
  <c r="G177" i="11"/>
  <c r="H177" i="11"/>
  <c r="I177" i="11"/>
  <c r="J177" i="11"/>
  <c r="K177" i="11"/>
  <c r="L177" i="11"/>
  <c r="M177" i="11"/>
  <c r="N177" i="11"/>
  <c r="C178" i="11"/>
  <c r="D178" i="11"/>
  <c r="E178" i="11"/>
  <c r="F178" i="11"/>
  <c r="G178" i="11"/>
  <c r="H178" i="11"/>
  <c r="I178" i="11"/>
  <c r="J178" i="11"/>
  <c r="K178" i="11"/>
  <c r="L178" i="11"/>
  <c r="M178" i="11"/>
  <c r="N178" i="11"/>
  <c r="C179" i="11"/>
  <c r="D179" i="11"/>
  <c r="E179" i="11"/>
  <c r="F179" i="11"/>
  <c r="G179" i="11"/>
  <c r="H179" i="11"/>
  <c r="I179" i="11"/>
  <c r="J179" i="11"/>
  <c r="K179" i="11"/>
  <c r="L179" i="11"/>
  <c r="M179" i="11"/>
  <c r="N179" i="11"/>
  <c r="C180" i="11"/>
  <c r="D180" i="11"/>
  <c r="E180" i="11"/>
  <c r="F180" i="11"/>
  <c r="G180" i="11"/>
  <c r="H180" i="11"/>
  <c r="I180" i="11"/>
  <c r="J180" i="11"/>
  <c r="K180" i="11"/>
  <c r="L180" i="11"/>
  <c r="M180" i="11"/>
  <c r="N180" i="11"/>
  <c r="C181" i="11"/>
  <c r="D181" i="11"/>
  <c r="E181" i="11"/>
  <c r="F181" i="11"/>
  <c r="G181" i="11"/>
  <c r="H181" i="11"/>
  <c r="I181" i="11"/>
  <c r="J181" i="11"/>
  <c r="K181" i="11"/>
  <c r="L181" i="11"/>
  <c r="M181" i="11"/>
  <c r="N181" i="11"/>
  <c r="C182" i="11"/>
  <c r="D182" i="11"/>
  <c r="E182" i="11"/>
  <c r="F182" i="11"/>
  <c r="G182" i="11"/>
  <c r="H182" i="11"/>
  <c r="I182" i="11"/>
  <c r="J182" i="11"/>
  <c r="K182" i="11"/>
  <c r="L182" i="11"/>
  <c r="M182" i="11"/>
  <c r="N182" i="11"/>
  <c r="C183" i="11"/>
  <c r="D183" i="11"/>
  <c r="E183" i="11"/>
  <c r="F183" i="11"/>
  <c r="G183" i="11"/>
  <c r="H183" i="11"/>
  <c r="I183" i="11"/>
  <c r="J183" i="11"/>
  <c r="K183" i="11"/>
  <c r="L183" i="11"/>
  <c r="M183" i="11"/>
  <c r="N183" i="11"/>
  <c r="C184" i="11"/>
  <c r="C185" i="11"/>
  <c r="D184" i="11"/>
  <c r="E184" i="11"/>
  <c r="E185" i="11"/>
  <c r="F184" i="11"/>
  <c r="G184" i="11"/>
  <c r="H184" i="11"/>
  <c r="I184" i="11"/>
  <c r="J184" i="11"/>
  <c r="K184" i="11"/>
  <c r="K185" i="11"/>
  <c r="L184" i="11"/>
  <c r="M184" i="11"/>
  <c r="N184" i="11"/>
  <c r="D185" i="11"/>
  <c r="F185" i="11"/>
  <c r="F189" i="11" s="1"/>
  <c r="G185" i="11"/>
  <c r="H185" i="11"/>
  <c r="H189" i="11" s="1"/>
  <c r="I185" i="11"/>
  <c r="J185" i="11"/>
  <c r="L185" i="11"/>
  <c r="M185" i="11"/>
  <c r="M189" i="11" s="1"/>
  <c r="N185" i="11"/>
  <c r="C187" i="11"/>
  <c r="D187" i="11"/>
  <c r="E187" i="11"/>
  <c r="H187" i="11"/>
  <c r="L187" i="11"/>
  <c r="D188" i="11"/>
  <c r="F188" i="11"/>
  <c r="H188" i="11"/>
  <c r="J188" i="11"/>
  <c r="L188" i="11"/>
  <c r="N188" i="11"/>
  <c r="C196" i="11"/>
  <c r="O205" i="11"/>
  <c r="P205" i="11" s="1"/>
  <c r="Q205" i="11" s="1"/>
  <c r="R205" i="11" s="1"/>
  <c r="S205" i="11" s="1"/>
  <c r="T205" i="11" s="1"/>
  <c r="U205" i="11" s="1"/>
  <c r="V205" i="11" s="1"/>
  <c r="W206" i="11"/>
  <c r="O206" i="11" s="1"/>
  <c r="W207" i="11"/>
  <c r="O207" i="11" s="1"/>
  <c r="W208" i="11"/>
  <c r="O208" i="11" s="1"/>
  <c r="W209" i="11"/>
  <c r="O209" i="11" s="1"/>
  <c r="O237" i="11" s="1"/>
  <c r="W210" i="11"/>
  <c r="O210" i="11" s="1"/>
  <c r="W211" i="11"/>
  <c r="O211" i="11" s="1"/>
  <c r="W212" i="11"/>
  <c r="O212" i="11" s="1"/>
  <c r="W213" i="11"/>
  <c r="O213" i="11" s="1"/>
  <c r="W214" i="11"/>
  <c r="O214" i="11" s="1"/>
  <c r="W215" i="11"/>
  <c r="O215" i="11" s="1"/>
  <c r="P215" i="11" s="1"/>
  <c r="W216" i="11"/>
  <c r="O216" i="11" s="1"/>
  <c r="W217" i="11"/>
  <c r="O217" i="11" s="1"/>
  <c r="C218" i="11"/>
  <c r="C195" i="11" s="1"/>
  <c r="C197" i="11" s="1"/>
  <c r="D218" i="11"/>
  <c r="D195" i="11" s="1"/>
  <c r="E218" i="11"/>
  <c r="E195" i="11" s="1"/>
  <c r="F218" i="11"/>
  <c r="F195" i="11" s="1"/>
  <c r="G218" i="11"/>
  <c r="G195" i="11" s="1"/>
  <c r="H218" i="11"/>
  <c r="H195" i="11" s="1"/>
  <c r="I218" i="11"/>
  <c r="I195" i="11" s="1"/>
  <c r="J218" i="11"/>
  <c r="J195" i="11" s="1"/>
  <c r="K218" i="11"/>
  <c r="K195" i="11" s="1"/>
  <c r="L218" i="11"/>
  <c r="L195" i="11" s="1"/>
  <c r="M218" i="11"/>
  <c r="M195" i="11" s="1"/>
  <c r="N218" i="11"/>
  <c r="C220" i="11"/>
  <c r="D220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C221" i="11"/>
  <c r="D221" i="11"/>
  <c r="E221" i="11"/>
  <c r="E235" i="11"/>
  <c r="F221" i="11"/>
  <c r="G221" i="11"/>
  <c r="H221" i="11"/>
  <c r="I221" i="11"/>
  <c r="I235" i="11"/>
  <c r="J221" i="11"/>
  <c r="K221" i="11"/>
  <c r="L221" i="11"/>
  <c r="M221" i="11"/>
  <c r="M235" i="11"/>
  <c r="N221" i="11"/>
  <c r="O221" i="11"/>
  <c r="P221" i="11"/>
  <c r="Q221" i="11"/>
  <c r="R221" i="11"/>
  <c r="S221" i="11"/>
  <c r="T221" i="11"/>
  <c r="U221" i="11"/>
  <c r="V221" i="11"/>
  <c r="C222" i="11"/>
  <c r="D222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C223" i="11"/>
  <c r="D223" i="11"/>
  <c r="E223" i="11"/>
  <c r="E237" i="11"/>
  <c r="F223" i="11"/>
  <c r="G223" i="11"/>
  <c r="H223" i="11"/>
  <c r="I223" i="11"/>
  <c r="I237" i="11"/>
  <c r="J223" i="11"/>
  <c r="K223" i="11"/>
  <c r="L223" i="11"/>
  <c r="M223" i="11"/>
  <c r="M237" i="11"/>
  <c r="N223" i="11"/>
  <c r="O223" i="11"/>
  <c r="P223" i="11"/>
  <c r="Q223" i="11"/>
  <c r="R223" i="11"/>
  <c r="S223" i="11"/>
  <c r="T223" i="11"/>
  <c r="U223" i="11"/>
  <c r="V223" i="11"/>
  <c r="C224" i="11"/>
  <c r="D224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C225" i="11"/>
  <c r="D225" i="11"/>
  <c r="E225" i="11"/>
  <c r="E239" i="11"/>
  <c r="F225" i="11"/>
  <c r="G225" i="11"/>
  <c r="H225" i="11"/>
  <c r="I225" i="11"/>
  <c r="I239" i="11"/>
  <c r="J225" i="11"/>
  <c r="K225" i="11"/>
  <c r="L225" i="11"/>
  <c r="M225" i="11"/>
  <c r="M239" i="11"/>
  <c r="N225" i="11"/>
  <c r="O225" i="11"/>
  <c r="P225" i="11"/>
  <c r="Q225" i="11"/>
  <c r="R225" i="11"/>
  <c r="S225" i="11"/>
  <c r="T225" i="11"/>
  <c r="U225" i="11"/>
  <c r="V225" i="11"/>
  <c r="C226" i="11"/>
  <c r="D226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C227" i="11"/>
  <c r="D227" i="11"/>
  <c r="E227" i="11"/>
  <c r="E241" i="11"/>
  <c r="F227" i="11"/>
  <c r="G227" i="11"/>
  <c r="H227" i="11"/>
  <c r="I227" i="11"/>
  <c r="I241" i="11"/>
  <c r="J227" i="11"/>
  <c r="K227" i="11"/>
  <c r="L227" i="11"/>
  <c r="M227" i="11"/>
  <c r="M241" i="11"/>
  <c r="N227" i="11"/>
  <c r="O227" i="11"/>
  <c r="P227" i="11"/>
  <c r="Q227" i="11"/>
  <c r="R227" i="11"/>
  <c r="S227" i="11"/>
  <c r="T227" i="11"/>
  <c r="U227" i="11"/>
  <c r="V227" i="11"/>
  <c r="C228" i="11"/>
  <c r="D228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C229" i="11"/>
  <c r="D229" i="11"/>
  <c r="E229" i="11"/>
  <c r="E243" i="11"/>
  <c r="F229" i="11"/>
  <c r="G229" i="11"/>
  <c r="H229" i="11"/>
  <c r="I229" i="11"/>
  <c r="I243" i="11"/>
  <c r="J229" i="11"/>
  <c r="K229" i="11"/>
  <c r="L229" i="11"/>
  <c r="M229" i="11"/>
  <c r="M243" i="11"/>
  <c r="N229" i="11"/>
  <c r="O229" i="11"/>
  <c r="P229" i="11"/>
  <c r="Q229" i="11"/>
  <c r="R229" i="11"/>
  <c r="S229" i="11"/>
  <c r="T229" i="11"/>
  <c r="U229" i="11"/>
  <c r="V229" i="11"/>
  <c r="C230" i="11"/>
  <c r="D230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C231" i="11"/>
  <c r="D231" i="11"/>
  <c r="E231" i="11"/>
  <c r="E245" i="11"/>
  <c r="F231" i="11"/>
  <c r="G231" i="11"/>
  <c r="H231" i="11"/>
  <c r="I231" i="11"/>
  <c r="I245" i="11"/>
  <c r="J231" i="11"/>
  <c r="K231" i="11"/>
  <c r="L231" i="11"/>
  <c r="M231" i="11"/>
  <c r="M245" i="11"/>
  <c r="N231" i="11"/>
  <c r="O231" i="11"/>
  <c r="P231" i="11"/>
  <c r="Q231" i="11"/>
  <c r="R231" i="11"/>
  <c r="S231" i="11"/>
  <c r="T231" i="11"/>
  <c r="U231" i="11"/>
  <c r="V231" i="11"/>
  <c r="C234" i="11"/>
  <c r="D234" i="11"/>
  <c r="E234" i="11"/>
  <c r="F234" i="11"/>
  <c r="G234" i="11"/>
  <c r="H234" i="11"/>
  <c r="I234" i="11"/>
  <c r="J234" i="11"/>
  <c r="K234" i="11"/>
  <c r="L234" i="11"/>
  <c r="M234" i="11"/>
  <c r="N234" i="11"/>
  <c r="C235" i="11"/>
  <c r="D235" i="11"/>
  <c r="F235" i="11"/>
  <c r="G235" i="11"/>
  <c r="H235" i="11"/>
  <c r="J235" i="11"/>
  <c r="K235" i="11"/>
  <c r="L235" i="11"/>
  <c r="N235" i="11"/>
  <c r="C236" i="11"/>
  <c r="D236" i="11"/>
  <c r="E236" i="11"/>
  <c r="F236" i="11"/>
  <c r="G236" i="11"/>
  <c r="H236" i="11"/>
  <c r="I236" i="11"/>
  <c r="J236" i="11"/>
  <c r="K236" i="11"/>
  <c r="L236" i="11"/>
  <c r="M236" i="11"/>
  <c r="N236" i="11"/>
  <c r="C237" i="11"/>
  <c r="D237" i="11"/>
  <c r="F237" i="11"/>
  <c r="G237" i="11"/>
  <c r="H237" i="11"/>
  <c r="J237" i="11"/>
  <c r="K237" i="11"/>
  <c r="L237" i="11"/>
  <c r="N237" i="11"/>
  <c r="C238" i="11"/>
  <c r="D238" i="11"/>
  <c r="E238" i="11"/>
  <c r="F238" i="11"/>
  <c r="G238" i="11"/>
  <c r="H238" i="11"/>
  <c r="I238" i="11"/>
  <c r="J238" i="11"/>
  <c r="K238" i="11"/>
  <c r="L238" i="11"/>
  <c r="M238" i="11"/>
  <c r="N238" i="11"/>
  <c r="C239" i="11"/>
  <c r="D239" i="11"/>
  <c r="F239" i="11"/>
  <c r="G239" i="11"/>
  <c r="H239" i="11"/>
  <c r="J239" i="11"/>
  <c r="K239" i="11"/>
  <c r="L239" i="11"/>
  <c r="N239" i="11"/>
  <c r="C240" i="11"/>
  <c r="D240" i="11"/>
  <c r="E240" i="11"/>
  <c r="F240" i="11"/>
  <c r="G240" i="11"/>
  <c r="H240" i="11"/>
  <c r="I240" i="11"/>
  <c r="J240" i="11"/>
  <c r="K240" i="11"/>
  <c r="L240" i="11"/>
  <c r="M240" i="11"/>
  <c r="N240" i="11"/>
  <c r="C241" i="11"/>
  <c r="D241" i="11"/>
  <c r="F241" i="11"/>
  <c r="G241" i="11"/>
  <c r="H241" i="11"/>
  <c r="J241" i="11"/>
  <c r="K241" i="11"/>
  <c r="L241" i="11"/>
  <c r="N241" i="11"/>
  <c r="C242" i="11"/>
  <c r="D242" i="11"/>
  <c r="D248" i="11" s="1"/>
  <c r="E242" i="11"/>
  <c r="F242" i="11"/>
  <c r="G242" i="11"/>
  <c r="H242" i="11"/>
  <c r="H248" i="11" s="1"/>
  <c r="I242" i="11"/>
  <c r="J242" i="11"/>
  <c r="K242" i="11"/>
  <c r="L242" i="11"/>
  <c r="L248" i="11" s="1"/>
  <c r="M242" i="11"/>
  <c r="N242" i="11"/>
  <c r="C243" i="11"/>
  <c r="D243" i="11"/>
  <c r="F243" i="11"/>
  <c r="G243" i="11"/>
  <c r="H243" i="11"/>
  <c r="J243" i="11"/>
  <c r="J249" i="11" s="1"/>
  <c r="K243" i="11"/>
  <c r="L243" i="11"/>
  <c r="N243" i="11"/>
  <c r="C244" i="11"/>
  <c r="D244" i="11"/>
  <c r="E244" i="11"/>
  <c r="F244" i="11"/>
  <c r="G244" i="11"/>
  <c r="G249" i="11" s="1"/>
  <c r="H244" i="11"/>
  <c r="I244" i="11"/>
  <c r="J244" i="11"/>
  <c r="K244" i="11"/>
  <c r="K249" i="11" s="1"/>
  <c r="L244" i="11"/>
  <c r="M244" i="11"/>
  <c r="N244" i="11"/>
  <c r="C245" i="11"/>
  <c r="D245" i="11"/>
  <c r="F245" i="11"/>
  <c r="G245" i="11"/>
  <c r="H245" i="11"/>
  <c r="H249" i="11" s="1"/>
  <c r="J245" i="11"/>
  <c r="K245" i="11"/>
  <c r="L245" i="11"/>
  <c r="N245" i="11"/>
  <c r="N249" i="11" s="1"/>
  <c r="C248" i="11"/>
  <c r="G248" i="11"/>
  <c r="J248" i="11"/>
  <c r="N248" i="11"/>
  <c r="F249" i="11"/>
  <c r="L249" i="11"/>
  <c r="C256" i="11"/>
  <c r="O265" i="11"/>
  <c r="P265" i="11" s="1"/>
  <c r="Q265" i="11" s="1"/>
  <c r="R265" i="11" s="1"/>
  <c r="S265" i="11" s="1"/>
  <c r="T265" i="11" s="1"/>
  <c r="U265" i="11" s="1"/>
  <c r="V265" i="11" s="1"/>
  <c r="W266" i="11"/>
  <c r="O266" i="11" s="1"/>
  <c r="W267" i="11"/>
  <c r="O267" i="11" s="1"/>
  <c r="O295" i="11" s="1"/>
  <c r="W268" i="11"/>
  <c r="O268" i="11" s="1"/>
  <c r="W269" i="11"/>
  <c r="O269" i="11" s="1"/>
  <c r="W270" i="11"/>
  <c r="O270" i="11" s="1"/>
  <c r="W271" i="11"/>
  <c r="O271" i="11" s="1"/>
  <c r="W272" i="11"/>
  <c r="O272" i="11" s="1"/>
  <c r="W273" i="11"/>
  <c r="O273" i="11" s="1"/>
  <c r="W274" i="11"/>
  <c r="O274" i="11" s="1"/>
  <c r="W275" i="11"/>
  <c r="O275" i="11" s="1"/>
  <c r="O303" i="11" s="1"/>
  <c r="W276" i="11"/>
  <c r="O276" i="11" s="1"/>
  <c r="W277" i="11"/>
  <c r="O277" i="11" s="1"/>
  <c r="C278" i="11"/>
  <c r="C255" i="11" s="1"/>
  <c r="C257" i="11"/>
  <c r="D278" i="11"/>
  <c r="D255" i="11" s="1"/>
  <c r="E278" i="11"/>
  <c r="E255" i="11" s="1"/>
  <c r="F278" i="11"/>
  <c r="F255" i="11" s="1"/>
  <c r="G278" i="11"/>
  <c r="G255" i="11" s="1"/>
  <c r="H278" i="11"/>
  <c r="H255" i="11" s="1"/>
  <c r="I278" i="11"/>
  <c r="I255" i="11" s="1"/>
  <c r="J278" i="11"/>
  <c r="J255" i="11" s="1"/>
  <c r="K278" i="11"/>
  <c r="K255" i="11"/>
  <c r="L278" i="11"/>
  <c r="L255" i="11" s="1"/>
  <c r="M278" i="11"/>
  <c r="M255" i="11" s="1"/>
  <c r="N278" i="11"/>
  <c r="N255" i="11" s="1"/>
  <c r="C280" i="11"/>
  <c r="D280" i="11"/>
  <c r="E280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C281" i="11"/>
  <c r="D281" i="11"/>
  <c r="E281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C282" i="11"/>
  <c r="D282" i="11"/>
  <c r="E282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C283" i="11"/>
  <c r="D283" i="11"/>
  <c r="E283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C284" i="11"/>
  <c r="D284" i="11"/>
  <c r="E284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C285" i="11"/>
  <c r="D285" i="11"/>
  <c r="E285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C286" i="11"/>
  <c r="D286" i="11"/>
  <c r="E286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C287" i="11"/>
  <c r="D287" i="11"/>
  <c r="E287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C288" i="11"/>
  <c r="D288" i="11"/>
  <c r="E288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C289" i="11"/>
  <c r="D289" i="11"/>
  <c r="E289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C290" i="11"/>
  <c r="D290" i="11"/>
  <c r="E290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C291" i="11"/>
  <c r="D291" i="11"/>
  <c r="E291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C294" i="11"/>
  <c r="D294" i="11"/>
  <c r="E294" i="11"/>
  <c r="F294" i="11"/>
  <c r="G294" i="11"/>
  <c r="H294" i="11"/>
  <c r="I294" i="11"/>
  <c r="J294" i="11"/>
  <c r="K294" i="11"/>
  <c r="L294" i="11"/>
  <c r="M294" i="11"/>
  <c r="N294" i="11"/>
  <c r="C295" i="11"/>
  <c r="D295" i="11"/>
  <c r="E295" i="11"/>
  <c r="F295" i="11"/>
  <c r="G295" i="11"/>
  <c r="H295" i="11"/>
  <c r="I295" i="11"/>
  <c r="J295" i="11"/>
  <c r="K295" i="11"/>
  <c r="L295" i="11"/>
  <c r="M295" i="11"/>
  <c r="N295" i="11"/>
  <c r="C296" i="11"/>
  <c r="D296" i="11"/>
  <c r="E296" i="11"/>
  <c r="F296" i="11"/>
  <c r="G296" i="11"/>
  <c r="H296" i="11"/>
  <c r="I296" i="11"/>
  <c r="J296" i="11"/>
  <c r="K296" i="11"/>
  <c r="L296" i="11"/>
  <c r="M296" i="11"/>
  <c r="N296" i="11"/>
  <c r="C297" i="11"/>
  <c r="D297" i="11"/>
  <c r="E297" i="11"/>
  <c r="F297" i="11"/>
  <c r="G297" i="11"/>
  <c r="H297" i="11"/>
  <c r="I297" i="11"/>
  <c r="J297" i="11"/>
  <c r="K297" i="11"/>
  <c r="L297" i="11"/>
  <c r="M297" i="11"/>
  <c r="N297" i="11"/>
  <c r="C298" i="11"/>
  <c r="D298" i="11"/>
  <c r="E298" i="11"/>
  <c r="F298" i="11"/>
  <c r="G298" i="11"/>
  <c r="H298" i="11"/>
  <c r="I298" i="11"/>
  <c r="J298" i="11"/>
  <c r="K298" i="11"/>
  <c r="L298" i="11"/>
  <c r="M298" i="11"/>
  <c r="N298" i="11"/>
  <c r="C299" i="11"/>
  <c r="D299" i="11"/>
  <c r="E299" i="11"/>
  <c r="F299" i="11"/>
  <c r="G299" i="11"/>
  <c r="H299" i="11"/>
  <c r="I299" i="11"/>
  <c r="J299" i="11"/>
  <c r="K299" i="11"/>
  <c r="L299" i="11"/>
  <c r="M299" i="11"/>
  <c r="N299" i="11"/>
  <c r="C300" i="11"/>
  <c r="D300" i="11"/>
  <c r="E300" i="11"/>
  <c r="F300" i="11"/>
  <c r="G300" i="11"/>
  <c r="H300" i="11"/>
  <c r="I300" i="11"/>
  <c r="J300" i="11"/>
  <c r="K300" i="11"/>
  <c r="L300" i="11"/>
  <c r="M300" i="11"/>
  <c r="N300" i="11"/>
  <c r="C301" i="11"/>
  <c r="D301" i="11"/>
  <c r="E301" i="11"/>
  <c r="F301" i="11"/>
  <c r="G301" i="11"/>
  <c r="H301" i="11"/>
  <c r="I301" i="11"/>
  <c r="J301" i="11"/>
  <c r="K301" i="11"/>
  <c r="L301" i="11"/>
  <c r="M301" i="11"/>
  <c r="N301" i="11"/>
  <c r="C302" i="11"/>
  <c r="D302" i="11"/>
  <c r="E302" i="11"/>
  <c r="F302" i="11"/>
  <c r="G302" i="11"/>
  <c r="H302" i="11"/>
  <c r="I302" i="11"/>
  <c r="J302" i="11"/>
  <c r="K302" i="11"/>
  <c r="L302" i="11"/>
  <c r="M302" i="11"/>
  <c r="N302" i="11"/>
  <c r="C303" i="11"/>
  <c r="D303" i="11"/>
  <c r="E303" i="11"/>
  <c r="F303" i="11"/>
  <c r="G303" i="11"/>
  <c r="H303" i="11"/>
  <c r="I303" i="11"/>
  <c r="J303" i="11"/>
  <c r="K303" i="11"/>
  <c r="L303" i="11"/>
  <c r="M303" i="11"/>
  <c r="N303" i="11"/>
  <c r="C304" i="11"/>
  <c r="D304" i="11"/>
  <c r="E304" i="11"/>
  <c r="F304" i="11"/>
  <c r="G304" i="11"/>
  <c r="H304" i="11"/>
  <c r="I304" i="11"/>
  <c r="I309" i="11" s="1"/>
  <c r="J304" i="11"/>
  <c r="K304" i="11"/>
  <c r="L304" i="11"/>
  <c r="M304" i="11"/>
  <c r="N304" i="11"/>
  <c r="C305" i="11"/>
  <c r="D305" i="11"/>
  <c r="E305" i="11"/>
  <c r="F305" i="11"/>
  <c r="G305" i="11"/>
  <c r="H305" i="11"/>
  <c r="I305" i="11"/>
  <c r="J305" i="11"/>
  <c r="K305" i="11"/>
  <c r="L305" i="11"/>
  <c r="M305" i="11"/>
  <c r="N305" i="11"/>
  <c r="C307" i="11"/>
  <c r="D307" i="11"/>
  <c r="E307" i="11"/>
  <c r="F307" i="11"/>
  <c r="G307" i="11"/>
  <c r="H307" i="11"/>
  <c r="I307" i="11"/>
  <c r="J307" i="11"/>
  <c r="K307" i="11"/>
  <c r="L307" i="11"/>
  <c r="M307" i="11"/>
  <c r="N307" i="11"/>
  <c r="C308" i="11"/>
  <c r="D308" i="11"/>
  <c r="E308" i="11"/>
  <c r="F308" i="11"/>
  <c r="G308" i="11"/>
  <c r="H308" i="11"/>
  <c r="I308" i="11"/>
  <c r="J308" i="11"/>
  <c r="K308" i="11"/>
  <c r="L308" i="11"/>
  <c r="M308" i="11"/>
  <c r="N308" i="11"/>
  <c r="C309" i="11"/>
  <c r="C313" i="11" s="1"/>
  <c r="E309" i="11"/>
  <c r="F309" i="11"/>
  <c r="J309" i="11"/>
  <c r="M309" i="11"/>
  <c r="N309" i="11"/>
  <c r="C315" i="11"/>
  <c r="O325" i="11"/>
  <c r="P325" i="11" s="1"/>
  <c r="Q325" i="11" s="1"/>
  <c r="R325" i="11" s="1"/>
  <c r="S325" i="11" s="1"/>
  <c r="T325" i="11" s="1"/>
  <c r="U325" i="11" s="1"/>
  <c r="V325" i="11" s="1"/>
  <c r="W326" i="11"/>
  <c r="O326" i="11" s="1"/>
  <c r="W327" i="11"/>
  <c r="O327" i="11" s="1"/>
  <c r="W328" i="11"/>
  <c r="O328" i="11" s="1"/>
  <c r="W329" i="11"/>
  <c r="O329" i="11" s="1"/>
  <c r="W330" i="11"/>
  <c r="O330" i="11" s="1"/>
  <c r="W331" i="11"/>
  <c r="O331" i="11" s="1"/>
  <c r="W332" i="11"/>
  <c r="O332" i="11" s="1"/>
  <c r="W333" i="11"/>
  <c r="O333" i="11" s="1"/>
  <c r="W334" i="11"/>
  <c r="O334" i="11" s="1"/>
  <c r="W335" i="11"/>
  <c r="O335" i="11" s="1"/>
  <c r="W336" i="11"/>
  <c r="O336" i="11" s="1"/>
  <c r="O364" i="11" s="1"/>
  <c r="W337" i="11"/>
  <c r="O337" i="11" s="1"/>
  <c r="C338" i="11"/>
  <c r="C314" i="11" s="1"/>
  <c r="C316" i="11" s="1"/>
  <c r="D338" i="11"/>
  <c r="D314" i="11" s="1"/>
  <c r="E338" i="11"/>
  <c r="E314" i="11" s="1"/>
  <c r="F338" i="11"/>
  <c r="F314" i="11" s="1"/>
  <c r="G338" i="11"/>
  <c r="G314" i="11" s="1"/>
  <c r="H338" i="11"/>
  <c r="H314" i="11" s="1"/>
  <c r="I338" i="11"/>
  <c r="I314" i="11"/>
  <c r="J338" i="11"/>
  <c r="J314" i="11" s="1"/>
  <c r="K338" i="11"/>
  <c r="K314" i="11" s="1"/>
  <c r="L338" i="11"/>
  <c r="L314" i="11" s="1"/>
  <c r="M338" i="11"/>
  <c r="M314" i="11" s="1"/>
  <c r="N338" i="11"/>
  <c r="N314" i="11" s="1"/>
  <c r="C340" i="11"/>
  <c r="D340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C341" i="11"/>
  <c r="D341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C342" i="11"/>
  <c r="D342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C343" i="11"/>
  <c r="D343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C344" i="11"/>
  <c r="D344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C345" i="11"/>
  <c r="D345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C346" i="11"/>
  <c r="D346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C347" i="11"/>
  <c r="D347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C348" i="11"/>
  <c r="D348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C349" i="11"/>
  <c r="D349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C350" i="11"/>
  <c r="D350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C351" i="11"/>
  <c r="D351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C354" i="11"/>
  <c r="D354" i="11"/>
  <c r="E354" i="11"/>
  <c r="F354" i="11"/>
  <c r="G354" i="11"/>
  <c r="H354" i="11"/>
  <c r="I354" i="11"/>
  <c r="J354" i="11"/>
  <c r="K354" i="11"/>
  <c r="L354" i="11"/>
  <c r="M354" i="11"/>
  <c r="N354" i="11"/>
  <c r="C355" i="11"/>
  <c r="D355" i="11"/>
  <c r="E355" i="11"/>
  <c r="F355" i="11"/>
  <c r="G355" i="11"/>
  <c r="H355" i="11"/>
  <c r="I355" i="11"/>
  <c r="J355" i="11"/>
  <c r="K355" i="11"/>
  <c r="L355" i="11"/>
  <c r="M355" i="11"/>
  <c r="N355" i="11"/>
  <c r="C356" i="11"/>
  <c r="D356" i="11"/>
  <c r="E356" i="11"/>
  <c r="F356" i="11"/>
  <c r="G356" i="11"/>
  <c r="H356" i="11"/>
  <c r="I356" i="11"/>
  <c r="J356" i="11"/>
  <c r="K356" i="11"/>
  <c r="L356" i="11"/>
  <c r="M356" i="11"/>
  <c r="N356" i="11"/>
  <c r="C357" i="11"/>
  <c r="D357" i="11"/>
  <c r="E357" i="11"/>
  <c r="F357" i="11"/>
  <c r="G357" i="11"/>
  <c r="H357" i="11"/>
  <c r="I357" i="11"/>
  <c r="J357" i="11"/>
  <c r="K357" i="11"/>
  <c r="L357" i="11"/>
  <c r="M357" i="11"/>
  <c r="N357" i="11"/>
  <c r="C358" i="11"/>
  <c r="D358" i="11"/>
  <c r="E358" i="11"/>
  <c r="F358" i="11"/>
  <c r="G358" i="11"/>
  <c r="H358" i="11"/>
  <c r="I358" i="11"/>
  <c r="J358" i="11"/>
  <c r="K358" i="11"/>
  <c r="L358" i="11"/>
  <c r="M358" i="11"/>
  <c r="N358" i="11"/>
  <c r="C359" i="11"/>
  <c r="D359" i="11"/>
  <c r="E359" i="11"/>
  <c r="F359" i="11"/>
  <c r="G359" i="11"/>
  <c r="H359" i="11"/>
  <c r="I359" i="11"/>
  <c r="J359" i="11"/>
  <c r="K359" i="11"/>
  <c r="L359" i="11"/>
  <c r="M359" i="11"/>
  <c r="N359" i="11"/>
  <c r="C360" i="11"/>
  <c r="D360" i="11"/>
  <c r="E360" i="11"/>
  <c r="F360" i="11"/>
  <c r="G360" i="11"/>
  <c r="H360" i="11"/>
  <c r="I360" i="11"/>
  <c r="J360" i="11"/>
  <c r="K360" i="11"/>
  <c r="L360" i="11"/>
  <c r="M360" i="11"/>
  <c r="N360" i="11"/>
  <c r="C361" i="11"/>
  <c r="D361" i="11"/>
  <c r="E361" i="11"/>
  <c r="F361" i="11"/>
  <c r="G361" i="11"/>
  <c r="H361" i="11"/>
  <c r="H368" i="11" s="1"/>
  <c r="I361" i="11"/>
  <c r="J361" i="11"/>
  <c r="K361" i="11"/>
  <c r="L361" i="11"/>
  <c r="L368" i="11" s="1"/>
  <c r="M361" i="11"/>
  <c r="N361" i="11"/>
  <c r="C362" i="11"/>
  <c r="D362" i="11"/>
  <c r="E362" i="11"/>
  <c r="F362" i="11"/>
  <c r="G362" i="11"/>
  <c r="H362" i="11"/>
  <c r="I362" i="11"/>
  <c r="J362" i="11"/>
  <c r="K362" i="11"/>
  <c r="L362" i="11"/>
  <c r="M362" i="11"/>
  <c r="N362" i="11"/>
  <c r="C363" i="11"/>
  <c r="D363" i="11"/>
  <c r="E363" i="11"/>
  <c r="F363" i="11"/>
  <c r="G363" i="11"/>
  <c r="H363" i="11"/>
  <c r="I363" i="11"/>
  <c r="J363" i="11"/>
  <c r="K363" i="11"/>
  <c r="L363" i="11"/>
  <c r="M363" i="11"/>
  <c r="N363" i="11"/>
  <c r="C364" i="11"/>
  <c r="D364" i="11"/>
  <c r="E364" i="11"/>
  <c r="F364" i="11"/>
  <c r="G364" i="11"/>
  <c r="H364" i="11"/>
  <c r="I364" i="11"/>
  <c r="J364" i="11"/>
  <c r="K364" i="11"/>
  <c r="L364" i="11"/>
  <c r="M364" i="11"/>
  <c r="N364" i="11"/>
  <c r="C365" i="11"/>
  <c r="D365" i="11"/>
  <c r="E365" i="11"/>
  <c r="F365" i="11"/>
  <c r="G365" i="11"/>
  <c r="H365" i="11"/>
  <c r="I365" i="11"/>
  <c r="J365" i="11"/>
  <c r="K365" i="11"/>
  <c r="L365" i="11"/>
  <c r="M365" i="11"/>
  <c r="N365" i="11"/>
  <c r="C367" i="11"/>
  <c r="D367" i="11"/>
  <c r="E367" i="11"/>
  <c r="F367" i="11"/>
  <c r="G367" i="11"/>
  <c r="H367" i="11"/>
  <c r="I367" i="11"/>
  <c r="J367" i="11"/>
  <c r="K367" i="11"/>
  <c r="L367" i="11"/>
  <c r="M367" i="11"/>
  <c r="N367" i="11"/>
  <c r="C368" i="11"/>
  <c r="D368" i="11"/>
  <c r="F368" i="11"/>
  <c r="G368" i="11"/>
  <c r="I368" i="11"/>
  <c r="J368" i="11"/>
  <c r="K368" i="11"/>
  <c r="M368" i="11"/>
  <c r="N368" i="11"/>
  <c r="C369" i="11"/>
  <c r="C373" i="11" s="1"/>
  <c r="E369" i="11"/>
  <c r="F369" i="11"/>
  <c r="F373" i="11"/>
  <c r="G369" i="11"/>
  <c r="J369" i="11"/>
  <c r="J373" i="11" s="1"/>
  <c r="K369" i="11"/>
  <c r="K373" i="11" s="1"/>
  <c r="N369" i="11"/>
  <c r="N373" i="11" s="1"/>
  <c r="D3" i="9"/>
  <c r="E3" i="9" s="1"/>
  <c r="F3" i="9" s="1"/>
  <c r="G3" i="9" s="1"/>
  <c r="H3" i="9" s="1"/>
  <c r="I3" i="9" s="1"/>
  <c r="J3" i="9" s="1"/>
  <c r="K3" i="9" s="1"/>
  <c r="L3" i="9" s="1"/>
  <c r="M3" i="9" s="1"/>
  <c r="N3" i="9" s="1"/>
  <c r="O3" i="9" s="1"/>
  <c r="P3" i="9" s="1"/>
  <c r="Q3" i="9" s="1"/>
  <c r="R3" i="9" s="1"/>
  <c r="S3" i="9" s="1"/>
  <c r="T3" i="9" s="1"/>
  <c r="U3" i="9" s="1"/>
  <c r="V3" i="9" s="1"/>
  <c r="W3" i="9" s="1"/>
  <c r="X3" i="9" s="1"/>
  <c r="Y3" i="9" s="1"/>
  <c r="D13" i="9"/>
  <c r="E13" i="9" s="1"/>
  <c r="F13" i="9" s="1"/>
  <c r="G13" i="9" s="1"/>
  <c r="H13" i="9" s="1"/>
  <c r="I13" i="9" s="1"/>
  <c r="J13" i="9" s="1"/>
  <c r="K13" i="9" s="1"/>
  <c r="L13" i="9" s="1"/>
  <c r="M13" i="9" s="1"/>
  <c r="N13" i="9" s="1"/>
  <c r="O13" i="9" s="1"/>
  <c r="P13" i="9" s="1"/>
  <c r="Q13" i="9" s="1"/>
  <c r="R13" i="9" s="1"/>
  <c r="S13" i="9" s="1"/>
  <c r="T13" i="9" s="1"/>
  <c r="U13" i="9" s="1"/>
  <c r="V13" i="9" s="1"/>
  <c r="W13" i="9" s="1"/>
  <c r="X13" i="9" s="1"/>
  <c r="Y13" i="9" s="1"/>
  <c r="C15" i="9"/>
  <c r="D15" i="9"/>
  <c r="D17" i="9" s="1"/>
  <c r="E15" i="9"/>
  <c r="F15" i="9"/>
  <c r="G15" i="9"/>
  <c r="G17" i="9" s="1"/>
  <c r="G18" i="9" s="1"/>
  <c r="G24" i="9" s="1"/>
  <c r="G23" i="9"/>
  <c r="H15" i="9"/>
  <c r="F17" i="9"/>
  <c r="F18" i="9" s="1"/>
  <c r="F24" i="9" s="1"/>
  <c r="H34" i="9"/>
  <c r="H35" i="9"/>
  <c r="H36" i="9"/>
  <c r="H37" i="9"/>
  <c r="H39" i="9"/>
  <c r="H41" i="9"/>
  <c r="H85" i="9"/>
  <c r="H86" i="9" s="1"/>
  <c r="C55" i="9"/>
  <c r="C56" i="9" s="1"/>
  <c r="D55" i="9"/>
  <c r="E55" i="9"/>
  <c r="E56" i="9" s="1"/>
  <c r="F55" i="9"/>
  <c r="F56" i="9" s="1"/>
  <c r="G55" i="9"/>
  <c r="G56" i="9" s="1"/>
  <c r="D56" i="9"/>
  <c r="C65" i="9"/>
  <c r="C66" i="9" s="1"/>
  <c r="D65" i="9"/>
  <c r="D66" i="9" s="1"/>
  <c r="E65" i="9"/>
  <c r="E66" i="9" s="1"/>
  <c r="F65" i="9"/>
  <c r="F66" i="9" s="1"/>
  <c r="G65" i="9"/>
  <c r="G66" i="9" s="1"/>
  <c r="C75" i="9"/>
  <c r="C76" i="9" s="1"/>
  <c r="D75" i="9"/>
  <c r="D76" i="9" s="1"/>
  <c r="E75" i="9"/>
  <c r="F75" i="9"/>
  <c r="F76" i="9" s="1"/>
  <c r="G75" i="9"/>
  <c r="G76" i="9" s="1"/>
  <c r="H75" i="9"/>
  <c r="H76" i="9" s="1"/>
  <c r="E76" i="9"/>
  <c r="C85" i="9"/>
  <c r="C86" i="9" s="1"/>
  <c r="D85" i="9"/>
  <c r="E85" i="9"/>
  <c r="E86" i="9" s="1"/>
  <c r="F85" i="9"/>
  <c r="F86" i="9" s="1"/>
  <c r="G85" i="9"/>
  <c r="G86" i="9" s="1"/>
  <c r="D86" i="9"/>
  <c r="C95" i="9"/>
  <c r="C96" i="9" s="1"/>
  <c r="D95" i="9"/>
  <c r="D96" i="9" s="1"/>
  <c r="E95" i="9"/>
  <c r="E96" i="9" s="1"/>
  <c r="F95" i="9"/>
  <c r="F96" i="9" s="1"/>
  <c r="G95" i="9"/>
  <c r="G96" i="9" s="1"/>
  <c r="C105" i="9"/>
  <c r="C106" i="9" s="1"/>
  <c r="D105" i="9"/>
  <c r="D106" i="9" s="1"/>
  <c r="E105" i="9"/>
  <c r="E106" i="9" s="1"/>
  <c r="F105" i="9"/>
  <c r="F106" i="9" s="1"/>
  <c r="G105" i="9"/>
  <c r="G106" i="9" s="1"/>
  <c r="J11" i="3"/>
  <c r="K11" i="3" s="1"/>
  <c r="K15" i="3" s="1"/>
  <c r="I41" i="4"/>
  <c r="I31" i="4"/>
  <c r="H15" i="3"/>
  <c r="K29" i="1"/>
  <c r="K26" i="1"/>
  <c r="I31" i="1"/>
  <c r="K31" i="1" s="1"/>
  <c r="I30" i="1"/>
  <c r="K30" i="1" s="1"/>
  <c r="I28" i="1"/>
  <c r="K28" i="1" s="1"/>
  <c r="I27" i="1"/>
  <c r="K27" i="1" s="1"/>
  <c r="G41" i="4"/>
  <c r="H41" i="4"/>
  <c r="F41" i="4"/>
  <c r="H31" i="4"/>
  <c r="G31" i="4"/>
  <c r="F31" i="4"/>
  <c r="E24" i="3"/>
  <c r="E30" i="3" s="1"/>
  <c r="E15" i="3"/>
  <c r="C24" i="3"/>
  <c r="D24" i="3"/>
  <c r="C15" i="3"/>
  <c r="D15" i="3"/>
  <c r="F15" i="3"/>
  <c r="G15" i="3"/>
  <c r="I37" i="1"/>
  <c r="K37" i="1" s="1"/>
  <c r="I36" i="1"/>
  <c r="K36" i="1" s="1"/>
  <c r="I42" i="1"/>
  <c r="K42" i="1" s="1"/>
  <c r="I41" i="1"/>
  <c r="K41" i="1" s="1"/>
  <c r="I40" i="1"/>
  <c r="K40" i="1" s="1"/>
  <c r="I32" i="1"/>
  <c r="K32" i="1" s="1"/>
  <c r="I25" i="1"/>
  <c r="K25" i="1" s="1"/>
  <c r="I19" i="1"/>
  <c r="K19" i="1" s="1"/>
  <c r="I18" i="1"/>
  <c r="K18" i="1" s="1"/>
  <c r="J17" i="1"/>
  <c r="M35" i="1"/>
  <c r="H17" i="1"/>
  <c r="W158" i="11"/>
  <c r="C4" i="11"/>
  <c r="C12" i="34" s="1"/>
  <c r="C18" i="11"/>
  <c r="C21" i="11" s="1"/>
  <c r="D18" i="11" s="1"/>
  <c r="D21" i="11" s="1"/>
  <c r="E18" i="11" s="1"/>
  <c r="E21" i="11" s="1"/>
  <c r="F18" i="11" s="1"/>
  <c r="F21" i="11" s="1"/>
  <c r="G18" i="11" s="1"/>
  <c r="G21" i="11" s="1"/>
  <c r="H18" i="11" s="1"/>
  <c r="H21" i="11" s="1"/>
  <c r="I18" i="11" s="1"/>
  <c r="I21" i="11" s="1"/>
  <c r="J18" i="11" s="1"/>
  <c r="J21" i="11" s="1"/>
  <c r="K18" i="11" s="1"/>
  <c r="K21" i="11" s="1"/>
  <c r="L18" i="11" s="1"/>
  <c r="L21" i="11" s="1"/>
  <c r="M18" i="11" s="1"/>
  <c r="M21" i="11" s="1"/>
  <c r="N18" i="11" s="1"/>
  <c r="N21" i="11" s="1"/>
  <c r="K371" i="11"/>
  <c r="N372" i="11"/>
  <c r="J372" i="11"/>
  <c r="F372" i="11"/>
  <c r="N371" i="11"/>
  <c r="J371" i="11"/>
  <c r="F371" i="11"/>
  <c r="W338" i="11"/>
  <c r="P35" i="11"/>
  <c r="C372" i="11"/>
  <c r="C371" i="11"/>
  <c r="O244" i="11"/>
  <c r="O236" i="11"/>
  <c r="N189" i="11"/>
  <c r="J189" i="11"/>
  <c r="N187" i="11"/>
  <c r="J187" i="11"/>
  <c r="F187" i="11"/>
  <c r="O58" i="11"/>
  <c r="C19" i="11"/>
  <c r="C22" i="11" s="1"/>
  <c r="D19" i="11" s="1"/>
  <c r="D22" i="11" s="1"/>
  <c r="E19" i="11" s="1"/>
  <c r="E22" i="11" s="1"/>
  <c r="F19" i="11" s="1"/>
  <c r="F22" i="11" s="1"/>
  <c r="G19" i="11" s="1"/>
  <c r="G22" i="11" s="1"/>
  <c r="H19" i="11" s="1"/>
  <c r="H22" i="11" s="1"/>
  <c r="I19" i="11" s="1"/>
  <c r="I22" i="11" s="1"/>
  <c r="J19" i="11" s="1"/>
  <c r="J22" i="11" s="1"/>
  <c r="K19" i="11" s="1"/>
  <c r="K22" i="11" s="1"/>
  <c r="L19" i="11" s="1"/>
  <c r="L22" i="11" s="1"/>
  <c r="M19" i="11" s="1"/>
  <c r="M22" i="11" s="1"/>
  <c r="N19" i="11" s="1"/>
  <c r="N22" i="11" s="1"/>
  <c r="C17" i="11"/>
  <c r="C20" i="11" s="1"/>
  <c r="D17" i="11" s="1"/>
  <c r="H128" i="11"/>
  <c r="J31" i="4"/>
  <c r="I95" i="9"/>
  <c r="I96" i="9" s="1"/>
  <c r="H95" i="9"/>
  <c r="H96" i="9" s="1"/>
  <c r="H55" i="9"/>
  <c r="H56" i="9" s="1"/>
  <c r="H65" i="9"/>
  <c r="H66" i="9" s="1"/>
  <c r="P330" i="11"/>
  <c r="O358" i="11"/>
  <c r="O304" i="11"/>
  <c r="P276" i="11"/>
  <c r="Q276" i="11" s="1"/>
  <c r="O363" i="11"/>
  <c r="P335" i="11"/>
  <c r="O359" i="11"/>
  <c r="P331" i="11"/>
  <c r="Q331" i="11" s="1"/>
  <c r="O355" i="11"/>
  <c r="P327" i="11"/>
  <c r="O305" i="11"/>
  <c r="P277" i="11"/>
  <c r="Q277" i="11" s="1"/>
  <c r="Q305" i="11" s="1"/>
  <c r="O301" i="11"/>
  <c r="P273" i="11"/>
  <c r="O297" i="11"/>
  <c r="P269" i="11"/>
  <c r="P297" i="11" s="1"/>
  <c r="M249" i="11"/>
  <c r="P326" i="11"/>
  <c r="O354" i="11"/>
  <c r="O296" i="11"/>
  <c r="P268" i="11"/>
  <c r="P336" i="11"/>
  <c r="P274" i="11"/>
  <c r="O302" i="11"/>
  <c r="P270" i="11"/>
  <c r="P298" i="11" s="1"/>
  <c r="O298" i="11"/>
  <c r="P266" i="11"/>
  <c r="O294" i="11"/>
  <c r="O278" i="11"/>
  <c r="O255" i="11" s="1"/>
  <c r="P150" i="11"/>
  <c r="O178" i="11"/>
  <c r="P334" i="11"/>
  <c r="O362" i="11"/>
  <c r="O300" i="11"/>
  <c r="P272" i="11"/>
  <c r="P337" i="11"/>
  <c r="O365" i="11"/>
  <c r="P333" i="11"/>
  <c r="O361" i="11"/>
  <c r="P329" i="11"/>
  <c r="O357" i="11"/>
  <c r="P275" i="11"/>
  <c r="P154" i="11"/>
  <c r="O182" i="11"/>
  <c r="M248" i="11"/>
  <c r="P214" i="11"/>
  <c r="O242" i="11"/>
  <c r="P210" i="11"/>
  <c r="O238" i="11"/>
  <c r="P206" i="11"/>
  <c r="O234" i="11"/>
  <c r="C78" i="11"/>
  <c r="C81" i="11" s="1"/>
  <c r="D78" i="11" s="1"/>
  <c r="D81" i="11" s="1"/>
  <c r="E78" i="11" s="1"/>
  <c r="E81" i="11" s="1"/>
  <c r="F78" i="11" s="1"/>
  <c r="F81" i="11" s="1"/>
  <c r="G78" i="11" s="1"/>
  <c r="G81" i="11" s="1"/>
  <c r="H78" i="11" s="1"/>
  <c r="H81" i="11" s="1"/>
  <c r="I78" i="11" s="1"/>
  <c r="I81" i="11" s="1"/>
  <c r="J78" i="11" s="1"/>
  <c r="J81" i="11" s="1"/>
  <c r="K78" i="11" s="1"/>
  <c r="K81" i="11" s="1"/>
  <c r="L78" i="11" s="1"/>
  <c r="L81" i="11" s="1"/>
  <c r="M78" i="11" s="1"/>
  <c r="M81" i="11" s="1"/>
  <c r="N78" i="11" s="1"/>
  <c r="N81" i="11" s="1"/>
  <c r="O78" i="11" s="1"/>
  <c r="O81" i="11" s="1"/>
  <c r="C79" i="11"/>
  <c r="C82" i="11" s="1"/>
  <c r="D79" i="11" s="1"/>
  <c r="D82" i="11" s="1"/>
  <c r="E79" i="11" s="1"/>
  <c r="E82" i="11" s="1"/>
  <c r="F79" i="11" s="1"/>
  <c r="F82" i="11" s="1"/>
  <c r="G79" i="11" s="1"/>
  <c r="G82" i="11" s="1"/>
  <c r="H79" i="11" s="1"/>
  <c r="H82" i="11" s="1"/>
  <c r="I79" i="11" s="1"/>
  <c r="I82" i="11" s="1"/>
  <c r="J79" i="11" s="1"/>
  <c r="J82" i="11" s="1"/>
  <c r="K79" i="11" s="1"/>
  <c r="K82" i="11" s="1"/>
  <c r="L79" i="11" s="1"/>
  <c r="L82" i="11" s="1"/>
  <c r="M79" i="11" s="1"/>
  <c r="M82" i="11" s="1"/>
  <c r="N79" i="11" s="1"/>
  <c r="N82" i="11" s="1"/>
  <c r="O79" i="11" s="1"/>
  <c r="O82" i="11" s="1"/>
  <c r="P86" i="11"/>
  <c r="O114" i="11"/>
  <c r="P216" i="11"/>
  <c r="Q216" i="11" s="1"/>
  <c r="P208" i="11"/>
  <c r="O235" i="11"/>
  <c r="W278" i="11"/>
  <c r="C7" i="11"/>
  <c r="C198" i="11"/>
  <c r="C201" i="11" s="1"/>
  <c r="D198" i="11" s="1"/>
  <c r="D201" i="11" s="1"/>
  <c r="E198" i="11" s="1"/>
  <c r="C199" i="11"/>
  <c r="C202" i="11" s="1"/>
  <c r="D199" i="11" s="1"/>
  <c r="C200" i="11"/>
  <c r="C203" i="11" s="1"/>
  <c r="D200" i="11" s="1"/>
  <c r="D203" i="11" s="1"/>
  <c r="E200" i="11" s="1"/>
  <c r="E203" i="11" s="1"/>
  <c r="F200" i="11" s="1"/>
  <c r="F203" i="11" s="1"/>
  <c r="G200" i="11" s="1"/>
  <c r="G203" i="11" s="1"/>
  <c r="H200" i="11" s="1"/>
  <c r="H203" i="11" s="1"/>
  <c r="I200" i="11" s="1"/>
  <c r="I203" i="11" s="1"/>
  <c r="J200" i="11" s="1"/>
  <c r="J203" i="11" s="1"/>
  <c r="K200" i="11" s="1"/>
  <c r="K203" i="11" s="1"/>
  <c r="L200" i="11" s="1"/>
  <c r="L203" i="11" s="1"/>
  <c r="M200" i="11" s="1"/>
  <c r="M203" i="11" s="1"/>
  <c r="N200" i="11" s="1"/>
  <c r="N203" i="11" s="1"/>
  <c r="O184" i="11"/>
  <c r="P95" i="11"/>
  <c r="P96" i="11"/>
  <c r="P124" i="11" s="1"/>
  <c r="O124" i="11"/>
  <c r="O119" i="11"/>
  <c r="P91" i="11"/>
  <c r="P119" i="11" s="1"/>
  <c r="P58" i="11"/>
  <c r="Q30" i="11"/>
  <c r="Q58" i="11" s="1"/>
  <c r="W98" i="11"/>
  <c r="P94" i="11"/>
  <c r="P122" i="11" s="1"/>
  <c r="O122" i="11"/>
  <c r="O115" i="11"/>
  <c r="P87" i="11"/>
  <c r="Q87" i="11" s="1"/>
  <c r="R87" i="11" s="1"/>
  <c r="S87" i="11" s="1"/>
  <c r="T87" i="11" s="1"/>
  <c r="U87" i="11" s="1"/>
  <c r="U115" i="11" s="1"/>
  <c r="N128" i="11"/>
  <c r="J128" i="11"/>
  <c r="F128" i="11"/>
  <c r="E68" i="11"/>
  <c r="P88" i="11"/>
  <c r="P116" i="11" s="1"/>
  <c r="O116" i="11"/>
  <c r="H127" i="11"/>
  <c r="I75" i="9"/>
  <c r="I76" i="9" s="1"/>
  <c r="G35" i="1"/>
  <c r="H35" i="1"/>
  <c r="J35" i="1"/>
  <c r="L35" i="1"/>
  <c r="N35" i="1"/>
  <c r="H105" i="9"/>
  <c r="H106" i="9" s="1"/>
  <c r="I55" i="9"/>
  <c r="I56" i="9" s="1"/>
  <c r="Q94" i="11"/>
  <c r="Q122" i="11" s="1"/>
  <c r="Q96" i="11"/>
  <c r="P236" i="11"/>
  <c r="Q208" i="11"/>
  <c r="Q236" i="11" s="1"/>
  <c r="Q206" i="11"/>
  <c r="Q234" i="11" s="1"/>
  <c r="P234" i="11"/>
  <c r="Q88" i="11"/>
  <c r="Q116" i="11" s="1"/>
  <c r="Q333" i="11"/>
  <c r="R333" i="11" s="1"/>
  <c r="S333" i="11" s="1"/>
  <c r="S361" i="11" s="1"/>
  <c r="P361" i="11"/>
  <c r="Q270" i="11"/>
  <c r="R270" i="11" s="1"/>
  <c r="Q273" i="11"/>
  <c r="P301" i="11"/>
  <c r="Q327" i="11"/>
  <c r="R327" i="11" s="1"/>
  <c r="P355" i="11"/>
  <c r="Q335" i="11"/>
  <c r="P363" i="11"/>
  <c r="O369" i="11"/>
  <c r="O308" i="11"/>
  <c r="Q214" i="11"/>
  <c r="Q242" i="11" s="1"/>
  <c r="P242" i="11"/>
  <c r="Q330" i="11"/>
  <c r="R330" i="11" s="1"/>
  <c r="P358" i="11"/>
  <c r="Q55" i="11"/>
  <c r="P244" i="11"/>
  <c r="Q210" i="11"/>
  <c r="R210" i="11" s="1"/>
  <c r="P238" i="11"/>
  <c r="P300" i="11"/>
  <c r="Q272" i="11"/>
  <c r="R272" i="11" s="1"/>
  <c r="Q150" i="11"/>
  <c r="Q178" i="11" s="1"/>
  <c r="P178" i="11"/>
  <c r="P296" i="11"/>
  <c r="Q268" i="11"/>
  <c r="Q296" i="11" s="1"/>
  <c r="P115" i="11"/>
  <c r="Q91" i="11"/>
  <c r="Q119" i="11" s="1"/>
  <c r="Q154" i="11"/>
  <c r="P182" i="11"/>
  <c r="P357" i="11"/>
  <c r="Q329" i="11"/>
  <c r="Q357" i="11" s="1"/>
  <c r="Q337" i="11"/>
  <c r="Q365" i="11" s="1"/>
  <c r="P365" i="11"/>
  <c r="Q334" i="11"/>
  <c r="R334" i="11" s="1"/>
  <c r="P362" i="11"/>
  <c r="Q266" i="11"/>
  <c r="Q294" i="11" s="1"/>
  <c r="P294" i="11"/>
  <c r="Q274" i="11"/>
  <c r="P302" i="11"/>
  <c r="Q269" i="11"/>
  <c r="P305" i="11"/>
  <c r="P359" i="11"/>
  <c r="I85" i="9"/>
  <c r="I86" i="9" s="1"/>
  <c r="O38" i="1"/>
  <c r="J51" i="3" s="1"/>
  <c r="V31" i="1"/>
  <c r="R337" i="11"/>
  <c r="R94" i="11"/>
  <c r="R150" i="11"/>
  <c r="R277" i="11"/>
  <c r="R305" i="11" s="1"/>
  <c r="Q355" i="11"/>
  <c r="R206" i="11"/>
  <c r="R329" i="11"/>
  <c r="R357" i="11" s="1"/>
  <c r="R216" i="11"/>
  <c r="S216" i="11" s="1"/>
  <c r="Q244" i="11"/>
  <c r="Q362" i="11"/>
  <c r="Q300" i="11"/>
  <c r="R214" i="11"/>
  <c r="R242" i="11" s="1"/>
  <c r="R38" i="1"/>
  <c r="N30" i="4"/>
  <c r="M55" i="3" s="1"/>
  <c r="M69" i="3" s="1"/>
  <c r="M31" i="4"/>
  <c r="R17" i="1"/>
  <c r="Q17" i="1"/>
  <c r="S329" i="11"/>
  <c r="S357" i="11" s="1"/>
  <c r="S94" i="11"/>
  <c r="R122" i="11"/>
  <c r="R361" i="11"/>
  <c r="O30" i="4"/>
  <c r="T333" i="11"/>
  <c r="U333" i="11" s="1"/>
  <c r="Q66" i="1"/>
  <c r="AF14" i="1"/>
  <c r="V87" i="11"/>
  <c r="V115" i="11" s="1"/>
  <c r="I15" i="3"/>
  <c r="V14" i="1"/>
  <c r="AA14" i="1"/>
  <c r="O35" i="1"/>
  <c r="Q35" i="1"/>
  <c r="L15" i="4"/>
  <c r="L14" i="4"/>
  <c r="AB104" i="3" l="1"/>
  <c r="AB115" i="3"/>
  <c r="AB107" i="3"/>
  <c r="AB129" i="3"/>
  <c r="AB130" i="3" s="1"/>
  <c r="AW51" i="1" s="1"/>
  <c r="AA130" i="3"/>
  <c r="S210" i="11"/>
  <c r="R238" i="11"/>
  <c r="S330" i="11"/>
  <c r="R358" i="11"/>
  <c r="R355" i="11"/>
  <c r="S327" i="11"/>
  <c r="T327" i="11" s="1"/>
  <c r="P213" i="11"/>
  <c r="O241" i="11"/>
  <c r="P25" i="11"/>
  <c r="O53" i="11"/>
  <c r="G373" i="11"/>
  <c r="M67" i="11"/>
  <c r="F67" i="11"/>
  <c r="G68" i="11"/>
  <c r="Q358" i="11"/>
  <c r="R88" i="11"/>
  <c r="S88" i="11" s="1"/>
  <c r="M68" i="11"/>
  <c r="S115" i="11"/>
  <c r="R115" i="11"/>
  <c r="R266" i="11"/>
  <c r="R208" i="11"/>
  <c r="Q238" i="11"/>
  <c r="S214" i="11"/>
  <c r="K248" i="11"/>
  <c r="O55" i="11"/>
  <c r="R55" i="11"/>
  <c r="P55" i="11"/>
  <c r="I65" i="9"/>
  <c r="I66" i="9" s="1"/>
  <c r="I105" i="9"/>
  <c r="I106" i="9" s="1"/>
  <c r="N69" i="9"/>
  <c r="N59" i="9"/>
  <c r="F23" i="9"/>
  <c r="H38" i="9"/>
  <c r="H17" i="9"/>
  <c r="H23" i="9" s="1"/>
  <c r="D18" i="9"/>
  <c r="D24" i="9" s="1"/>
  <c r="D23" i="9"/>
  <c r="K47" i="9"/>
  <c r="L47" i="9" s="1"/>
  <c r="J65" i="9"/>
  <c r="J66" i="9" s="1"/>
  <c r="G26" i="9"/>
  <c r="G30" i="9" s="1"/>
  <c r="G4" i="9" s="1"/>
  <c r="K50" i="9"/>
  <c r="J95" i="9"/>
  <c r="J96" i="9" s="1"/>
  <c r="C17" i="9"/>
  <c r="C23" i="9" s="1"/>
  <c r="K49" i="9"/>
  <c r="J85" i="9"/>
  <c r="J86" i="9" s="1"/>
  <c r="K46" i="9"/>
  <c r="J55" i="9"/>
  <c r="J56" i="9" s="1"/>
  <c r="J75" i="9"/>
  <c r="J76" i="9" s="1"/>
  <c r="K48" i="9"/>
  <c r="J14" i="9"/>
  <c r="I15" i="9"/>
  <c r="F26" i="9"/>
  <c r="F30" i="9" s="1"/>
  <c r="F4" i="9" s="1"/>
  <c r="E17" i="9"/>
  <c r="E23" i="9" s="1"/>
  <c r="J105" i="9"/>
  <c r="J106" i="9" s="1"/>
  <c r="K51" i="9"/>
  <c r="AB120" i="3"/>
  <c r="AC40" i="4"/>
  <c r="AC41" i="4" s="1"/>
  <c r="H43" i="9"/>
  <c r="H44" i="9" s="1"/>
  <c r="J21" i="1"/>
  <c r="J59" i="1" s="1"/>
  <c r="I17" i="1"/>
  <c r="I21" i="1" s="1"/>
  <c r="I60" i="1" s="1"/>
  <c r="K38" i="1"/>
  <c r="U30" i="1"/>
  <c r="AV17" i="1"/>
  <c r="AR17" i="1"/>
  <c r="AN17" i="1"/>
  <c r="AU17" i="1"/>
  <c r="AQ17" i="1"/>
  <c r="AT17" i="1"/>
  <c r="AP17" i="1"/>
  <c r="AL17" i="1"/>
  <c r="AW17" i="1"/>
  <c r="AS17" i="1"/>
  <c r="AO17" i="1"/>
  <c r="N55" i="3"/>
  <c r="N69" i="3" s="1"/>
  <c r="Q83" i="3" s="1"/>
  <c r="P30" i="4"/>
  <c r="U34" i="3"/>
  <c r="O19" i="4"/>
  <c r="T18" i="4"/>
  <c r="S18" i="4"/>
  <c r="O6" i="3"/>
  <c r="N20" i="3"/>
  <c r="N23" i="4"/>
  <c r="Q20" i="3"/>
  <c r="R23" i="4" s="1"/>
  <c r="P82" i="3"/>
  <c r="M82" i="3"/>
  <c r="M98" i="3" s="1"/>
  <c r="N7" i="4" s="1"/>
  <c r="N82" i="3"/>
  <c r="O82" i="3"/>
  <c r="N21" i="3"/>
  <c r="O24" i="4" s="1"/>
  <c r="N24" i="4"/>
  <c r="I35" i="1"/>
  <c r="I65" i="1"/>
  <c r="N31" i="4"/>
  <c r="J55" i="3"/>
  <c r="J69" i="3" s="1"/>
  <c r="K31" i="4"/>
  <c r="J41" i="4"/>
  <c r="O31" i="4"/>
  <c r="K41" i="4"/>
  <c r="L13" i="4"/>
  <c r="L30" i="4"/>
  <c r="K55" i="3" s="1"/>
  <c r="K69" i="3" s="1"/>
  <c r="I55" i="3"/>
  <c r="I69" i="3" s="1"/>
  <c r="L40" i="4"/>
  <c r="L41" i="4" s="1"/>
  <c r="P35" i="1"/>
  <c r="M21" i="1"/>
  <c r="H48" i="3" s="1"/>
  <c r="H49" i="3"/>
  <c r="J64" i="3"/>
  <c r="J62" i="3"/>
  <c r="H62" i="3"/>
  <c r="H64" i="3"/>
  <c r="F64" i="3"/>
  <c r="F62" i="3"/>
  <c r="I62" i="3"/>
  <c r="I64" i="3"/>
  <c r="K7" i="4"/>
  <c r="J71" i="3" s="1"/>
  <c r="K62" i="1"/>
  <c r="G64" i="3"/>
  <c r="G62" i="3"/>
  <c r="AA31" i="1"/>
  <c r="AF31" i="1" s="1"/>
  <c r="AK31" i="1" s="1"/>
  <c r="AM31" i="1" s="1"/>
  <c r="AN31" i="1" s="1"/>
  <c r="AO31" i="1" s="1"/>
  <c r="AP31" i="1" s="1"/>
  <c r="AQ31" i="1" s="1"/>
  <c r="AR31" i="1" s="1"/>
  <c r="AS31" i="1" s="1"/>
  <c r="AT31" i="1" s="1"/>
  <c r="AU31" i="1" s="1"/>
  <c r="AV31" i="1" s="1"/>
  <c r="AW31" i="1" s="1"/>
  <c r="E64" i="3"/>
  <c r="E62" i="3"/>
  <c r="I62" i="1"/>
  <c r="K35" i="1"/>
  <c r="O21" i="1"/>
  <c r="J48" i="3" s="1"/>
  <c r="J49" i="3"/>
  <c r="G21" i="1"/>
  <c r="F48" i="3" s="1"/>
  <c r="F49" i="3"/>
  <c r="G39" i="3"/>
  <c r="L73" i="3"/>
  <c r="M68" i="3" s="1"/>
  <c r="L9" i="3"/>
  <c r="L17" i="4"/>
  <c r="L21" i="4"/>
  <c r="L23" i="4"/>
  <c r="K19" i="4"/>
  <c r="L19" i="4" s="1"/>
  <c r="K22" i="4"/>
  <c r="L22" i="4" s="1"/>
  <c r="K24" i="4"/>
  <c r="L24" i="4" s="1"/>
  <c r="O21" i="3"/>
  <c r="P24" i="4" s="1"/>
  <c r="F39" i="3"/>
  <c r="K37" i="3"/>
  <c r="E39" i="3"/>
  <c r="J30" i="3"/>
  <c r="H39" i="3"/>
  <c r="I66" i="1"/>
  <c r="K65" i="1"/>
  <c r="P25" i="1"/>
  <c r="P65" i="1" s="1"/>
  <c r="N65" i="1"/>
  <c r="Q65" i="1"/>
  <c r="Q38" i="1"/>
  <c r="L51" i="3" s="1"/>
  <c r="L62" i="3" s="1"/>
  <c r="K66" i="1"/>
  <c r="R21" i="1"/>
  <c r="R23" i="1" s="1"/>
  <c r="R39" i="1" s="1"/>
  <c r="R43" i="1" s="1"/>
  <c r="R46" i="1" s="1"/>
  <c r="R50" i="1" s="1"/>
  <c r="I38" i="1"/>
  <c r="N21" i="1"/>
  <c r="I48" i="3" s="1"/>
  <c r="H21" i="1"/>
  <c r="H60" i="1" s="1"/>
  <c r="I63" i="1"/>
  <c r="P17" i="1"/>
  <c r="P21" i="1" s="1"/>
  <c r="K48" i="3" s="1"/>
  <c r="L21" i="1"/>
  <c r="AM17" i="1"/>
  <c r="J16" i="4"/>
  <c r="L11" i="3"/>
  <c r="P66" i="1"/>
  <c r="F21" i="1"/>
  <c r="K17" i="1"/>
  <c r="K21" i="1" s="1"/>
  <c r="K60" i="1" s="1"/>
  <c r="L24" i="3"/>
  <c r="L30" i="3" s="1"/>
  <c r="K63" i="1"/>
  <c r="V41" i="1"/>
  <c r="O109" i="9"/>
  <c r="P90" i="11"/>
  <c r="Q90" i="11" s="1"/>
  <c r="O118" i="11"/>
  <c r="T210" i="11"/>
  <c r="S238" i="11"/>
  <c r="S355" i="11"/>
  <c r="T329" i="11"/>
  <c r="T357" i="11" s="1"/>
  <c r="P308" i="11"/>
  <c r="C75" i="34"/>
  <c r="C76" i="34" s="1"/>
  <c r="C77" i="34" s="1"/>
  <c r="C78" i="34" s="1"/>
  <c r="E368" i="11"/>
  <c r="E372" i="11" s="1"/>
  <c r="H129" i="11"/>
  <c r="O200" i="11"/>
  <c r="O203" i="11" s="1"/>
  <c r="G309" i="11"/>
  <c r="O309" i="11"/>
  <c r="I129" i="11"/>
  <c r="F68" i="11"/>
  <c r="N67" i="11"/>
  <c r="R268" i="11"/>
  <c r="R91" i="11"/>
  <c r="S91" i="11" s="1"/>
  <c r="T91" i="11" s="1"/>
  <c r="R30" i="11"/>
  <c r="L189" i="11"/>
  <c r="M129" i="11"/>
  <c r="M127" i="11"/>
  <c r="J129" i="11"/>
  <c r="D66" i="11"/>
  <c r="K66" i="11"/>
  <c r="G66" i="11"/>
  <c r="M66" i="11"/>
  <c r="C68" i="11"/>
  <c r="C13" i="34"/>
  <c r="D249" i="11"/>
  <c r="F248" i="11"/>
  <c r="I248" i="11"/>
  <c r="E248" i="11"/>
  <c r="F247" i="11"/>
  <c r="K247" i="11"/>
  <c r="I249" i="11"/>
  <c r="E249" i="11"/>
  <c r="M247" i="11"/>
  <c r="I247" i="11"/>
  <c r="E247" i="11"/>
  <c r="L129" i="11"/>
  <c r="D129" i="11"/>
  <c r="K128" i="11"/>
  <c r="M128" i="11"/>
  <c r="I68" i="11"/>
  <c r="L67" i="11"/>
  <c r="D67" i="11"/>
  <c r="O99" i="9"/>
  <c r="O89" i="9"/>
  <c r="N79" i="9"/>
  <c r="O69" i="9"/>
  <c r="O59" i="9"/>
  <c r="O28" i="9"/>
  <c r="V27" i="1"/>
  <c r="S244" i="11"/>
  <c r="T216" i="11"/>
  <c r="S270" i="11"/>
  <c r="R298" i="11"/>
  <c r="R331" i="11"/>
  <c r="Q359" i="11"/>
  <c r="S272" i="11"/>
  <c r="R300" i="11"/>
  <c r="P63" i="11"/>
  <c r="Q35" i="11"/>
  <c r="M369" i="11"/>
  <c r="M373" i="11" s="1"/>
  <c r="I369" i="11"/>
  <c r="I373" i="11" s="1"/>
  <c r="C9" i="11"/>
  <c r="C319" i="11"/>
  <c r="C322" i="11" s="1"/>
  <c r="D319" i="11" s="1"/>
  <c r="D322" i="11" s="1"/>
  <c r="E319" i="11" s="1"/>
  <c r="E322" i="11" s="1"/>
  <c r="F319" i="11" s="1"/>
  <c r="F322" i="11" s="1"/>
  <c r="G319" i="11" s="1"/>
  <c r="G322" i="11" s="1"/>
  <c r="H319" i="11" s="1"/>
  <c r="H322" i="11" s="1"/>
  <c r="I319" i="11" s="1"/>
  <c r="I322" i="11" s="1"/>
  <c r="J319" i="11" s="1"/>
  <c r="J322" i="11" s="1"/>
  <c r="K319" i="11" s="1"/>
  <c r="K322" i="11" s="1"/>
  <c r="L319" i="11" s="1"/>
  <c r="L322" i="11" s="1"/>
  <c r="M319" i="11" s="1"/>
  <c r="M322" i="11" s="1"/>
  <c r="N319" i="11" s="1"/>
  <c r="N322" i="11" s="1"/>
  <c r="O319" i="11" s="1"/>
  <c r="O322" i="11" s="1"/>
  <c r="P319" i="11" s="1"/>
  <c r="P322" i="11" s="1"/>
  <c r="C317" i="11"/>
  <c r="C320" i="11" s="1"/>
  <c r="D317" i="11" s="1"/>
  <c r="C318" i="11"/>
  <c r="C321" i="11" s="1"/>
  <c r="D318" i="11" s="1"/>
  <c r="D321" i="11" s="1"/>
  <c r="E318" i="11" s="1"/>
  <c r="E321" i="11" s="1"/>
  <c r="F318" i="11" s="1"/>
  <c r="F321" i="11" s="1"/>
  <c r="G318" i="11" s="1"/>
  <c r="G321" i="11" s="1"/>
  <c r="H318" i="11" s="1"/>
  <c r="H321" i="11" s="1"/>
  <c r="I318" i="11" s="1"/>
  <c r="I321" i="11" s="1"/>
  <c r="J318" i="11" s="1"/>
  <c r="J321" i="11" s="1"/>
  <c r="K318" i="11" s="1"/>
  <c r="K321" i="11" s="1"/>
  <c r="L318" i="11" s="1"/>
  <c r="L321" i="11" s="1"/>
  <c r="M318" i="11" s="1"/>
  <c r="M321" i="11" s="1"/>
  <c r="N318" i="11" s="1"/>
  <c r="N321" i="11" s="1"/>
  <c r="O318" i="11" s="1"/>
  <c r="O321" i="11" s="1"/>
  <c r="P36" i="11"/>
  <c r="O64" i="11"/>
  <c r="O56" i="11"/>
  <c r="P28" i="11"/>
  <c r="T115" i="11"/>
  <c r="R119" i="11"/>
  <c r="S277" i="11"/>
  <c r="S206" i="11"/>
  <c r="R234" i="11"/>
  <c r="Q115" i="11"/>
  <c r="P118" i="11"/>
  <c r="D16" i="11"/>
  <c r="D20" i="11"/>
  <c r="E17" i="11" s="1"/>
  <c r="E16" i="11" s="1"/>
  <c r="Q336" i="11"/>
  <c r="P364" i="11"/>
  <c r="P369" i="11" s="1"/>
  <c r="I372" i="11"/>
  <c r="E371" i="11"/>
  <c r="U329" i="11"/>
  <c r="R365" i="11"/>
  <c r="S337" i="11"/>
  <c r="Q304" i="11"/>
  <c r="R276" i="11"/>
  <c r="K188" i="11"/>
  <c r="G188" i="11"/>
  <c r="C188" i="11"/>
  <c r="K187" i="11"/>
  <c r="G187" i="11"/>
  <c r="R362" i="11"/>
  <c r="S334" i="11"/>
  <c r="S362" i="11" s="1"/>
  <c r="Q95" i="11"/>
  <c r="P123" i="11"/>
  <c r="Q326" i="11"/>
  <c r="R326" i="11" s="1"/>
  <c r="P354" i="11"/>
  <c r="E373" i="11"/>
  <c r="R244" i="11"/>
  <c r="Q298" i="11"/>
  <c r="T94" i="11"/>
  <c r="S122" i="11"/>
  <c r="P304" i="11"/>
  <c r="P309" i="11" s="1"/>
  <c r="P303" i="11"/>
  <c r="Q275" i="11"/>
  <c r="O19" i="11"/>
  <c r="O22" i="11" s="1"/>
  <c r="G247" i="11"/>
  <c r="L247" i="11"/>
  <c r="W218" i="11"/>
  <c r="N195" i="11"/>
  <c r="O245" i="11"/>
  <c r="P217" i="11"/>
  <c r="P211" i="11"/>
  <c r="O239" i="11"/>
  <c r="P209" i="11"/>
  <c r="Q86" i="11"/>
  <c r="P114" i="11"/>
  <c r="O247" i="11"/>
  <c r="O243" i="11"/>
  <c r="O249" i="11" s="1"/>
  <c r="P267" i="11"/>
  <c r="O218" i="11"/>
  <c r="O195" i="11" s="1"/>
  <c r="P207" i="11"/>
  <c r="Q207" i="11" s="1"/>
  <c r="P147" i="11"/>
  <c r="P175" i="11" s="1"/>
  <c r="O175" i="11"/>
  <c r="G127" i="11"/>
  <c r="L127" i="11"/>
  <c r="D127" i="11"/>
  <c r="E127" i="11"/>
  <c r="C5" i="11"/>
  <c r="C77" i="11"/>
  <c r="C80" i="11" s="1"/>
  <c r="D77" i="11" s="1"/>
  <c r="O59" i="11"/>
  <c r="P31" i="11"/>
  <c r="P332" i="11"/>
  <c r="O360" i="11"/>
  <c r="O368" i="11" s="1"/>
  <c r="O356" i="11"/>
  <c r="O367" i="11" s="1"/>
  <c r="P328" i="11"/>
  <c r="C312" i="11"/>
  <c r="C311" i="11"/>
  <c r="K309" i="11"/>
  <c r="C259" i="11"/>
  <c r="C262" i="11" s="1"/>
  <c r="D259" i="11" s="1"/>
  <c r="D262" i="11" s="1"/>
  <c r="E259" i="11" s="1"/>
  <c r="E262" i="11" s="1"/>
  <c r="F259" i="11" s="1"/>
  <c r="F262" i="11" s="1"/>
  <c r="G259" i="11" s="1"/>
  <c r="G262" i="11" s="1"/>
  <c r="H259" i="11" s="1"/>
  <c r="H262" i="11" s="1"/>
  <c r="I259" i="11" s="1"/>
  <c r="I262" i="11" s="1"/>
  <c r="J259" i="11" s="1"/>
  <c r="J262" i="11" s="1"/>
  <c r="K259" i="11" s="1"/>
  <c r="K262" i="11" s="1"/>
  <c r="L259" i="11" s="1"/>
  <c r="L262" i="11" s="1"/>
  <c r="M259" i="11" s="1"/>
  <c r="M262" i="11" s="1"/>
  <c r="N259" i="11" s="1"/>
  <c r="N262" i="11" s="1"/>
  <c r="O259" i="11" s="1"/>
  <c r="O262" i="11" s="1"/>
  <c r="P259" i="11" s="1"/>
  <c r="P262" i="11" s="1"/>
  <c r="Q259" i="11" s="1"/>
  <c r="Q262" i="11" s="1"/>
  <c r="C258" i="11"/>
  <c r="C261" i="11" s="1"/>
  <c r="D258" i="11" s="1"/>
  <c r="D261" i="11" s="1"/>
  <c r="E258" i="11" s="1"/>
  <c r="E261" i="11" s="1"/>
  <c r="F258" i="11" s="1"/>
  <c r="C8" i="11"/>
  <c r="C260" i="11"/>
  <c r="C263" i="11" s="1"/>
  <c r="D260" i="11" s="1"/>
  <c r="D257" i="11" s="1"/>
  <c r="O299" i="11"/>
  <c r="O307" i="11" s="1"/>
  <c r="P271" i="11"/>
  <c r="E128" i="11"/>
  <c r="J66" i="11"/>
  <c r="I66" i="11"/>
  <c r="E66" i="11"/>
  <c r="K67" i="11"/>
  <c r="P34" i="11"/>
  <c r="O62" i="11"/>
  <c r="P26" i="11"/>
  <c r="O54" i="11"/>
  <c r="P243" i="11"/>
  <c r="Q215" i="11"/>
  <c r="P212" i="11"/>
  <c r="Q212" i="11" s="1"/>
  <c r="O240" i="11"/>
  <c r="O248" i="11" s="1"/>
  <c r="Q156" i="11"/>
  <c r="R156" i="11" s="1"/>
  <c r="S156" i="11" s="1"/>
  <c r="P184" i="11"/>
  <c r="P152" i="11"/>
  <c r="O180" i="11"/>
  <c r="P149" i="11"/>
  <c r="P177" i="11" s="1"/>
  <c r="O177" i="11"/>
  <c r="P92" i="11"/>
  <c r="O120" i="11"/>
  <c r="O98" i="11"/>
  <c r="O74" i="11" s="1"/>
  <c r="O57" i="11"/>
  <c r="P29" i="11"/>
  <c r="Q25" i="11"/>
  <c r="P53" i="11"/>
  <c r="L369" i="11"/>
  <c r="L372" i="11" s="1"/>
  <c r="H369" i="11"/>
  <c r="H372" i="11" s="1"/>
  <c r="F129" i="11"/>
  <c r="P97" i="11"/>
  <c r="P79" i="11" s="1"/>
  <c r="P82" i="11" s="1"/>
  <c r="N68" i="11"/>
  <c r="G189" i="11"/>
  <c r="D189" i="11"/>
  <c r="I189" i="11"/>
  <c r="J127" i="11"/>
  <c r="F127" i="11"/>
  <c r="K127" i="11"/>
  <c r="N129" i="11"/>
  <c r="E67" i="11"/>
  <c r="H67" i="11"/>
  <c r="J67" i="11"/>
  <c r="N66" i="11"/>
  <c r="L66" i="11"/>
  <c r="F66" i="11"/>
  <c r="C66" i="11"/>
  <c r="O18" i="11"/>
  <c r="O21" i="11" s="1"/>
  <c r="C189" i="11"/>
  <c r="C191" i="11" s="1"/>
  <c r="G128" i="11"/>
  <c r="J68" i="11"/>
  <c r="U361" i="11"/>
  <c r="V333" i="11"/>
  <c r="V361" i="11" s="1"/>
  <c r="R178" i="11"/>
  <c r="S150" i="11"/>
  <c r="D202" i="11"/>
  <c r="E199" i="11" s="1"/>
  <c r="E202" i="11" s="1"/>
  <c r="F199" i="11" s="1"/>
  <c r="F202" i="11" s="1"/>
  <c r="G199" i="11" s="1"/>
  <c r="G202" i="11" s="1"/>
  <c r="H199" i="11" s="1"/>
  <c r="H202" i="11" s="1"/>
  <c r="I199" i="11" s="1"/>
  <c r="I202" i="11" s="1"/>
  <c r="J199" i="11" s="1"/>
  <c r="J202" i="11" s="1"/>
  <c r="K199" i="11" s="1"/>
  <c r="K202" i="11" s="1"/>
  <c r="L199" i="11" s="1"/>
  <c r="L202" i="11" s="1"/>
  <c r="M199" i="11" s="1"/>
  <c r="M202" i="11" s="1"/>
  <c r="N199" i="11" s="1"/>
  <c r="N202" i="11" s="1"/>
  <c r="O199" i="11" s="1"/>
  <c r="O202" i="11" s="1"/>
  <c r="P199" i="11" s="1"/>
  <c r="P202" i="11" s="1"/>
  <c r="D197" i="11"/>
  <c r="L373" i="11"/>
  <c r="H371" i="11"/>
  <c r="T361" i="11"/>
  <c r="Q303" i="11"/>
  <c r="R275" i="11"/>
  <c r="S55" i="11"/>
  <c r="T27" i="11"/>
  <c r="S119" i="11"/>
  <c r="R269" i="11"/>
  <c r="Q297" i="11"/>
  <c r="Q302" i="11"/>
  <c r="R274" i="11"/>
  <c r="Q114" i="11"/>
  <c r="R86" i="11"/>
  <c r="R236" i="11"/>
  <c r="S208" i="11"/>
  <c r="R116" i="11"/>
  <c r="Q184" i="11"/>
  <c r="Q361" i="11"/>
  <c r="Q182" i="11"/>
  <c r="R154" i="11"/>
  <c r="Q363" i="11"/>
  <c r="R335" i="11"/>
  <c r="R273" i="11"/>
  <c r="Q301" i="11"/>
  <c r="P240" i="11"/>
  <c r="Q124" i="11"/>
  <c r="R96" i="11"/>
  <c r="E201" i="11"/>
  <c r="F198" i="11" s="1"/>
  <c r="D80" i="11"/>
  <c r="E77" i="11" s="1"/>
  <c r="D76" i="11"/>
  <c r="Q354" i="11"/>
  <c r="O129" i="11"/>
  <c r="M371" i="11"/>
  <c r="K372" i="11"/>
  <c r="D369" i="11"/>
  <c r="M188" i="11"/>
  <c r="I188" i="11"/>
  <c r="E188" i="11"/>
  <c r="M187" i="11"/>
  <c r="I187" i="11"/>
  <c r="C127" i="11"/>
  <c r="N127" i="11"/>
  <c r="O121" i="11"/>
  <c r="O128" i="11" s="1"/>
  <c r="P93" i="11"/>
  <c r="D68" i="11"/>
  <c r="O338" i="11"/>
  <c r="O314" i="11" s="1"/>
  <c r="G371" i="11"/>
  <c r="I371" i="11"/>
  <c r="G372" i="11"/>
  <c r="P89" i="11"/>
  <c r="O117" i="11"/>
  <c r="O127" i="11" s="1"/>
  <c r="H66" i="11"/>
  <c r="P33" i="11"/>
  <c r="O61" i="11"/>
  <c r="L309" i="11"/>
  <c r="H309" i="11"/>
  <c r="D309" i="11"/>
  <c r="C249" i="11"/>
  <c r="N247" i="11"/>
  <c r="C247" i="11"/>
  <c r="J247" i="11"/>
  <c r="H247" i="11"/>
  <c r="D247" i="11"/>
  <c r="K129" i="11"/>
  <c r="O60" i="11"/>
  <c r="P32" i="11"/>
  <c r="K189" i="11"/>
  <c r="E189" i="11"/>
  <c r="P153" i="11"/>
  <c r="O181" i="11"/>
  <c r="O188" i="11" s="1"/>
  <c r="O176" i="11"/>
  <c r="P148" i="11"/>
  <c r="C138" i="11"/>
  <c r="C141" i="11" s="1"/>
  <c r="D138" i="11" s="1"/>
  <c r="C6" i="11"/>
  <c r="C54" i="34" s="1"/>
  <c r="C55" i="34" s="1"/>
  <c r="C56" i="34" s="1"/>
  <c r="C57" i="34" s="1"/>
  <c r="C140" i="11"/>
  <c r="C143" i="11" s="1"/>
  <c r="D140" i="11" s="1"/>
  <c r="D143" i="11" s="1"/>
  <c r="E140" i="11" s="1"/>
  <c r="E143" i="11" s="1"/>
  <c r="F140" i="11" s="1"/>
  <c r="F143" i="11" s="1"/>
  <c r="G140" i="11" s="1"/>
  <c r="G143" i="11" s="1"/>
  <c r="H140" i="11" s="1"/>
  <c r="H143" i="11" s="1"/>
  <c r="I140" i="11" s="1"/>
  <c r="I143" i="11" s="1"/>
  <c r="J140" i="11" s="1"/>
  <c r="J143" i="11" s="1"/>
  <c r="K140" i="11" s="1"/>
  <c r="K143" i="11" s="1"/>
  <c r="L140" i="11" s="1"/>
  <c r="L143" i="11" s="1"/>
  <c r="M140" i="11" s="1"/>
  <c r="M143" i="11" s="1"/>
  <c r="N140" i="11" s="1"/>
  <c r="N143" i="11" s="1"/>
  <c r="O140" i="11" s="1"/>
  <c r="O143" i="11" s="1"/>
  <c r="C139" i="11"/>
  <c r="C142" i="11" s="1"/>
  <c r="D139" i="11" s="1"/>
  <c r="D142" i="11" s="1"/>
  <c r="E139" i="11" s="1"/>
  <c r="E142" i="11" s="1"/>
  <c r="F139" i="11" s="1"/>
  <c r="F142" i="11" s="1"/>
  <c r="G139" i="11" s="1"/>
  <c r="G142" i="11" s="1"/>
  <c r="H139" i="11" s="1"/>
  <c r="H142" i="11" s="1"/>
  <c r="I139" i="11" s="1"/>
  <c r="I142" i="11" s="1"/>
  <c r="J139" i="11" s="1"/>
  <c r="J142" i="11" s="1"/>
  <c r="K139" i="11" s="1"/>
  <c r="K142" i="11" s="1"/>
  <c r="L139" i="11" s="1"/>
  <c r="L142" i="11" s="1"/>
  <c r="M139" i="11" s="1"/>
  <c r="M142" i="11" s="1"/>
  <c r="N139" i="11" s="1"/>
  <c r="N142" i="11" s="1"/>
  <c r="O139" i="11" s="1"/>
  <c r="O142" i="11" s="1"/>
  <c r="P155" i="11"/>
  <c r="O183" i="11"/>
  <c r="C193" i="11"/>
  <c r="P157" i="11"/>
  <c r="O185" i="11"/>
  <c r="Q149" i="11"/>
  <c r="P151" i="11"/>
  <c r="O179" i="11"/>
  <c r="P146" i="11"/>
  <c r="O158" i="11"/>
  <c r="O135" i="11" s="1"/>
  <c r="O174" i="11"/>
  <c r="AB131" i="3" l="1"/>
  <c r="AA131" i="3"/>
  <c r="AV51" i="1"/>
  <c r="Q118" i="11"/>
  <c r="R90" i="11"/>
  <c r="P139" i="11"/>
  <c r="P142" i="11" s="1"/>
  <c r="E20" i="11"/>
  <c r="F17" i="11" s="1"/>
  <c r="R184" i="11"/>
  <c r="H373" i="11"/>
  <c r="O68" i="11"/>
  <c r="P200" i="11"/>
  <c r="P203" i="11" s="1"/>
  <c r="S266" i="11"/>
  <c r="R294" i="11"/>
  <c r="T88" i="11"/>
  <c r="S116" i="11"/>
  <c r="T214" i="11"/>
  <c r="S242" i="11"/>
  <c r="P241" i="11"/>
  <c r="P248" i="11" s="1"/>
  <c r="Q213" i="11"/>
  <c r="T330" i="11"/>
  <c r="S358" i="11"/>
  <c r="D263" i="11"/>
  <c r="E260" i="11" s="1"/>
  <c r="E263" i="11" s="1"/>
  <c r="F260" i="11" s="1"/>
  <c r="F263" i="11" s="1"/>
  <c r="G260" i="11" s="1"/>
  <c r="G263" i="11" s="1"/>
  <c r="H260" i="11" s="1"/>
  <c r="H263" i="11" s="1"/>
  <c r="I260" i="11" s="1"/>
  <c r="I263" i="11" s="1"/>
  <c r="J260" i="11" s="1"/>
  <c r="J263" i="11" s="1"/>
  <c r="K260" i="11" s="1"/>
  <c r="K263" i="11" s="1"/>
  <c r="L260" i="11" s="1"/>
  <c r="L263" i="11" s="1"/>
  <c r="M260" i="11" s="1"/>
  <c r="M263" i="11" s="1"/>
  <c r="N260" i="11" s="1"/>
  <c r="N263" i="11" s="1"/>
  <c r="O260" i="11" s="1"/>
  <c r="O263" i="11" s="1"/>
  <c r="P260" i="11" s="1"/>
  <c r="P263" i="11" s="1"/>
  <c r="Q260" i="11" s="1"/>
  <c r="Q263" i="11" s="1"/>
  <c r="R260" i="11" s="1"/>
  <c r="R263" i="11" s="1"/>
  <c r="T355" i="11"/>
  <c r="U327" i="11"/>
  <c r="K65" i="9"/>
  <c r="K66" i="9" s="1"/>
  <c r="H18" i="9"/>
  <c r="H24" i="9" s="1"/>
  <c r="H26" i="9" s="1"/>
  <c r="H30" i="9" s="1"/>
  <c r="H4" i="9" s="1"/>
  <c r="D26" i="9"/>
  <c r="D30" i="9" s="1"/>
  <c r="D4" i="9" s="1"/>
  <c r="L46" i="9"/>
  <c r="K55" i="9"/>
  <c r="K56" i="9" s="1"/>
  <c r="K14" i="9"/>
  <c r="J15" i="9"/>
  <c r="L49" i="9"/>
  <c r="K85" i="9"/>
  <c r="K86" i="9" s="1"/>
  <c r="L65" i="9"/>
  <c r="M47" i="9"/>
  <c r="E18" i="9"/>
  <c r="E24" i="9" s="1"/>
  <c r="E26" i="9" s="1"/>
  <c r="E30" i="9" s="1"/>
  <c r="E4" i="9" s="1"/>
  <c r="K75" i="9"/>
  <c r="K76" i="9" s="1"/>
  <c r="L48" i="9"/>
  <c r="K105" i="9"/>
  <c r="K106" i="9" s="1"/>
  <c r="L51" i="9"/>
  <c r="L50" i="9"/>
  <c r="K95" i="9"/>
  <c r="K96" i="9" s="1"/>
  <c r="I17" i="9"/>
  <c r="I23" i="9" s="1"/>
  <c r="C18" i="9"/>
  <c r="C24" i="9" s="1"/>
  <c r="C26" i="9" s="1"/>
  <c r="C30" i="9" s="1"/>
  <c r="C4" i="9" s="1"/>
  <c r="M59" i="1"/>
  <c r="Q30" i="4"/>
  <c r="R30" i="4" s="1"/>
  <c r="S30" i="4" s="1"/>
  <c r="T30" i="4" s="1"/>
  <c r="G247" i="43"/>
  <c r="I59" i="1"/>
  <c r="V30" i="1"/>
  <c r="AA30" i="1" s="1"/>
  <c r="J23" i="1"/>
  <c r="J39" i="1" s="1"/>
  <c r="J43" i="1" s="1"/>
  <c r="J46" i="1" s="1"/>
  <c r="J50" i="1" s="1"/>
  <c r="J53" i="1" s="1"/>
  <c r="J60" i="1"/>
  <c r="I23" i="1"/>
  <c r="I39" i="1" s="1"/>
  <c r="I43" i="1" s="1"/>
  <c r="I46" i="1" s="1"/>
  <c r="I50" i="1" s="1"/>
  <c r="I53" i="1" s="1"/>
  <c r="P83" i="3"/>
  <c r="O59" i="1"/>
  <c r="G59" i="1"/>
  <c r="R60" i="1"/>
  <c r="O83" i="3"/>
  <c r="N83" i="3"/>
  <c r="N98" i="3" s="1"/>
  <c r="O7" i="4" s="1"/>
  <c r="N71" i="3" s="1"/>
  <c r="P38" i="1"/>
  <c r="K51" i="3" s="1"/>
  <c r="K62" i="3" s="1"/>
  <c r="U30" i="4"/>
  <c r="S55" i="3"/>
  <c r="S69" i="3" s="1"/>
  <c r="T31" i="4"/>
  <c r="M23" i="1"/>
  <c r="M39" i="1" s="1"/>
  <c r="M43" i="1" s="1"/>
  <c r="M46" i="1" s="1"/>
  <c r="I6" i="4" s="1"/>
  <c r="I26" i="4" s="1"/>
  <c r="O23" i="1"/>
  <c r="O39" i="1" s="1"/>
  <c r="O43" i="1" s="1"/>
  <c r="O46" i="1" s="1"/>
  <c r="O50" i="1" s="1"/>
  <c r="J53" i="3" s="1"/>
  <c r="O60" i="1"/>
  <c r="P19" i="4"/>
  <c r="O23" i="4"/>
  <c r="P23" i="4"/>
  <c r="V34" i="3"/>
  <c r="W34" i="3" s="1"/>
  <c r="X34" i="3" s="1"/>
  <c r="Y34" i="3" s="1"/>
  <c r="R20" i="3"/>
  <c r="P6" i="3"/>
  <c r="Q19" i="4" s="1"/>
  <c r="G23" i="1"/>
  <c r="G39" i="1" s="1"/>
  <c r="G43" i="1" s="1"/>
  <c r="G46" i="1" s="1"/>
  <c r="G50" i="1" s="1"/>
  <c r="F53" i="3" s="1"/>
  <c r="G60" i="1"/>
  <c r="K58" i="3"/>
  <c r="K70" i="3"/>
  <c r="F58" i="3"/>
  <c r="F70" i="3"/>
  <c r="I58" i="3"/>
  <c r="I70" i="3"/>
  <c r="J58" i="3"/>
  <c r="J70" i="3"/>
  <c r="H58" i="3"/>
  <c r="H70" i="3"/>
  <c r="K38" i="3"/>
  <c r="K39" i="3" s="1"/>
  <c r="L31" i="4"/>
  <c r="O55" i="3"/>
  <c r="O69" i="3" s="1"/>
  <c r="P31" i="4"/>
  <c r="K16" i="4"/>
  <c r="L16" i="4" s="1"/>
  <c r="N59" i="1"/>
  <c r="L64" i="3"/>
  <c r="N60" i="1"/>
  <c r="L7" i="4"/>
  <c r="K71" i="3" s="1"/>
  <c r="L60" i="1"/>
  <c r="G48" i="3"/>
  <c r="M60" i="1"/>
  <c r="L37" i="3"/>
  <c r="L15" i="3"/>
  <c r="P21" i="3"/>
  <c r="Q24" i="4" s="1"/>
  <c r="M71" i="3"/>
  <c r="R59" i="1"/>
  <c r="F59" i="1"/>
  <c r="E48" i="3"/>
  <c r="K59" i="1"/>
  <c r="N23" i="1"/>
  <c r="N39" i="1" s="1"/>
  <c r="N43" i="1" s="1"/>
  <c r="N46" i="1" s="1"/>
  <c r="N50" i="1" s="1"/>
  <c r="I53" i="3" s="1"/>
  <c r="H59" i="1"/>
  <c r="H23" i="1"/>
  <c r="H39" i="1" s="1"/>
  <c r="H43" i="1" s="1"/>
  <c r="H46" i="1" s="1"/>
  <c r="H50" i="1" s="1"/>
  <c r="P23" i="1"/>
  <c r="P60" i="1"/>
  <c r="P59" i="1"/>
  <c r="Q21" i="1"/>
  <c r="Q23" i="1" s="1"/>
  <c r="Q39" i="1" s="1"/>
  <c r="Q43" i="1" s="1"/>
  <c r="Q46" i="1" s="1"/>
  <c r="L23" i="1"/>
  <c r="L39" i="1" s="1"/>
  <c r="L43" i="1" s="1"/>
  <c r="L46" i="1" s="1"/>
  <c r="L50" i="1" s="1"/>
  <c r="G53" i="3" s="1"/>
  <c r="L59" i="1"/>
  <c r="F60" i="1"/>
  <c r="F23" i="1"/>
  <c r="F39" i="1" s="1"/>
  <c r="F43" i="1" s="1"/>
  <c r="F46" i="1" s="1"/>
  <c r="F50" i="1" s="1"/>
  <c r="R53" i="1"/>
  <c r="R74" i="1"/>
  <c r="K23" i="1"/>
  <c r="K39" i="1" s="1"/>
  <c r="K43" i="1" s="1"/>
  <c r="K46" i="1" s="1"/>
  <c r="K50" i="1" s="1"/>
  <c r="V32" i="1"/>
  <c r="P109" i="9"/>
  <c r="R259" i="11"/>
  <c r="R262" i="11" s="1"/>
  <c r="C192" i="11"/>
  <c r="R296" i="11"/>
  <c r="S268" i="11"/>
  <c r="C59" i="34"/>
  <c r="C63" i="34" s="1"/>
  <c r="C69" i="34" s="1"/>
  <c r="C58" i="34"/>
  <c r="C62" i="34" s="1"/>
  <c r="C68" i="34" s="1"/>
  <c r="O371" i="11"/>
  <c r="C80" i="34"/>
  <c r="C84" i="34" s="1"/>
  <c r="C90" i="34" s="1"/>
  <c r="C79" i="34"/>
  <c r="C83" i="34" s="1"/>
  <c r="C89" i="34" s="1"/>
  <c r="O67" i="11"/>
  <c r="C96" i="34"/>
  <c r="C97" i="34" s="1"/>
  <c r="C98" i="34" s="1"/>
  <c r="C99" i="34" s="1"/>
  <c r="C117" i="34"/>
  <c r="S30" i="11"/>
  <c r="R58" i="11"/>
  <c r="Q308" i="11"/>
  <c r="L371" i="11"/>
  <c r="C33" i="34"/>
  <c r="C14" i="34"/>
  <c r="U91" i="11"/>
  <c r="T119" i="11"/>
  <c r="T238" i="11"/>
  <c r="U210" i="11"/>
  <c r="P99" i="9"/>
  <c r="P89" i="9"/>
  <c r="O79" i="9"/>
  <c r="P69" i="9"/>
  <c r="P59" i="9"/>
  <c r="P28" i="9"/>
  <c r="V29" i="1"/>
  <c r="S17" i="1"/>
  <c r="S21" i="1" s="1"/>
  <c r="S59" i="1" s="1"/>
  <c r="S38" i="1"/>
  <c r="Q92" i="11"/>
  <c r="P120" i="11"/>
  <c r="P54" i="11"/>
  <c r="Q26" i="11"/>
  <c r="Q209" i="11"/>
  <c r="P237" i="11"/>
  <c r="S305" i="11"/>
  <c r="T277" i="11"/>
  <c r="D320" i="11"/>
  <c r="E317" i="11" s="1"/>
  <c r="D316" i="11"/>
  <c r="S331" i="11"/>
  <c r="R359" i="11"/>
  <c r="P140" i="11"/>
  <c r="P143" i="11" s="1"/>
  <c r="M372" i="11"/>
  <c r="O373" i="11"/>
  <c r="Q309" i="11"/>
  <c r="T334" i="11"/>
  <c r="U334" i="11" s="1"/>
  <c r="Q243" i="11"/>
  <c r="R215" i="11"/>
  <c r="O372" i="11"/>
  <c r="P218" i="11"/>
  <c r="P195" i="11" s="1"/>
  <c r="P235" i="11"/>
  <c r="P19" i="11"/>
  <c r="P22" i="11" s="1"/>
  <c r="V329" i="11"/>
  <c r="V357" i="11" s="1"/>
  <c r="U357" i="11"/>
  <c r="D15" i="11"/>
  <c r="D4" i="11"/>
  <c r="Q319" i="11"/>
  <c r="Q322" i="11" s="1"/>
  <c r="R319" i="11" s="1"/>
  <c r="R322" i="11" s="1"/>
  <c r="Q63" i="11"/>
  <c r="R35" i="11"/>
  <c r="T270" i="11"/>
  <c r="S298" i="11"/>
  <c r="C69" i="11"/>
  <c r="C71" i="11"/>
  <c r="C70" i="11"/>
  <c r="P57" i="11"/>
  <c r="Q29" i="11"/>
  <c r="P180" i="11"/>
  <c r="Q152" i="11"/>
  <c r="C72" i="11"/>
  <c r="Q147" i="11"/>
  <c r="T156" i="11"/>
  <c r="S184" i="11"/>
  <c r="P62" i="11"/>
  <c r="Q34" i="11"/>
  <c r="Q271" i="11"/>
  <c r="P299" i="11"/>
  <c r="Q332" i="11"/>
  <c r="P360" i="11"/>
  <c r="P368" i="11" s="1"/>
  <c r="P239" i="11"/>
  <c r="Q211" i="11"/>
  <c r="U94" i="11"/>
  <c r="T122" i="11"/>
  <c r="S365" i="11"/>
  <c r="T337" i="11"/>
  <c r="Q36" i="11"/>
  <c r="P64" i="11"/>
  <c r="S300" i="11"/>
  <c r="T272" i="11"/>
  <c r="U216" i="11"/>
  <c r="T244" i="11"/>
  <c r="E197" i="11"/>
  <c r="E7" i="11" s="1"/>
  <c r="P125" i="11"/>
  <c r="P129" i="11" s="1"/>
  <c r="Q97" i="11"/>
  <c r="R25" i="11"/>
  <c r="Q53" i="11"/>
  <c r="O66" i="11"/>
  <c r="Q328" i="11"/>
  <c r="P356" i="11"/>
  <c r="P367" i="11" s="1"/>
  <c r="P59" i="11"/>
  <c r="Q31" i="11"/>
  <c r="P295" i="11"/>
  <c r="P307" i="11" s="1"/>
  <c r="P278" i="11"/>
  <c r="P255" i="11" s="1"/>
  <c r="Q267" i="11"/>
  <c r="P245" i="11"/>
  <c r="P249" i="11" s="1"/>
  <c r="Q217" i="11"/>
  <c r="P338" i="11"/>
  <c r="P314" i="11" s="1"/>
  <c r="R95" i="11"/>
  <c r="Q123" i="11"/>
  <c r="S276" i="11"/>
  <c r="R304" i="11"/>
  <c r="Q364" i="11"/>
  <c r="Q369" i="11" s="1"/>
  <c r="R336" i="11"/>
  <c r="S234" i="11"/>
  <c r="T206" i="11"/>
  <c r="Q28" i="11"/>
  <c r="P56" i="11"/>
  <c r="P318" i="11"/>
  <c r="P321" i="11" s="1"/>
  <c r="Q318" i="11" s="1"/>
  <c r="Q321" i="11" s="1"/>
  <c r="E76" i="11"/>
  <c r="E80" i="11"/>
  <c r="F77" i="11" s="1"/>
  <c r="R212" i="11"/>
  <c r="Q240" i="11"/>
  <c r="S335" i="11"/>
  <c r="R363" i="11"/>
  <c r="R182" i="11"/>
  <c r="S154" i="11"/>
  <c r="Q32" i="11"/>
  <c r="P60" i="11"/>
  <c r="C253" i="11"/>
  <c r="Q89" i="11"/>
  <c r="P117" i="11"/>
  <c r="P127" i="11" s="1"/>
  <c r="P98" i="11"/>
  <c r="P74" i="11" s="1"/>
  <c r="D373" i="11"/>
  <c r="D372" i="11"/>
  <c r="D5" i="11"/>
  <c r="D75" i="11"/>
  <c r="F16" i="11"/>
  <c r="F20" i="11"/>
  <c r="G17" i="11" s="1"/>
  <c r="R301" i="11"/>
  <c r="S273" i="11"/>
  <c r="D8" i="11"/>
  <c r="D256" i="11"/>
  <c r="F261" i="11"/>
  <c r="G258" i="11" s="1"/>
  <c r="F257" i="11"/>
  <c r="R303" i="11"/>
  <c r="S275" i="11"/>
  <c r="T150" i="11"/>
  <c r="S178" i="11"/>
  <c r="D7" i="11"/>
  <c r="D196" i="11"/>
  <c r="C251" i="11"/>
  <c r="C252" i="11"/>
  <c r="C133" i="11"/>
  <c r="C131" i="11"/>
  <c r="C132" i="11"/>
  <c r="S90" i="11"/>
  <c r="R118" i="11"/>
  <c r="S326" i="11"/>
  <c r="R354" i="11"/>
  <c r="F197" i="11"/>
  <c r="F201" i="11"/>
  <c r="G198" i="11" s="1"/>
  <c r="R124" i="11"/>
  <c r="S96" i="11"/>
  <c r="Q175" i="11"/>
  <c r="R147" i="11"/>
  <c r="S236" i="11"/>
  <c r="T208" i="11"/>
  <c r="R114" i="11"/>
  <c r="S86" i="11"/>
  <c r="R302" i="11"/>
  <c r="S274" i="11"/>
  <c r="S269" i="11"/>
  <c r="R297" i="11"/>
  <c r="T55" i="11"/>
  <c r="U27" i="11"/>
  <c r="D371" i="11"/>
  <c r="Q199" i="11"/>
  <c r="Q202" i="11" s="1"/>
  <c r="Q33" i="11"/>
  <c r="P61" i="11"/>
  <c r="Q235" i="11"/>
  <c r="R207" i="11"/>
  <c r="E4" i="11"/>
  <c r="E15" i="11"/>
  <c r="E257" i="11"/>
  <c r="P121" i="11"/>
  <c r="P128" i="11" s="1"/>
  <c r="Q93" i="11"/>
  <c r="P18" i="11"/>
  <c r="P21" i="11" s="1"/>
  <c r="E196" i="11"/>
  <c r="P78" i="11"/>
  <c r="P81" i="11" s="1"/>
  <c r="T362" i="11"/>
  <c r="P183" i="11"/>
  <c r="Q155" i="11"/>
  <c r="D137" i="11"/>
  <c r="D141" i="11"/>
  <c r="E138" i="11" s="1"/>
  <c r="Q153" i="11"/>
  <c r="P181" i="11"/>
  <c r="P174" i="11"/>
  <c r="P158" i="11"/>
  <c r="P135" i="11" s="1"/>
  <c r="Q146" i="11"/>
  <c r="Q177" i="11"/>
  <c r="R149" i="11"/>
  <c r="P176" i="11"/>
  <c r="Q148" i="11"/>
  <c r="O187" i="11"/>
  <c r="Q151" i="11"/>
  <c r="P179" i="11"/>
  <c r="P185" i="11"/>
  <c r="Q157" i="11"/>
  <c r="O189" i="11"/>
  <c r="C10" i="11"/>
  <c r="J74" i="1" l="1"/>
  <c r="Q248" i="11"/>
  <c r="R213" i="11"/>
  <c r="Q241" i="11"/>
  <c r="T116" i="11"/>
  <c r="U88" i="11"/>
  <c r="Q218" i="11"/>
  <c r="Q195" i="11" s="1"/>
  <c r="Q18" i="11"/>
  <c r="Q21" i="11" s="1"/>
  <c r="V327" i="11"/>
  <c r="V355" i="11" s="1"/>
  <c r="U355" i="11"/>
  <c r="U330" i="11"/>
  <c r="T358" i="11"/>
  <c r="U214" i="11"/>
  <c r="T242" i="11"/>
  <c r="S294" i="11"/>
  <c r="T266" i="11"/>
  <c r="I18" i="9"/>
  <c r="I24" i="9" s="1"/>
  <c r="I26" i="9" s="1"/>
  <c r="I30" i="9" s="1"/>
  <c r="I4" i="9" s="1"/>
  <c r="M49" i="9"/>
  <c r="L85" i="9"/>
  <c r="L86" i="9" s="1"/>
  <c r="M65" i="9"/>
  <c r="M66" i="9" s="1"/>
  <c r="N47" i="9"/>
  <c r="L105" i="9"/>
  <c r="L106" i="9" s="1"/>
  <c r="M51" i="9"/>
  <c r="L75" i="9"/>
  <c r="L76" i="9" s="1"/>
  <c r="M48" i="9"/>
  <c r="L66" i="9"/>
  <c r="L71" i="9" s="1"/>
  <c r="L6" i="9" s="1"/>
  <c r="L95" i="9"/>
  <c r="M50" i="9"/>
  <c r="J17" i="9"/>
  <c r="J23" i="9" s="1"/>
  <c r="L14" i="9"/>
  <c r="K15" i="9"/>
  <c r="L55" i="9"/>
  <c r="L56" i="9" s="1"/>
  <c r="M46" i="9"/>
  <c r="M50" i="1"/>
  <c r="H53" i="3" s="1"/>
  <c r="K6" i="4"/>
  <c r="K26" i="4" s="1"/>
  <c r="K43" i="4" s="1"/>
  <c r="J6" i="4"/>
  <c r="J26" i="4" s="1"/>
  <c r="I54" i="3" s="1"/>
  <c r="P39" i="1"/>
  <c r="P43" i="1" s="1"/>
  <c r="P46" i="1" s="1"/>
  <c r="P50" i="1" s="1"/>
  <c r="K53" i="3" s="1"/>
  <c r="K64" i="3"/>
  <c r="S88" i="3"/>
  <c r="V88" i="3"/>
  <c r="U88" i="3"/>
  <c r="T88" i="3"/>
  <c r="V30" i="4"/>
  <c r="U31" i="4"/>
  <c r="T55" i="3"/>
  <c r="T69" i="3" s="1"/>
  <c r="G6" i="4"/>
  <c r="G26" i="4" s="1"/>
  <c r="F54" i="3" s="1"/>
  <c r="S23" i="4"/>
  <c r="S20" i="3"/>
  <c r="Z34" i="3"/>
  <c r="Q21" i="3"/>
  <c r="R24" i="4" s="1"/>
  <c r="R84" i="3"/>
  <c r="O84" i="3"/>
  <c r="O98" i="3" s="1"/>
  <c r="P7" i="4" s="1"/>
  <c r="O71" i="3" s="1"/>
  <c r="P84" i="3"/>
  <c r="Q84" i="3"/>
  <c r="Q6" i="3"/>
  <c r="I37" i="3"/>
  <c r="J37" i="3" s="1"/>
  <c r="L38" i="3"/>
  <c r="L39" i="3" s="1"/>
  <c r="E58" i="3"/>
  <c r="E70" i="3"/>
  <c r="G58" i="3"/>
  <c r="G70" i="3"/>
  <c r="P55" i="3"/>
  <c r="P69" i="3" s="1"/>
  <c r="Q31" i="4"/>
  <c r="F53" i="1"/>
  <c r="E53" i="3"/>
  <c r="Q60" i="1"/>
  <c r="L48" i="3"/>
  <c r="M73" i="3"/>
  <c r="I43" i="4"/>
  <c r="H54" i="3"/>
  <c r="H6" i="4"/>
  <c r="H26" i="4" s="1"/>
  <c r="I74" i="1"/>
  <c r="Q59" i="1"/>
  <c r="F6" i="4"/>
  <c r="F26" i="4" s="1"/>
  <c r="N74" i="1"/>
  <c r="N53" i="1"/>
  <c r="AF29" i="1"/>
  <c r="AK29" i="1" s="1"/>
  <c r="AM29" i="1" s="1"/>
  <c r="AN29" i="1" s="1"/>
  <c r="AO29" i="1" s="1"/>
  <c r="AP29" i="1" s="1"/>
  <c r="AQ29" i="1" s="1"/>
  <c r="AR29" i="1" s="1"/>
  <c r="AS29" i="1" s="1"/>
  <c r="AT29" i="1" s="1"/>
  <c r="AU29" i="1" s="1"/>
  <c r="AV29" i="1" s="1"/>
  <c r="AW29" i="1" s="1"/>
  <c r="H74" i="1"/>
  <c r="H53" i="1"/>
  <c r="L53" i="1"/>
  <c r="L74" i="1"/>
  <c r="O53" i="1"/>
  <c r="O74" i="1"/>
  <c r="G53" i="1"/>
  <c r="G74" i="1"/>
  <c r="K53" i="1"/>
  <c r="K74" i="1"/>
  <c r="M6" i="4"/>
  <c r="M26" i="4" s="1"/>
  <c r="Q50" i="1"/>
  <c r="L53" i="3" s="1"/>
  <c r="Q109" i="9"/>
  <c r="D33" i="34"/>
  <c r="D34" i="34" s="1"/>
  <c r="D35" i="34" s="1"/>
  <c r="D36" i="34" s="1"/>
  <c r="C34" i="34"/>
  <c r="C136" i="34"/>
  <c r="C137" i="34" s="1"/>
  <c r="C101" i="34"/>
  <c r="C105" i="34" s="1"/>
  <c r="C111" i="34" s="1"/>
  <c r="C100" i="34"/>
  <c r="C104" i="34" s="1"/>
  <c r="C110" i="34" s="1"/>
  <c r="S296" i="11"/>
  <c r="T268" i="11"/>
  <c r="R199" i="11"/>
  <c r="R202" i="11" s="1"/>
  <c r="S259" i="11"/>
  <c r="S262" i="11" s="1"/>
  <c r="R309" i="11"/>
  <c r="D96" i="34"/>
  <c r="D97" i="34" s="1"/>
  <c r="D98" i="34" s="1"/>
  <c r="D99" i="34" s="1"/>
  <c r="E75" i="34"/>
  <c r="E76" i="34" s="1"/>
  <c r="E77" i="34" s="1"/>
  <c r="E78" i="34" s="1"/>
  <c r="D12" i="34"/>
  <c r="U119" i="11"/>
  <c r="V91" i="11"/>
  <c r="V119" i="11" s="1"/>
  <c r="S58" i="11"/>
  <c r="T30" i="11"/>
  <c r="P67" i="11"/>
  <c r="U238" i="11"/>
  <c r="V210" i="11"/>
  <c r="V238" i="11" s="1"/>
  <c r="C118" i="34"/>
  <c r="C119" i="34" s="1"/>
  <c r="C120" i="34" s="1"/>
  <c r="C71" i="34"/>
  <c r="C5" i="34" s="1"/>
  <c r="D75" i="34"/>
  <c r="C15" i="34"/>
  <c r="C92" i="34"/>
  <c r="C6" i="34" s="1"/>
  <c r="E12" i="34"/>
  <c r="Q99" i="9"/>
  <c r="Q89" i="9"/>
  <c r="P79" i="9"/>
  <c r="Q69" i="9"/>
  <c r="Q59" i="9"/>
  <c r="Q28" i="9"/>
  <c r="S60" i="1"/>
  <c r="S23" i="1"/>
  <c r="S39" i="1" s="1"/>
  <c r="S43" i="1" s="1"/>
  <c r="S46" i="1" s="1"/>
  <c r="S50" i="1" s="1"/>
  <c r="T38" i="1"/>
  <c r="T35" i="1"/>
  <c r="S35" i="1"/>
  <c r="U21" i="1"/>
  <c r="U59" i="1" s="1"/>
  <c r="U38" i="1"/>
  <c r="V28" i="1"/>
  <c r="P371" i="11"/>
  <c r="P373" i="11"/>
  <c r="T276" i="11"/>
  <c r="S304" i="11"/>
  <c r="Q245" i="11"/>
  <c r="R217" i="11"/>
  <c r="R328" i="11"/>
  <c r="Q356" i="11"/>
  <c r="Q367" i="11" s="1"/>
  <c r="Q373" i="11" s="1"/>
  <c r="Q125" i="11"/>
  <c r="Q129" i="11" s="1"/>
  <c r="R97" i="11"/>
  <c r="Q239" i="11"/>
  <c r="R211" i="11"/>
  <c r="P372" i="11"/>
  <c r="R34" i="11"/>
  <c r="Q62" i="11"/>
  <c r="U156" i="11"/>
  <c r="T184" i="11"/>
  <c r="R63" i="11"/>
  <c r="S35" i="11"/>
  <c r="Q19" i="11"/>
  <c r="Q22" i="11" s="1"/>
  <c r="E316" i="11"/>
  <c r="E320" i="11"/>
  <c r="F317" i="11" s="1"/>
  <c r="Q237" i="11"/>
  <c r="Q247" i="11" s="1"/>
  <c r="R209" i="11"/>
  <c r="Q120" i="11"/>
  <c r="R92" i="11"/>
  <c r="P188" i="11"/>
  <c r="Q78" i="11"/>
  <c r="Q81" i="11" s="1"/>
  <c r="S260" i="11"/>
  <c r="S263" i="11" s="1"/>
  <c r="S336" i="11"/>
  <c r="S319" i="11" s="1"/>
  <c r="S322" i="11" s="1"/>
  <c r="R364" i="11"/>
  <c r="R369" i="11" s="1"/>
  <c r="Q59" i="11"/>
  <c r="R31" i="11"/>
  <c r="R332" i="11"/>
  <c r="R318" i="11" s="1"/>
  <c r="R321" i="11" s="1"/>
  <c r="Q360" i="11"/>
  <c r="Q368" i="11" s="1"/>
  <c r="P68" i="11"/>
  <c r="R152" i="11"/>
  <c r="Q180" i="11"/>
  <c r="U270" i="11"/>
  <c r="T298" i="11"/>
  <c r="P247" i="11"/>
  <c r="T305" i="11"/>
  <c r="U277" i="11"/>
  <c r="R26" i="11"/>
  <c r="Q54" i="11"/>
  <c r="Q56" i="11"/>
  <c r="R28" i="11"/>
  <c r="S95" i="11"/>
  <c r="R123" i="11"/>
  <c r="Q295" i="11"/>
  <c r="R267" i="11"/>
  <c r="Q278" i="11"/>
  <c r="Q255" i="11" s="1"/>
  <c r="U244" i="11"/>
  <c r="V216" i="11"/>
  <c r="V244" i="11" s="1"/>
  <c r="R36" i="11"/>
  <c r="Q64" i="11"/>
  <c r="R243" i="11"/>
  <c r="S215" i="11"/>
  <c r="S359" i="11"/>
  <c r="T331" i="11"/>
  <c r="P66" i="11"/>
  <c r="Q200" i="11"/>
  <c r="Q203" i="11" s="1"/>
  <c r="R200" i="11" s="1"/>
  <c r="R203" i="11" s="1"/>
  <c r="U206" i="11"/>
  <c r="T234" i="11"/>
  <c r="R53" i="11"/>
  <c r="S25" i="11"/>
  <c r="U272" i="11"/>
  <c r="T300" i="11"/>
  <c r="T365" i="11"/>
  <c r="U337" i="11"/>
  <c r="U122" i="11"/>
  <c r="V94" i="11"/>
  <c r="V122" i="11" s="1"/>
  <c r="R271" i="11"/>
  <c r="Q299" i="11"/>
  <c r="Q57" i="11"/>
  <c r="Q66" i="11" s="1"/>
  <c r="R29" i="11"/>
  <c r="Q338" i="11"/>
  <c r="Q314" i="11" s="1"/>
  <c r="Q249" i="11"/>
  <c r="D9" i="11"/>
  <c r="D315" i="11"/>
  <c r="Q79" i="11"/>
  <c r="Q82" i="11" s="1"/>
  <c r="U55" i="11"/>
  <c r="V27" i="11"/>
  <c r="V55" i="11" s="1"/>
  <c r="R235" i="11"/>
  <c r="S207" i="11"/>
  <c r="G201" i="11"/>
  <c r="H198" i="11" s="1"/>
  <c r="G197" i="11"/>
  <c r="V334" i="11"/>
  <c r="V362" i="11" s="1"/>
  <c r="U362" i="11"/>
  <c r="Q121" i="11"/>
  <c r="Q128" i="11" s="1"/>
  <c r="R93" i="11"/>
  <c r="T86" i="11"/>
  <c r="S114" i="11"/>
  <c r="U208" i="11"/>
  <c r="T236" i="11"/>
  <c r="F7" i="11"/>
  <c r="F196" i="11"/>
  <c r="G257" i="11"/>
  <c r="G261" i="11"/>
  <c r="H258" i="11" s="1"/>
  <c r="F15" i="11"/>
  <c r="F4" i="11"/>
  <c r="R32" i="11"/>
  <c r="Q60" i="11"/>
  <c r="R240" i="11"/>
  <c r="S212" i="11"/>
  <c r="E75" i="11"/>
  <c r="E5" i="11"/>
  <c r="S297" i="11"/>
  <c r="T269" i="11"/>
  <c r="S124" i="11"/>
  <c r="T96" i="11"/>
  <c r="T90" i="11"/>
  <c r="S118" i="11"/>
  <c r="T275" i="11"/>
  <c r="S303" i="11"/>
  <c r="S309" i="11" s="1"/>
  <c r="S301" i="11"/>
  <c r="T273" i="11"/>
  <c r="Q117" i="11"/>
  <c r="Q127" i="11" s="1"/>
  <c r="R89" i="11"/>
  <c r="Q98" i="11"/>
  <c r="Q74" i="11" s="1"/>
  <c r="S302" i="11"/>
  <c r="T274" i="11"/>
  <c r="T326" i="11"/>
  <c r="S354" i="11"/>
  <c r="U150" i="11"/>
  <c r="T178" i="11"/>
  <c r="R308" i="11"/>
  <c r="S182" i="11"/>
  <c r="T154" i="11"/>
  <c r="S363" i="11"/>
  <c r="T335" i="11"/>
  <c r="P189" i="11"/>
  <c r="E8" i="11"/>
  <c r="E256" i="11"/>
  <c r="R33" i="11"/>
  <c r="Q61" i="11"/>
  <c r="R175" i="11"/>
  <c r="S147" i="11"/>
  <c r="F8" i="11"/>
  <c r="F256" i="11"/>
  <c r="G20" i="11"/>
  <c r="H17" i="11" s="1"/>
  <c r="G16" i="11"/>
  <c r="F76" i="11"/>
  <c r="F80" i="11"/>
  <c r="G77" i="11" s="1"/>
  <c r="Q183" i="11"/>
  <c r="R155" i="11"/>
  <c r="Q179" i="11"/>
  <c r="R151" i="11"/>
  <c r="R153" i="11"/>
  <c r="Q181" i="11"/>
  <c r="Q188" i="11" s="1"/>
  <c r="Q185" i="11"/>
  <c r="R157" i="11"/>
  <c r="Q139" i="11"/>
  <c r="Q142" i="11" s="1"/>
  <c r="R139" i="11" s="1"/>
  <c r="R142" i="11" s="1"/>
  <c r="E137" i="11"/>
  <c r="E141" i="11"/>
  <c r="F138" i="11" s="1"/>
  <c r="Q176" i="11"/>
  <c r="R148" i="11"/>
  <c r="R146" i="11"/>
  <c r="Q174" i="11"/>
  <c r="Q158" i="11"/>
  <c r="Q135" i="11" s="1"/>
  <c r="Q140" i="11"/>
  <c r="Q143" i="11" s="1"/>
  <c r="S149" i="11"/>
  <c r="R177" i="11"/>
  <c r="P187" i="11"/>
  <c r="D6" i="11"/>
  <c r="D54" i="34" s="1"/>
  <c r="D55" i="34" s="1"/>
  <c r="D56" i="34" s="1"/>
  <c r="D57" i="34" s="1"/>
  <c r="D136" i="11"/>
  <c r="Q372" i="11" l="1"/>
  <c r="U242" i="11"/>
  <c r="V214" i="11"/>
  <c r="V242" i="11" s="1"/>
  <c r="R248" i="11"/>
  <c r="T294" i="11"/>
  <c r="U266" i="11"/>
  <c r="R18" i="11"/>
  <c r="R21" i="11" s="1"/>
  <c r="V330" i="11"/>
  <c r="V358" i="11" s="1"/>
  <c r="U358" i="11"/>
  <c r="S213" i="11"/>
  <c r="R241" i="11"/>
  <c r="V88" i="11"/>
  <c r="V116" i="11" s="1"/>
  <c r="U116" i="11"/>
  <c r="J18" i="9"/>
  <c r="J24" i="9" s="1"/>
  <c r="J26" i="9" s="1"/>
  <c r="J30" i="9" s="1"/>
  <c r="J4" i="9" s="1"/>
  <c r="M75" i="9"/>
  <c r="N48" i="9"/>
  <c r="L15" i="9"/>
  <c r="M14" i="9"/>
  <c r="L111" i="9"/>
  <c r="L10" i="9" s="1"/>
  <c r="M55" i="9"/>
  <c r="N46" i="9"/>
  <c r="L96" i="9"/>
  <c r="L101" i="9" s="1"/>
  <c r="L9" i="9" s="1"/>
  <c r="L81" i="9"/>
  <c r="L7" i="9" s="1"/>
  <c r="L91" i="9"/>
  <c r="L8" i="9" s="1"/>
  <c r="L61" i="9"/>
  <c r="L5" i="9" s="1"/>
  <c r="M105" i="9"/>
  <c r="M106" i="9" s="1"/>
  <c r="N51" i="9"/>
  <c r="N65" i="9"/>
  <c r="N66" i="9" s="1"/>
  <c r="O47" i="9"/>
  <c r="M85" i="9"/>
  <c r="N49" i="9"/>
  <c r="K17" i="9"/>
  <c r="K23" i="9" s="1"/>
  <c r="M95" i="9"/>
  <c r="M96" i="9" s="1"/>
  <c r="N50" i="9"/>
  <c r="M71" i="9"/>
  <c r="M6" i="9" s="1"/>
  <c r="C113" i="34"/>
  <c r="C7" i="34" s="1"/>
  <c r="M53" i="1"/>
  <c r="J43" i="4"/>
  <c r="M74" i="1"/>
  <c r="D202" i="43"/>
  <c r="D203" i="43" s="1"/>
  <c r="D205" i="43" s="1"/>
  <c r="D185" i="43"/>
  <c r="D186" i="43" s="1"/>
  <c r="D188" i="43" s="1"/>
  <c r="T21" i="1"/>
  <c r="T23" i="1" s="1"/>
  <c r="T39" i="1" s="1"/>
  <c r="T43" i="1" s="1"/>
  <c r="T46" i="1" s="1"/>
  <c r="T50" i="1" s="1"/>
  <c r="V19" i="1"/>
  <c r="G43" i="4"/>
  <c r="P74" i="1"/>
  <c r="L6" i="4"/>
  <c r="L26" i="4" s="1"/>
  <c r="K54" i="3" s="1"/>
  <c r="P53" i="1"/>
  <c r="V89" i="3"/>
  <c r="T89" i="3"/>
  <c r="W89" i="3"/>
  <c r="U89" i="3"/>
  <c r="W30" i="4"/>
  <c r="U55" i="3"/>
  <c r="U69" i="3" s="1"/>
  <c r="V31" i="4"/>
  <c r="AA34" i="3"/>
  <c r="AB34" i="3" s="1"/>
  <c r="R19" i="4"/>
  <c r="T20" i="3"/>
  <c r="T23" i="4"/>
  <c r="I38" i="3"/>
  <c r="I39" i="3" s="1"/>
  <c r="R6" i="3"/>
  <c r="S19" i="4" s="1"/>
  <c r="R21" i="3"/>
  <c r="S85" i="3"/>
  <c r="P85" i="3"/>
  <c r="P98" i="3" s="1"/>
  <c r="Q7" i="4" s="1"/>
  <c r="P71" i="3" s="1"/>
  <c r="Q85" i="3"/>
  <c r="R85" i="3"/>
  <c r="L58" i="3"/>
  <c r="L70" i="3"/>
  <c r="J54" i="3"/>
  <c r="Q55" i="3"/>
  <c r="Q69" i="3" s="1"/>
  <c r="R31" i="4"/>
  <c r="J38" i="3"/>
  <c r="J39" i="3" s="1"/>
  <c r="M43" i="4"/>
  <c r="L54" i="3"/>
  <c r="F43" i="4"/>
  <c r="F46" i="4" s="1"/>
  <c r="G44" i="4" s="1"/>
  <c r="E54" i="3"/>
  <c r="H43" i="4"/>
  <c r="G54" i="3"/>
  <c r="S53" i="1"/>
  <c r="S74" i="1"/>
  <c r="Q53" i="1"/>
  <c r="Q74" i="1"/>
  <c r="AF28" i="1"/>
  <c r="R109" i="9"/>
  <c r="D58" i="34"/>
  <c r="D62" i="34" s="1"/>
  <c r="D68" i="34" s="1"/>
  <c r="D59" i="34"/>
  <c r="D63" i="34" s="1"/>
  <c r="D69" i="34" s="1"/>
  <c r="Q307" i="11"/>
  <c r="F96" i="34"/>
  <c r="F97" i="34" s="1"/>
  <c r="F98" i="34" s="1"/>
  <c r="F99" i="34" s="1"/>
  <c r="E96" i="34"/>
  <c r="E33" i="34"/>
  <c r="E34" i="34" s="1"/>
  <c r="E35" i="34" s="1"/>
  <c r="E36" i="34" s="1"/>
  <c r="F75" i="34"/>
  <c r="Q68" i="11"/>
  <c r="R78" i="11"/>
  <c r="R81" i="11" s="1"/>
  <c r="R218" i="11"/>
  <c r="R195" i="11" s="1"/>
  <c r="C17" i="34"/>
  <c r="C21" i="34" s="1"/>
  <c r="C27" i="34" s="1"/>
  <c r="C16" i="34"/>
  <c r="C20" i="34" s="1"/>
  <c r="C26" i="34" s="1"/>
  <c r="C122" i="34"/>
  <c r="C126" i="34" s="1"/>
  <c r="C132" i="34" s="1"/>
  <c r="C121" i="34"/>
  <c r="C125" i="34" s="1"/>
  <c r="C131" i="34" s="1"/>
  <c r="T296" i="11"/>
  <c r="U268" i="11"/>
  <c r="E13" i="34"/>
  <c r="T58" i="11"/>
  <c r="U30" i="11"/>
  <c r="E80" i="34"/>
  <c r="E84" i="34" s="1"/>
  <c r="E90" i="34" s="1"/>
  <c r="E79" i="34"/>
  <c r="E83" i="34" s="1"/>
  <c r="E89" i="34" s="1"/>
  <c r="C35" i="34"/>
  <c r="C140" i="34"/>
  <c r="D117" i="34"/>
  <c r="D76" i="34"/>
  <c r="D77" i="34" s="1"/>
  <c r="D78" i="34" s="1"/>
  <c r="D38" i="34"/>
  <c r="D42" i="34" s="1"/>
  <c r="D48" i="34" s="1"/>
  <c r="D37" i="34"/>
  <c r="D41" i="34" s="1"/>
  <c r="D47" i="34" s="1"/>
  <c r="F12" i="34"/>
  <c r="T260" i="11"/>
  <c r="T263" i="11" s="1"/>
  <c r="D13" i="34"/>
  <c r="D101" i="34"/>
  <c r="D105" i="34" s="1"/>
  <c r="D111" i="34" s="1"/>
  <c r="D100" i="34"/>
  <c r="D104" i="34" s="1"/>
  <c r="D110" i="34" s="1"/>
  <c r="R99" i="9"/>
  <c r="R89" i="9"/>
  <c r="Q79" i="9"/>
  <c r="R69" i="9"/>
  <c r="R59" i="9"/>
  <c r="R28" i="9"/>
  <c r="U23" i="1"/>
  <c r="U39" i="1" s="1"/>
  <c r="U43" i="1" s="1"/>
  <c r="U46" i="1" s="1"/>
  <c r="U50" i="1" s="1"/>
  <c r="U60" i="1"/>
  <c r="V277" i="11"/>
  <c r="V305" i="11" s="1"/>
  <c r="U305" i="11"/>
  <c r="S92" i="11"/>
  <c r="R120" i="11"/>
  <c r="S34" i="11"/>
  <c r="R62" i="11"/>
  <c r="S97" i="11"/>
  <c r="R125" i="11"/>
  <c r="R129" i="11" s="1"/>
  <c r="R140" i="11"/>
  <c r="R143" i="11" s="1"/>
  <c r="V337" i="11"/>
  <c r="V365" i="11" s="1"/>
  <c r="U365" i="11"/>
  <c r="S53" i="11"/>
  <c r="T25" i="11"/>
  <c r="R64" i="11"/>
  <c r="S36" i="11"/>
  <c r="T95" i="11"/>
  <c r="S123" i="11"/>
  <c r="R54" i="11"/>
  <c r="S26" i="11"/>
  <c r="R180" i="11"/>
  <c r="S152" i="11"/>
  <c r="R59" i="11"/>
  <c r="S31" i="11"/>
  <c r="S63" i="11"/>
  <c r="T35" i="11"/>
  <c r="R356" i="11"/>
  <c r="R367" i="11" s="1"/>
  <c r="R338" i="11"/>
  <c r="R314" i="11" s="1"/>
  <c r="S328" i="11"/>
  <c r="U276" i="11"/>
  <c r="T304" i="11"/>
  <c r="T215" i="11"/>
  <c r="S243" i="11"/>
  <c r="S267" i="11"/>
  <c r="R295" i="11"/>
  <c r="R278" i="11"/>
  <c r="R255" i="11" s="1"/>
  <c r="R245" i="11"/>
  <c r="R249" i="11" s="1"/>
  <c r="S217" i="11"/>
  <c r="S29" i="11"/>
  <c r="R57" i="11"/>
  <c r="V270" i="11"/>
  <c r="V298" i="11" s="1"/>
  <c r="U298" i="11"/>
  <c r="E9" i="11"/>
  <c r="E315" i="11"/>
  <c r="R299" i="11"/>
  <c r="S271" i="11"/>
  <c r="S28" i="11"/>
  <c r="R56" i="11"/>
  <c r="F320" i="11"/>
  <c r="G317" i="11" s="1"/>
  <c r="F316" i="11"/>
  <c r="R79" i="11"/>
  <c r="R82" i="11" s="1"/>
  <c r="S79" i="11" s="1"/>
  <c r="S82" i="11" s="1"/>
  <c r="V272" i="11"/>
  <c r="V300" i="11" s="1"/>
  <c r="U300" i="11"/>
  <c r="U234" i="11"/>
  <c r="V206" i="11"/>
  <c r="V234" i="11" s="1"/>
  <c r="U331" i="11"/>
  <c r="T359" i="11"/>
  <c r="S332" i="11"/>
  <c r="S318" i="11" s="1"/>
  <c r="S321" i="11" s="1"/>
  <c r="R360" i="11"/>
  <c r="R368" i="11" s="1"/>
  <c r="R372" i="11" s="1"/>
  <c r="T336" i="11"/>
  <c r="T319" i="11" s="1"/>
  <c r="T322" i="11" s="1"/>
  <c r="S364" i="11"/>
  <c r="S369" i="11" s="1"/>
  <c r="R237" i="11"/>
  <c r="R247" i="11" s="1"/>
  <c r="S209" i="11"/>
  <c r="R19" i="11"/>
  <c r="R22" i="11" s="1"/>
  <c r="V156" i="11"/>
  <c r="V184" i="11" s="1"/>
  <c r="U184" i="11"/>
  <c r="S211" i="11"/>
  <c r="R239" i="11"/>
  <c r="Q371" i="11"/>
  <c r="G76" i="11"/>
  <c r="G80" i="11"/>
  <c r="H77" i="11" s="1"/>
  <c r="G4" i="11"/>
  <c r="G15" i="11"/>
  <c r="S175" i="11"/>
  <c r="T147" i="11"/>
  <c r="S33" i="11"/>
  <c r="R61" i="11"/>
  <c r="S308" i="11"/>
  <c r="U90" i="11"/>
  <c r="T118" i="11"/>
  <c r="H261" i="11"/>
  <c r="I258" i="11" s="1"/>
  <c r="H257" i="11"/>
  <c r="R121" i="11"/>
  <c r="S93" i="11"/>
  <c r="G196" i="11"/>
  <c r="G7" i="11"/>
  <c r="T182" i="11"/>
  <c r="U154" i="11"/>
  <c r="U178" i="11"/>
  <c r="V150" i="11"/>
  <c r="V178" i="11" s="1"/>
  <c r="T301" i="11"/>
  <c r="U273" i="11"/>
  <c r="Q189" i="11"/>
  <c r="F5" i="11"/>
  <c r="F75" i="11"/>
  <c r="H20" i="11"/>
  <c r="I17" i="11" s="1"/>
  <c r="H16" i="11"/>
  <c r="U335" i="11"/>
  <c r="T363" i="11"/>
  <c r="R117" i="11"/>
  <c r="R127" i="11" s="1"/>
  <c r="S89" i="11"/>
  <c r="R98" i="11"/>
  <c r="R74" i="11" s="1"/>
  <c r="R371" i="11"/>
  <c r="U269" i="11"/>
  <c r="T297" i="11"/>
  <c r="Q67" i="11"/>
  <c r="G256" i="11"/>
  <c r="G8" i="11"/>
  <c r="H197" i="11"/>
  <c r="H201" i="11"/>
  <c r="I198" i="11" s="1"/>
  <c r="U326" i="11"/>
  <c r="T354" i="11"/>
  <c r="U274" i="11"/>
  <c r="T302" i="11"/>
  <c r="T303" i="11"/>
  <c r="U275" i="11"/>
  <c r="U96" i="11"/>
  <c r="T124" i="11"/>
  <c r="T212" i="11"/>
  <c r="S240" i="11"/>
  <c r="S32" i="11"/>
  <c r="R60" i="11"/>
  <c r="U86" i="11"/>
  <c r="T114" i="11"/>
  <c r="T259" i="11"/>
  <c r="T262" i="11" s="1"/>
  <c r="U259" i="11" s="1"/>
  <c r="U262" i="11" s="1"/>
  <c r="V208" i="11"/>
  <c r="V236" i="11" s="1"/>
  <c r="U236" i="11"/>
  <c r="T207" i="11"/>
  <c r="S218" i="11"/>
  <c r="S195" i="11" s="1"/>
  <c r="S235" i="11"/>
  <c r="S153" i="11"/>
  <c r="R181" i="11"/>
  <c r="S157" i="11"/>
  <c r="R185" i="11"/>
  <c r="S151" i="11"/>
  <c r="R179" i="11"/>
  <c r="Q187" i="11"/>
  <c r="F137" i="11"/>
  <c r="F141" i="11"/>
  <c r="G138" i="11" s="1"/>
  <c r="S177" i="11"/>
  <c r="T149" i="11"/>
  <c r="S146" i="11"/>
  <c r="R158" i="11"/>
  <c r="R135" i="11" s="1"/>
  <c r="R174" i="11"/>
  <c r="E136" i="11"/>
  <c r="E6" i="11"/>
  <c r="E54" i="34" s="1"/>
  <c r="E55" i="34" s="1"/>
  <c r="E56" i="34" s="1"/>
  <c r="E57" i="34" s="1"/>
  <c r="R183" i="11"/>
  <c r="S155" i="11"/>
  <c r="D10" i="11"/>
  <c r="D11" i="11" s="1"/>
  <c r="S148" i="11"/>
  <c r="R176" i="11"/>
  <c r="S241" i="11" l="1"/>
  <c r="T213" i="11"/>
  <c r="U294" i="11"/>
  <c r="V266" i="11"/>
  <c r="V294" i="11" s="1"/>
  <c r="S248" i="11"/>
  <c r="T309" i="11"/>
  <c r="S199" i="11"/>
  <c r="S202" i="11" s="1"/>
  <c r="T199" i="11" s="1"/>
  <c r="T202" i="11" s="1"/>
  <c r="R67" i="11"/>
  <c r="N105" i="9"/>
  <c r="N106" i="9" s="1"/>
  <c r="O51" i="9"/>
  <c r="N14" i="9"/>
  <c r="M15" i="9"/>
  <c r="N95" i="9"/>
  <c r="N96" i="9" s="1"/>
  <c r="O50" i="9"/>
  <c r="O49" i="9"/>
  <c r="N85" i="9"/>
  <c r="N86" i="9" s="1"/>
  <c r="O65" i="9"/>
  <c r="O66" i="9" s="1"/>
  <c r="P47" i="9"/>
  <c r="M111" i="9"/>
  <c r="M10" i="9" s="1"/>
  <c r="M56" i="9"/>
  <c r="M61" i="9" s="1"/>
  <c r="M5" i="9" s="1"/>
  <c r="L17" i="9"/>
  <c r="L23" i="9" s="1"/>
  <c r="M101" i="9"/>
  <c r="M9" i="9" s="1"/>
  <c r="N71" i="9"/>
  <c r="N6" i="9" s="1"/>
  <c r="N75" i="9"/>
  <c r="N76" i="9" s="1"/>
  <c r="O48" i="9"/>
  <c r="K18" i="9"/>
  <c r="K24" i="9" s="1"/>
  <c r="K26" i="9" s="1"/>
  <c r="K30" i="9" s="1"/>
  <c r="K4" i="9" s="1"/>
  <c r="M86" i="9"/>
  <c r="M91" i="9" s="1"/>
  <c r="M8" i="9" s="1"/>
  <c r="N55" i="9"/>
  <c r="N56" i="9" s="1"/>
  <c r="O46" i="9"/>
  <c r="M76" i="9"/>
  <c r="M81" i="9" s="1"/>
  <c r="M7" i="9" s="1"/>
  <c r="C134" i="34"/>
  <c r="C8" i="34" s="1"/>
  <c r="D50" i="34"/>
  <c r="D4" i="34" s="1"/>
  <c r="E92" i="34"/>
  <c r="E6" i="34" s="1"/>
  <c r="Y21" i="1"/>
  <c r="Z21" i="1"/>
  <c r="X21" i="1"/>
  <c r="D278" i="43"/>
  <c r="AK28" i="1"/>
  <c r="F185" i="43"/>
  <c r="F186" i="43" s="1"/>
  <c r="F188" i="43" s="1"/>
  <c r="F202" i="43"/>
  <c r="F203" i="43" s="1"/>
  <c r="F205" i="43" s="1"/>
  <c r="T59" i="1"/>
  <c r="T60" i="1"/>
  <c r="AK37" i="1"/>
  <c r="G46" i="4"/>
  <c r="H44" i="4" s="1"/>
  <c r="H46" i="4" s="1"/>
  <c r="I44" i="4" s="1"/>
  <c r="I46" i="4" s="1"/>
  <c r="J44" i="4" s="1"/>
  <c r="J46" i="4" s="1"/>
  <c r="L43" i="4"/>
  <c r="X30" i="4"/>
  <c r="V55" i="3"/>
  <c r="V69" i="3" s="1"/>
  <c r="W31" i="4"/>
  <c r="V90" i="3"/>
  <c r="U90" i="3"/>
  <c r="W90" i="3"/>
  <c r="X90" i="3"/>
  <c r="S21" i="3"/>
  <c r="S24" i="4"/>
  <c r="U20" i="3"/>
  <c r="U23" i="4"/>
  <c r="S6" i="3"/>
  <c r="T6" i="3" s="1"/>
  <c r="T86" i="3"/>
  <c r="Q86" i="3"/>
  <c r="Q98" i="3" s="1"/>
  <c r="R7" i="4" s="1"/>
  <c r="Q71" i="3" s="1"/>
  <c r="R86" i="3"/>
  <c r="S86" i="3"/>
  <c r="R55" i="3"/>
  <c r="R69" i="3" s="1"/>
  <c r="S31" i="4"/>
  <c r="AF37" i="1"/>
  <c r="U53" i="1"/>
  <c r="U74" i="1"/>
  <c r="T53" i="1"/>
  <c r="T74" i="1"/>
  <c r="S109" i="9"/>
  <c r="E59" i="34"/>
  <c r="E63" i="34" s="1"/>
  <c r="E69" i="34" s="1"/>
  <c r="E58" i="34"/>
  <c r="E62" i="34" s="1"/>
  <c r="E68" i="34" s="1"/>
  <c r="U260" i="11"/>
  <c r="U263" i="11" s="1"/>
  <c r="D79" i="34"/>
  <c r="D83" i="34" s="1"/>
  <c r="D89" i="34" s="1"/>
  <c r="D80" i="34"/>
  <c r="D84" i="34" s="1"/>
  <c r="D90" i="34" s="1"/>
  <c r="C36" i="34"/>
  <c r="C141" i="34"/>
  <c r="F76" i="34"/>
  <c r="F77" i="34" s="1"/>
  <c r="F78" i="34" s="1"/>
  <c r="D14" i="34"/>
  <c r="D118" i="34"/>
  <c r="D119" i="34" s="1"/>
  <c r="D120" i="34" s="1"/>
  <c r="E14" i="34"/>
  <c r="E97" i="34"/>
  <c r="E98" i="34" s="1"/>
  <c r="E99" i="34" s="1"/>
  <c r="F33" i="34"/>
  <c r="E117" i="34"/>
  <c r="R188" i="11"/>
  <c r="G96" i="34"/>
  <c r="G75" i="34"/>
  <c r="G76" i="34" s="1"/>
  <c r="G77" i="34" s="1"/>
  <c r="G78" i="34" s="1"/>
  <c r="D136" i="34"/>
  <c r="D137" i="34" s="1"/>
  <c r="R189" i="11"/>
  <c r="S78" i="11"/>
  <c r="S81" i="11" s="1"/>
  <c r="G12" i="34"/>
  <c r="R373" i="11"/>
  <c r="D113" i="34"/>
  <c r="D7" i="34" s="1"/>
  <c r="F13" i="34"/>
  <c r="U58" i="11"/>
  <c r="V30" i="11"/>
  <c r="V58" i="11" s="1"/>
  <c r="U296" i="11"/>
  <c r="V268" i="11"/>
  <c r="V296" i="11" s="1"/>
  <c r="C29" i="34"/>
  <c r="C3" i="34" s="1"/>
  <c r="E38" i="34"/>
  <c r="E42" i="34" s="1"/>
  <c r="E48" i="34" s="1"/>
  <c r="E37" i="34"/>
  <c r="E41" i="34" s="1"/>
  <c r="E47" i="34" s="1"/>
  <c r="F100" i="34"/>
  <c r="F104" i="34" s="1"/>
  <c r="F110" i="34" s="1"/>
  <c r="F101" i="34"/>
  <c r="F105" i="34" s="1"/>
  <c r="F111" i="34" s="1"/>
  <c r="D71" i="34"/>
  <c r="D5" i="34" s="1"/>
  <c r="S99" i="9"/>
  <c r="S89" i="9"/>
  <c r="R79" i="9"/>
  <c r="S69" i="9"/>
  <c r="S59" i="9"/>
  <c r="S28" i="9"/>
  <c r="V38" i="1"/>
  <c r="M51" i="3" s="1"/>
  <c r="R66" i="11"/>
  <c r="T217" i="11"/>
  <c r="S245" i="11"/>
  <c r="S249" i="11" s="1"/>
  <c r="S295" i="11"/>
  <c r="T267" i="11"/>
  <c r="S278" i="11"/>
  <c r="S255" i="11" s="1"/>
  <c r="R68" i="11"/>
  <c r="S18" i="11"/>
  <c r="S21" i="11" s="1"/>
  <c r="R128" i="11"/>
  <c r="S19" i="11"/>
  <c r="S22" i="11" s="1"/>
  <c r="T364" i="11"/>
  <c r="T369" i="11" s="1"/>
  <c r="U336" i="11"/>
  <c r="V331" i="11"/>
  <c r="V359" i="11" s="1"/>
  <c r="U359" i="11"/>
  <c r="S56" i="11"/>
  <c r="T28" i="11"/>
  <c r="T29" i="11"/>
  <c r="S57" i="11"/>
  <c r="U304" i="11"/>
  <c r="V276" i="11"/>
  <c r="V304" i="11" s="1"/>
  <c r="T63" i="11"/>
  <c r="U35" i="11"/>
  <c r="S180" i="11"/>
  <c r="T152" i="11"/>
  <c r="U25" i="11"/>
  <c r="T53" i="11"/>
  <c r="T34" i="11"/>
  <c r="S62" i="11"/>
  <c r="T211" i="11"/>
  <c r="S239" i="11"/>
  <c r="T209" i="11"/>
  <c r="S237" i="11"/>
  <c r="F315" i="11"/>
  <c r="F9" i="11"/>
  <c r="T271" i="11"/>
  <c r="S299" i="11"/>
  <c r="T243" i="11"/>
  <c r="U215" i="11"/>
  <c r="S356" i="11"/>
  <c r="S367" i="11" s="1"/>
  <c r="T328" i="11"/>
  <c r="S338" i="11"/>
  <c r="S314" i="11" s="1"/>
  <c r="U95" i="11"/>
  <c r="T123" i="11"/>
  <c r="T308" i="11"/>
  <c r="T332" i="11"/>
  <c r="S360" i="11"/>
  <c r="S368" i="11" s="1"/>
  <c r="S372" i="11" s="1"/>
  <c r="G316" i="11"/>
  <c r="G320" i="11"/>
  <c r="H317" i="11" s="1"/>
  <c r="R307" i="11"/>
  <c r="S200" i="11"/>
  <c r="S203" i="11" s="1"/>
  <c r="T200" i="11" s="1"/>
  <c r="T203" i="11" s="1"/>
  <c r="S59" i="11"/>
  <c r="T31" i="11"/>
  <c r="S54" i="11"/>
  <c r="T26" i="11"/>
  <c r="T36" i="11"/>
  <c r="S64" i="11"/>
  <c r="S125" i="11"/>
  <c r="S129" i="11" s="1"/>
  <c r="T97" i="11"/>
  <c r="T79" i="11" s="1"/>
  <c r="T82" i="11" s="1"/>
  <c r="S120" i="11"/>
  <c r="T92" i="11"/>
  <c r="T235" i="11"/>
  <c r="U207" i="11"/>
  <c r="T89" i="11"/>
  <c r="S117" i="11"/>
  <c r="S127" i="11" s="1"/>
  <c r="S98" i="11"/>
  <c r="S74" i="11" s="1"/>
  <c r="I257" i="11"/>
  <c r="I261" i="11"/>
  <c r="J258" i="11" s="1"/>
  <c r="U147" i="11"/>
  <c r="T175" i="11"/>
  <c r="V326" i="11"/>
  <c r="U354" i="11"/>
  <c r="S61" i="11"/>
  <c r="T33" i="11"/>
  <c r="U114" i="11"/>
  <c r="V86" i="11"/>
  <c r="T240" i="11"/>
  <c r="U212" i="11"/>
  <c r="V275" i="11"/>
  <c r="V303" i="11" s="1"/>
  <c r="V309" i="11" s="1"/>
  <c r="U303" i="11"/>
  <c r="I197" i="11"/>
  <c r="I201" i="11"/>
  <c r="J198" i="11" s="1"/>
  <c r="H8" i="11"/>
  <c r="H256" i="11"/>
  <c r="G5" i="11"/>
  <c r="G75" i="11"/>
  <c r="V274" i="11"/>
  <c r="V302" i="11" s="1"/>
  <c r="U302" i="11"/>
  <c r="H196" i="11"/>
  <c r="H7" i="11"/>
  <c r="U297" i="11"/>
  <c r="V269" i="11"/>
  <c r="H15" i="11"/>
  <c r="H4" i="11"/>
  <c r="S121" i="11"/>
  <c r="S128" i="11" s="1"/>
  <c r="T93" i="11"/>
  <c r="T32" i="11"/>
  <c r="S60" i="11"/>
  <c r="U124" i="11"/>
  <c r="V96" i="11"/>
  <c r="V124" i="11" s="1"/>
  <c r="U363" i="11"/>
  <c r="V335" i="11"/>
  <c r="V363" i="11" s="1"/>
  <c r="I16" i="11"/>
  <c r="I20" i="11"/>
  <c r="J17" i="11" s="1"/>
  <c r="U301" i="11"/>
  <c r="V273" i="11"/>
  <c r="V301" i="11" s="1"/>
  <c r="U182" i="11"/>
  <c r="V154" i="11"/>
  <c r="V182" i="11" s="1"/>
  <c r="V90" i="11"/>
  <c r="V118" i="11" s="1"/>
  <c r="U118" i="11"/>
  <c r="H80" i="11"/>
  <c r="I77" i="11" s="1"/>
  <c r="H76" i="11"/>
  <c r="U319" i="11"/>
  <c r="U322" i="11" s="1"/>
  <c r="S183" i="11"/>
  <c r="T155" i="11"/>
  <c r="U149" i="11"/>
  <c r="T177" i="11"/>
  <c r="S185" i="11"/>
  <c r="T157" i="11"/>
  <c r="R187" i="11"/>
  <c r="T148" i="11"/>
  <c r="S176" i="11"/>
  <c r="G137" i="11"/>
  <c r="G141" i="11"/>
  <c r="H138" i="11" s="1"/>
  <c r="T151" i="11"/>
  <c r="S179" i="11"/>
  <c r="S181" i="11"/>
  <c r="S188" i="11" s="1"/>
  <c r="T153" i="11"/>
  <c r="S140" i="11"/>
  <c r="S143" i="11" s="1"/>
  <c r="E10" i="11"/>
  <c r="E11" i="11" s="1"/>
  <c r="S158" i="11"/>
  <c r="S135" i="11" s="1"/>
  <c r="T146" i="11"/>
  <c r="S174" i="11"/>
  <c r="F6" i="11"/>
  <c r="F54" i="34" s="1"/>
  <c r="F55" i="34" s="1"/>
  <c r="F56" i="34" s="1"/>
  <c r="F57" i="34" s="1"/>
  <c r="F136" i="11"/>
  <c r="S139" i="11"/>
  <c r="S142" i="11" s="1"/>
  <c r="T218" i="11" l="1"/>
  <c r="T195" i="11" s="1"/>
  <c r="S187" i="11"/>
  <c r="S307" i="11"/>
  <c r="T241" i="11"/>
  <c r="T248" i="11" s="1"/>
  <c r="U213" i="11"/>
  <c r="U199" i="11" s="1"/>
  <c r="U202" i="11" s="1"/>
  <c r="S66" i="11"/>
  <c r="N81" i="9"/>
  <c r="N7" i="9" s="1"/>
  <c r="P65" i="9"/>
  <c r="P66" i="9" s="1"/>
  <c r="Q47" i="9"/>
  <c r="O55" i="9"/>
  <c r="O56" i="9" s="1"/>
  <c r="P46" i="9"/>
  <c r="L18" i="9"/>
  <c r="L24" i="9" s="1"/>
  <c r="L26" i="9" s="1"/>
  <c r="L30" i="9" s="1"/>
  <c r="L4" i="9" s="1"/>
  <c r="L12" i="9" s="1"/>
  <c r="O85" i="9"/>
  <c r="P49" i="9"/>
  <c r="O105" i="9"/>
  <c r="O106" i="9" s="1"/>
  <c r="P51" i="9"/>
  <c r="O71" i="9"/>
  <c r="O6" i="9" s="1"/>
  <c r="O95" i="9"/>
  <c r="O96" i="9" s="1"/>
  <c r="P50" i="9"/>
  <c r="M17" i="9"/>
  <c r="M23" i="9" s="1"/>
  <c r="N61" i="9"/>
  <c r="N5" i="9" s="1"/>
  <c r="P48" i="9"/>
  <c r="O75" i="9"/>
  <c r="O76" i="9" s="1"/>
  <c r="N91" i="9"/>
  <c r="N8" i="9" s="1"/>
  <c r="N101" i="9"/>
  <c r="N9" i="9" s="1"/>
  <c r="N15" i="9"/>
  <c r="O14" i="9"/>
  <c r="N111" i="9"/>
  <c r="N10" i="9" s="1"/>
  <c r="E50" i="34"/>
  <c r="E4" i="34" s="1"/>
  <c r="E71" i="34"/>
  <c r="E5" i="34" s="1"/>
  <c r="F113" i="34"/>
  <c r="F7" i="34" s="1"/>
  <c r="D92" i="34"/>
  <c r="D6" i="34" s="1"/>
  <c r="D140" i="34"/>
  <c r="AL37" i="1"/>
  <c r="Y59" i="1"/>
  <c r="Y23" i="1"/>
  <c r="Y39" i="1" s="1"/>
  <c r="Y43" i="1" s="1"/>
  <c r="Y46" i="1" s="1"/>
  <c r="Y50" i="1" s="1"/>
  <c r="Y53" i="1" s="1"/>
  <c r="Y60" i="1"/>
  <c r="X60" i="1"/>
  <c r="X59" i="1"/>
  <c r="X23" i="1"/>
  <c r="X39" i="1" s="1"/>
  <c r="X43" i="1" s="1"/>
  <c r="X46" i="1" s="1"/>
  <c r="X50" i="1" s="1"/>
  <c r="X53" i="1" s="1"/>
  <c r="Z23" i="1"/>
  <c r="Z39" i="1" s="1"/>
  <c r="Z43" i="1" s="1"/>
  <c r="Z46" i="1" s="1"/>
  <c r="Z50" i="1" s="1"/>
  <c r="Z53" i="1" s="1"/>
  <c r="Z60" i="1"/>
  <c r="Z59" i="1"/>
  <c r="W21" i="1"/>
  <c r="F278" i="43"/>
  <c r="G185" i="43"/>
  <c r="G186" i="43" s="1"/>
  <c r="G188" i="43" s="1"/>
  <c r="G202" i="43"/>
  <c r="G203" i="43" s="1"/>
  <c r="G205" i="43" s="1"/>
  <c r="X91" i="3"/>
  <c r="Y91" i="3"/>
  <c r="V91" i="3"/>
  <c r="V98" i="3" s="1"/>
  <c r="W7" i="4" s="1"/>
  <c r="V71" i="3" s="1"/>
  <c r="W91" i="3"/>
  <c r="Y30" i="4"/>
  <c r="X31" i="4"/>
  <c r="W55" i="3"/>
  <c r="W69" i="3" s="1"/>
  <c r="T19" i="4"/>
  <c r="V20" i="3"/>
  <c r="V23" i="4"/>
  <c r="U19" i="4"/>
  <c r="T21" i="3"/>
  <c r="T24" i="4"/>
  <c r="U6" i="3"/>
  <c r="U87" i="3"/>
  <c r="U98" i="3" s="1"/>
  <c r="V7" i="4" s="1"/>
  <c r="U71" i="3" s="1"/>
  <c r="R87" i="3"/>
  <c r="R98" i="3" s="1"/>
  <c r="S7" i="4" s="1"/>
  <c r="R71" i="3" s="1"/>
  <c r="S87" i="3"/>
  <c r="S98" i="3" s="1"/>
  <c r="T7" i="4" s="1"/>
  <c r="S71" i="3" s="1"/>
  <c r="T87" i="3"/>
  <c r="T98" i="3" s="1"/>
  <c r="U7" i="4" s="1"/>
  <c r="T71" i="3" s="1"/>
  <c r="M44" i="4"/>
  <c r="M46" i="4" s="1"/>
  <c r="N44" i="4" s="1"/>
  <c r="M63" i="3"/>
  <c r="M19" i="3" s="1"/>
  <c r="N22" i="4" s="1"/>
  <c r="M61" i="3"/>
  <c r="M18" i="3" s="1"/>
  <c r="N21" i="4" s="1"/>
  <c r="K44" i="4"/>
  <c r="K46" i="4" s="1"/>
  <c r="T109" i="9"/>
  <c r="G33" i="34"/>
  <c r="F14" i="34"/>
  <c r="G97" i="34"/>
  <c r="G98" i="34" s="1"/>
  <c r="G99" i="34" s="1"/>
  <c r="E101" i="34"/>
  <c r="E105" i="34" s="1"/>
  <c r="E111" i="34" s="1"/>
  <c r="E100" i="34"/>
  <c r="E104" i="34" s="1"/>
  <c r="E110" i="34" s="1"/>
  <c r="D121" i="34"/>
  <c r="D125" i="34" s="1"/>
  <c r="D131" i="34" s="1"/>
  <c r="D122" i="34"/>
  <c r="D126" i="34" s="1"/>
  <c r="D132" i="34" s="1"/>
  <c r="F79" i="34"/>
  <c r="F83" i="34" s="1"/>
  <c r="F89" i="34" s="1"/>
  <c r="F80" i="34"/>
  <c r="F84" i="34" s="1"/>
  <c r="F90" i="34" s="1"/>
  <c r="F117" i="34"/>
  <c r="F34" i="34"/>
  <c r="F35" i="34" s="1"/>
  <c r="F36" i="34" s="1"/>
  <c r="F59" i="34"/>
  <c r="F63" i="34" s="1"/>
  <c r="F69" i="34" s="1"/>
  <c r="F58" i="34"/>
  <c r="F62" i="34" s="1"/>
  <c r="F68" i="34" s="1"/>
  <c r="G13" i="34"/>
  <c r="E15" i="34"/>
  <c r="D141" i="34"/>
  <c r="D15" i="34"/>
  <c r="C37" i="34"/>
  <c r="C41" i="34" s="1"/>
  <c r="C47" i="34" s="1"/>
  <c r="C38" i="34"/>
  <c r="C42" i="34" s="1"/>
  <c r="C48" i="34" s="1"/>
  <c r="C143" i="34"/>
  <c r="H96" i="34"/>
  <c r="H97" i="34" s="1"/>
  <c r="H98" i="34" s="1"/>
  <c r="H99" i="34" s="1"/>
  <c r="H12" i="34"/>
  <c r="H75" i="34"/>
  <c r="S247" i="11"/>
  <c r="S68" i="11"/>
  <c r="G80" i="34"/>
  <c r="G84" i="34" s="1"/>
  <c r="G90" i="34" s="1"/>
  <c r="G79" i="34"/>
  <c r="G83" i="34" s="1"/>
  <c r="G89" i="34" s="1"/>
  <c r="E118" i="34"/>
  <c r="E136" i="34"/>
  <c r="E137" i="34" s="1"/>
  <c r="T99" i="9"/>
  <c r="T89" i="9"/>
  <c r="S79" i="9"/>
  <c r="T69" i="9"/>
  <c r="T59" i="9"/>
  <c r="T28" i="9"/>
  <c r="V17" i="1"/>
  <c r="V21" i="1" s="1"/>
  <c r="AA38" i="1"/>
  <c r="N51" i="3" s="1"/>
  <c r="AA35" i="1"/>
  <c r="O9" i="4" s="1"/>
  <c r="N124" i="3" s="1"/>
  <c r="T140" i="11"/>
  <c r="T143" i="11" s="1"/>
  <c r="U332" i="11"/>
  <c r="T360" i="11"/>
  <c r="T368" i="11" s="1"/>
  <c r="U34" i="11"/>
  <c r="T62" i="11"/>
  <c r="T56" i="11"/>
  <c r="U28" i="11"/>
  <c r="U364" i="11"/>
  <c r="U369" i="11" s="1"/>
  <c r="V336" i="11"/>
  <c r="V364" i="11" s="1"/>
  <c r="V369" i="11" s="1"/>
  <c r="T245" i="11"/>
  <c r="T249" i="11" s="1"/>
  <c r="U217" i="11"/>
  <c r="U200" i="11" s="1"/>
  <c r="U203" i="11" s="1"/>
  <c r="V259" i="11"/>
  <c r="V262" i="11" s="1"/>
  <c r="U308" i="11"/>
  <c r="U309" i="11"/>
  <c r="T120" i="11"/>
  <c r="U92" i="11"/>
  <c r="T59" i="11"/>
  <c r="U31" i="11"/>
  <c r="H320" i="11"/>
  <c r="I317" i="11" s="1"/>
  <c r="H316" i="11"/>
  <c r="T356" i="11"/>
  <c r="T367" i="11" s="1"/>
  <c r="T373" i="11" s="1"/>
  <c r="T338" i="11"/>
  <c r="T314" i="11" s="1"/>
  <c r="U328" i="11"/>
  <c r="U211" i="11"/>
  <c r="T239" i="11"/>
  <c r="V35" i="11"/>
  <c r="V63" i="11" s="1"/>
  <c r="U63" i="11"/>
  <c r="T295" i="11"/>
  <c r="U267" i="11"/>
  <c r="T278" i="11"/>
  <c r="T255" i="11" s="1"/>
  <c r="T64" i="11"/>
  <c r="U36" i="11"/>
  <c r="G9" i="11"/>
  <c r="G315" i="11"/>
  <c r="S371" i="11"/>
  <c r="T299" i="11"/>
  <c r="U271" i="11"/>
  <c r="V25" i="11"/>
  <c r="V53" i="11" s="1"/>
  <c r="U53" i="11"/>
  <c r="T19" i="11"/>
  <c r="T22" i="11" s="1"/>
  <c r="S373" i="11"/>
  <c r="T125" i="11"/>
  <c r="T129" i="11" s="1"/>
  <c r="U97" i="11"/>
  <c r="U79" i="11" s="1"/>
  <c r="U82" i="11" s="1"/>
  <c r="T54" i="11"/>
  <c r="U26" i="11"/>
  <c r="V95" i="11"/>
  <c r="V123" i="11" s="1"/>
  <c r="U123" i="11"/>
  <c r="V215" i="11"/>
  <c r="V243" i="11" s="1"/>
  <c r="U243" i="11"/>
  <c r="T237" i="11"/>
  <c r="U209" i="11"/>
  <c r="U218" i="11" s="1"/>
  <c r="U195" i="11" s="1"/>
  <c r="T180" i="11"/>
  <c r="U152" i="11"/>
  <c r="T57" i="11"/>
  <c r="U29" i="11"/>
  <c r="T318" i="11"/>
  <c r="T321" i="11" s="1"/>
  <c r="U318" i="11" s="1"/>
  <c r="U321" i="11" s="1"/>
  <c r="T139" i="11"/>
  <c r="T142" i="11" s="1"/>
  <c r="I76" i="11"/>
  <c r="I80" i="11"/>
  <c r="J77" i="11" s="1"/>
  <c r="J16" i="11"/>
  <c r="J20" i="11"/>
  <c r="K17" i="11" s="1"/>
  <c r="T121" i="11"/>
  <c r="U93" i="11"/>
  <c r="V114" i="11"/>
  <c r="T61" i="11"/>
  <c r="U33" i="11"/>
  <c r="U235" i="11"/>
  <c r="V207" i="11"/>
  <c r="I4" i="11"/>
  <c r="I15" i="11"/>
  <c r="V297" i="11"/>
  <c r="V260" i="11"/>
  <c r="V263" i="11" s="1"/>
  <c r="V308" i="11"/>
  <c r="S67" i="11"/>
  <c r="J197" i="11"/>
  <c r="J201" i="11"/>
  <c r="K198" i="11" s="1"/>
  <c r="V212" i="11"/>
  <c r="V240" i="11" s="1"/>
  <c r="U240" i="11"/>
  <c r="V354" i="11"/>
  <c r="J261" i="11"/>
  <c r="K258" i="11" s="1"/>
  <c r="J257" i="11"/>
  <c r="T117" i="11"/>
  <c r="T127" i="11" s="1"/>
  <c r="U89" i="11"/>
  <c r="T98" i="11"/>
  <c r="T74" i="11" s="1"/>
  <c r="T78" i="11"/>
  <c r="T81" i="11" s="1"/>
  <c r="H5" i="11"/>
  <c r="H75" i="11"/>
  <c r="T60" i="11"/>
  <c r="U32" i="11"/>
  <c r="I7" i="11"/>
  <c r="I196" i="11"/>
  <c r="V147" i="11"/>
  <c r="V175" i="11" s="1"/>
  <c r="U175" i="11"/>
  <c r="I256" i="11"/>
  <c r="I8" i="11"/>
  <c r="T18" i="11"/>
  <c r="T21" i="11" s="1"/>
  <c r="U146" i="11"/>
  <c r="T174" i="11"/>
  <c r="T158" i="11"/>
  <c r="T135" i="11" s="1"/>
  <c r="T181" i="11"/>
  <c r="U153" i="11"/>
  <c r="U155" i="11"/>
  <c r="T183" i="11"/>
  <c r="F10" i="11"/>
  <c r="F11" i="11" s="1"/>
  <c r="G6" i="11"/>
  <c r="G54" i="34" s="1"/>
  <c r="G136" i="11"/>
  <c r="U177" i="11"/>
  <c r="V149" i="11"/>
  <c r="V177" i="11" s="1"/>
  <c r="S189" i="11"/>
  <c r="T179" i="11"/>
  <c r="U151" i="11"/>
  <c r="U148" i="11"/>
  <c r="T176" i="11"/>
  <c r="H141" i="11"/>
  <c r="I138" i="11" s="1"/>
  <c r="H137" i="11"/>
  <c r="T185" i="11"/>
  <c r="U157" i="11"/>
  <c r="T247" i="11" l="1"/>
  <c r="V319" i="11"/>
  <c r="V322" i="11" s="1"/>
  <c r="U241" i="11"/>
  <c r="U248" i="11" s="1"/>
  <c r="V213" i="11"/>
  <c r="V241" i="11" s="1"/>
  <c r="V248" i="11" s="1"/>
  <c r="T67" i="11"/>
  <c r="M18" i="9"/>
  <c r="M24" i="9" s="1"/>
  <c r="M26" i="9" s="1"/>
  <c r="M30" i="9" s="1"/>
  <c r="M4" i="9" s="1"/>
  <c r="M12" i="9" s="1"/>
  <c r="J44" i="42" s="1"/>
  <c r="P14" i="9"/>
  <c r="O15" i="9"/>
  <c r="O111" i="9"/>
  <c r="O10" i="9" s="1"/>
  <c r="N17" i="9"/>
  <c r="N23" i="9" s="1"/>
  <c r="O81" i="9"/>
  <c r="O7" i="9" s="1"/>
  <c r="O86" i="9"/>
  <c r="O91" i="9" s="1"/>
  <c r="O8" i="9" s="1"/>
  <c r="Q65" i="9"/>
  <c r="R47" i="9"/>
  <c r="P75" i="9"/>
  <c r="P76" i="9" s="1"/>
  <c r="Q48" i="9"/>
  <c r="Q50" i="9"/>
  <c r="P95" i="9"/>
  <c r="P96" i="9" s="1"/>
  <c r="P85" i="9"/>
  <c r="P86" i="9" s="1"/>
  <c r="Q49" i="9"/>
  <c r="P55" i="9"/>
  <c r="P56" i="9" s="1"/>
  <c r="Q46" i="9"/>
  <c r="P71" i="9"/>
  <c r="P6" i="9" s="1"/>
  <c r="O101" i="9"/>
  <c r="O9" i="9" s="1"/>
  <c r="P105" i="9"/>
  <c r="P106" i="9" s="1"/>
  <c r="Q51" i="9"/>
  <c r="O61" i="9"/>
  <c r="O5" i="9" s="1"/>
  <c r="I44" i="42"/>
  <c r="F92" i="34"/>
  <c r="F6" i="34" s="1"/>
  <c r="AN32" i="1"/>
  <c r="AN37" i="1" s="1"/>
  <c r="E113" i="34"/>
  <c r="E7" i="34" s="1"/>
  <c r="C50" i="34"/>
  <c r="C4" i="34" s="1"/>
  <c r="C9" i="34" s="1"/>
  <c r="D134" i="34"/>
  <c r="D8" i="34" s="1"/>
  <c r="G92" i="34"/>
  <c r="G6" i="34" s="1"/>
  <c r="W23" i="1"/>
  <c r="W39" i="1" s="1"/>
  <c r="W43" i="1" s="1"/>
  <c r="W46" i="1" s="1"/>
  <c r="W50" i="1" s="1"/>
  <c r="W53" i="1" s="1"/>
  <c r="W60" i="1"/>
  <c r="W59" i="1"/>
  <c r="AM28" i="1"/>
  <c r="H202" i="43"/>
  <c r="H203" i="43" s="1"/>
  <c r="H205" i="43" s="1"/>
  <c r="H185" i="43"/>
  <c r="H186" i="43" s="1"/>
  <c r="H188" i="43" s="1"/>
  <c r="N126" i="3"/>
  <c r="M48" i="3"/>
  <c r="M57" i="3" s="1"/>
  <c r="M8" i="3" s="1"/>
  <c r="X92" i="3"/>
  <c r="W92" i="3"/>
  <c r="W98" i="3" s="1"/>
  <c r="X7" i="4" s="1"/>
  <c r="W71" i="3" s="1"/>
  <c r="Y92" i="3"/>
  <c r="Z92" i="3"/>
  <c r="Z30" i="4"/>
  <c r="X55" i="3"/>
  <c r="X69" i="3" s="1"/>
  <c r="Y31" i="4"/>
  <c r="U21" i="3"/>
  <c r="U24" i="4"/>
  <c r="V19" i="4"/>
  <c r="W20" i="3"/>
  <c r="W23" i="4"/>
  <c r="V6" i="3"/>
  <c r="AM37" i="1"/>
  <c r="M24" i="3"/>
  <c r="M30" i="3" s="1"/>
  <c r="N63" i="3"/>
  <c r="N19" i="3" s="1"/>
  <c r="O22" i="4" s="1"/>
  <c r="N61" i="3"/>
  <c r="N18" i="3" s="1"/>
  <c r="O21" i="4" s="1"/>
  <c r="L44" i="4"/>
  <c r="L46" i="4" s="1"/>
  <c r="J5" i="3"/>
  <c r="U109" i="9"/>
  <c r="F38" i="34"/>
  <c r="F42" i="34" s="1"/>
  <c r="F48" i="34" s="1"/>
  <c r="F37" i="34"/>
  <c r="F41" i="34" s="1"/>
  <c r="F47" i="34" s="1"/>
  <c r="I96" i="34"/>
  <c r="U19" i="11"/>
  <c r="U22" i="11" s="1"/>
  <c r="T307" i="11"/>
  <c r="E119" i="34"/>
  <c r="E140" i="34"/>
  <c r="H13" i="34"/>
  <c r="H101" i="34"/>
  <c r="H105" i="34" s="1"/>
  <c r="H111" i="34" s="1"/>
  <c r="H100" i="34"/>
  <c r="H104" i="34" s="1"/>
  <c r="H110" i="34" s="1"/>
  <c r="E16" i="34"/>
  <c r="E20" i="34" s="1"/>
  <c r="E26" i="34" s="1"/>
  <c r="E17" i="34"/>
  <c r="E21" i="34" s="1"/>
  <c r="E27" i="34" s="1"/>
  <c r="F118" i="34"/>
  <c r="F119" i="34" s="1"/>
  <c r="F120" i="34" s="1"/>
  <c r="I75" i="34"/>
  <c r="I76" i="34" s="1"/>
  <c r="D17" i="34"/>
  <c r="D21" i="34" s="1"/>
  <c r="D27" i="34" s="1"/>
  <c r="D16" i="34"/>
  <c r="D20" i="34" s="1"/>
  <c r="D26" i="34" s="1"/>
  <c r="D143" i="34"/>
  <c r="G14" i="34"/>
  <c r="G100" i="34"/>
  <c r="G104" i="34" s="1"/>
  <c r="G110" i="34" s="1"/>
  <c r="G101" i="34"/>
  <c r="G105" i="34" s="1"/>
  <c r="G111" i="34" s="1"/>
  <c r="G55" i="34"/>
  <c r="G56" i="34" s="1"/>
  <c r="G57" i="34" s="1"/>
  <c r="H33" i="34"/>
  <c r="H34" i="34" s="1"/>
  <c r="H35" i="34" s="1"/>
  <c r="H36" i="34" s="1"/>
  <c r="I12" i="34"/>
  <c r="H76" i="34"/>
  <c r="H77" i="34" s="1"/>
  <c r="H78" i="34" s="1"/>
  <c r="G34" i="34"/>
  <c r="G35" i="34" s="1"/>
  <c r="G36" i="34" s="1"/>
  <c r="T188" i="11"/>
  <c r="U18" i="11"/>
  <c r="U21" i="11" s="1"/>
  <c r="T128" i="11"/>
  <c r="G117" i="34"/>
  <c r="T372" i="11"/>
  <c r="F71" i="34"/>
  <c r="F5" i="34" s="1"/>
  <c r="F136" i="34"/>
  <c r="F137" i="34" s="1"/>
  <c r="F15" i="34"/>
  <c r="U99" i="9"/>
  <c r="U89" i="9"/>
  <c r="T79" i="9"/>
  <c r="U69" i="9"/>
  <c r="U59" i="9"/>
  <c r="U28" i="9"/>
  <c r="AA21" i="1"/>
  <c r="AF19" i="1"/>
  <c r="AF21" i="1" s="1"/>
  <c r="AF38" i="1"/>
  <c r="O51" i="3" s="1"/>
  <c r="AF36" i="1"/>
  <c r="AF35" i="1" s="1"/>
  <c r="P9" i="4" s="1"/>
  <c r="O124" i="3" s="1"/>
  <c r="V60" i="1"/>
  <c r="V23" i="1"/>
  <c r="V39" i="1" s="1"/>
  <c r="V43" i="1" s="1"/>
  <c r="V59" i="1"/>
  <c r="V29" i="11"/>
  <c r="V57" i="11" s="1"/>
  <c r="U57" i="11"/>
  <c r="V209" i="11"/>
  <c r="V237" i="11" s="1"/>
  <c r="U237" i="11"/>
  <c r="V271" i="11"/>
  <c r="V299" i="11" s="1"/>
  <c r="U299" i="11"/>
  <c r="U59" i="11"/>
  <c r="V31" i="11"/>
  <c r="V59" i="11" s="1"/>
  <c r="T68" i="11"/>
  <c r="V332" i="11"/>
  <c r="V360" i="11" s="1"/>
  <c r="V368" i="11" s="1"/>
  <c r="U360" i="11"/>
  <c r="U368" i="11" s="1"/>
  <c r="U78" i="11"/>
  <c r="U81" i="11" s="1"/>
  <c r="T66" i="11"/>
  <c r="U54" i="11"/>
  <c r="V26" i="11"/>
  <c r="V54" i="11" s="1"/>
  <c r="U64" i="11"/>
  <c r="V36" i="11"/>
  <c r="V64" i="11" s="1"/>
  <c r="U295" i="11"/>
  <c r="V267" i="11"/>
  <c r="U278" i="11"/>
  <c r="U255" i="11" s="1"/>
  <c r="T371" i="11"/>
  <c r="V217" i="11"/>
  <c r="V245" i="11" s="1"/>
  <c r="V249" i="11" s="1"/>
  <c r="U245" i="11"/>
  <c r="U249" i="11" s="1"/>
  <c r="V34" i="11"/>
  <c r="V62" i="11" s="1"/>
  <c r="U62" i="11"/>
  <c r="U180" i="11"/>
  <c r="V152" i="11"/>
  <c r="V180" i="11" s="1"/>
  <c r="V211" i="11"/>
  <c r="V239" i="11" s="1"/>
  <c r="U239" i="11"/>
  <c r="H315" i="11"/>
  <c r="H9" i="11"/>
  <c r="V92" i="11"/>
  <c r="V120" i="11" s="1"/>
  <c r="U120" i="11"/>
  <c r="V28" i="11"/>
  <c r="V56" i="11" s="1"/>
  <c r="U56" i="11"/>
  <c r="V318" i="11"/>
  <c r="V321" i="11" s="1"/>
  <c r="V97" i="11"/>
  <c r="V125" i="11" s="1"/>
  <c r="V129" i="11" s="1"/>
  <c r="U125" i="11"/>
  <c r="U129" i="11" s="1"/>
  <c r="U338" i="11"/>
  <c r="U314" i="11" s="1"/>
  <c r="U356" i="11"/>
  <c r="U367" i="11" s="1"/>
  <c r="V328" i="11"/>
  <c r="I320" i="11"/>
  <c r="J317" i="11" s="1"/>
  <c r="I316" i="11"/>
  <c r="V199" i="11"/>
  <c r="V202" i="11" s="1"/>
  <c r="I75" i="11"/>
  <c r="I5" i="11"/>
  <c r="T187" i="11"/>
  <c r="J8" i="11"/>
  <c r="J256" i="11"/>
  <c r="U61" i="11"/>
  <c r="V33" i="11"/>
  <c r="V61" i="11" s="1"/>
  <c r="K20" i="11"/>
  <c r="L17" i="11" s="1"/>
  <c r="K16" i="11"/>
  <c r="K257" i="11"/>
  <c r="K261" i="11"/>
  <c r="L258" i="11" s="1"/>
  <c r="K197" i="11"/>
  <c r="K201" i="11"/>
  <c r="L198" i="11" s="1"/>
  <c r="J4" i="11"/>
  <c r="J15" i="11"/>
  <c r="U60" i="11"/>
  <c r="V32" i="11"/>
  <c r="V60" i="11" s="1"/>
  <c r="V89" i="11"/>
  <c r="U117" i="11"/>
  <c r="U127" i="11" s="1"/>
  <c r="U98" i="11"/>
  <c r="U74" i="11" s="1"/>
  <c r="J7" i="11"/>
  <c r="J196" i="11"/>
  <c r="V235" i="11"/>
  <c r="U121" i="11"/>
  <c r="U128" i="11" s="1"/>
  <c r="V93" i="11"/>
  <c r="V121" i="11" s="1"/>
  <c r="V128" i="11" s="1"/>
  <c r="J76" i="11"/>
  <c r="J80" i="11"/>
  <c r="K77" i="11" s="1"/>
  <c r="U185" i="11"/>
  <c r="V157" i="11"/>
  <c r="V185" i="11" s="1"/>
  <c r="V148" i="11"/>
  <c r="V176" i="11" s="1"/>
  <c r="U176" i="11"/>
  <c r="G10" i="11"/>
  <c r="G11" i="11" s="1"/>
  <c r="U179" i="11"/>
  <c r="V151" i="11"/>
  <c r="V179" i="11" s="1"/>
  <c r="U181" i="11"/>
  <c r="U188" i="11" s="1"/>
  <c r="V153" i="11"/>
  <c r="V181" i="11" s="1"/>
  <c r="I141" i="11"/>
  <c r="J138" i="11" s="1"/>
  <c r="I137" i="11"/>
  <c r="U174" i="11"/>
  <c r="V146" i="11"/>
  <c r="U158" i="11"/>
  <c r="U135" i="11" s="1"/>
  <c r="V155" i="11"/>
  <c r="V183" i="11" s="1"/>
  <c r="U183" i="11"/>
  <c r="H136" i="11"/>
  <c r="H6" i="11"/>
  <c r="H54" i="34" s="1"/>
  <c r="U140" i="11"/>
  <c r="U143" i="11" s="1"/>
  <c r="T189" i="11"/>
  <c r="U139" i="11"/>
  <c r="U142" i="11" s="1"/>
  <c r="AO32" i="1" l="1"/>
  <c r="AO37" i="1" s="1"/>
  <c r="AM25" i="1"/>
  <c r="AN25" i="1" s="1"/>
  <c r="AO25" i="1" s="1"/>
  <c r="AP25" i="1" s="1"/>
  <c r="AQ25" i="1" s="1"/>
  <c r="AR25" i="1" s="1"/>
  <c r="AS25" i="1" s="1"/>
  <c r="AT25" i="1" s="1"/>
  <c r="AU25" i="1" s="1"/>
  <c r="AV25" i="1" s="1"/>
  <c r="AW25" i="1" s="1"/>
  <c r="U371" i="11"/>
  <c r="V247" i="11"/>
  <c r="V66" i="11"/>
  <c r="V68" i="11"/>
  <c r="R50" i="9"/>
  <c r="Q95" i="9"/>
  <c r="Q96" i="9" s="1"/>
  <c r="S47" i="9"/>
  <c r="R65" i="9"/>
  <c r="R66" i="9" s="1"/>
  <c r="P111" i="9"/>
  <c r="P10" i="9" s="1"/>
  <c r="Q55" i="9"/>
  <c r="Q56" i="9" s="1"/>
  <c r="R46" i="9"/>
  <c r="P91" i="9"/>
  <c r="P8" i="9" s="1"/>
  <c r="Q75" i="9"/>
  <c r="R48" i="9"/>
  <c r="P61" i="9"/>
  <c r="P5" i="9" s="1"/>
  <c r="P101" i="9"/>
  <c r="P9" i="9" s="1"/>
  <c r="P81" i="9"/>
  <c r="P7" i="9" s="1"/>
  <c r="Q66" i="9"/>
  <c r="Q71" i="9" s="1"/>
  <c r="Q6" i="9" s="1"/>
  <c r="N18" i="9"/>
  <c r="N24" i="9" s="1"/>
  <c r="N26" i="9" s="1"/>
  <c r="N30" i="9" s="1"/>
  <c r="N4" i="9" s="1"/>
  <c r="N12" i="9" s="1"/>
  <c r="R51" i="9"/>
  <c r="Q105" i="9"/>
  <c r="Q106" i="9" s="1"/>
  <c r="Q85" i="9"/>
  <c r="Q86" i="9" s="1"/>
  <c r="R49" i="9"/>
  <c r="O17" i="9"/>
  <c r="O23" i="9" s="1"/>
  <c r="P15" i="9"/>
  <c r="Q14" i="9"/>
  <c r="G113" i="34"/>
  <c r="G7" i="34" s="1"/>
  <c r="F141" i="34"/>
  <c r="E29" i="34"/>
  <c r="E3" i="34" s="1"/>
  <c r="H113" i="34"/>
  <c r="H7" i="34" s="1"/>
  <c r="C43" i="42"/>
  <c r="AA60" i="1"/>
  <c r="AA59" i="1"/>
  <c r="AN28" i="1"/>
  <c r="I202" i="43"/>
  <c r="I185" i="43"/>
  <c r="O126" i="3"/>
  <c r="M70" i="3"/>
  <c r="N48" i="3"/>
  <c r="N57" i="3" s="1"/>
  <c r="N8" i="3" s="1"/>
  <c r="O17" i="4" s="1"/>
  <c r="O16" i="4" s="1"/>
  <c r="X93" i="3"/>
  <c r="X98" i="3" s="1"/>
  <c r="Y7" i="4" s="1"/>
  <c r="X71" i="3" s="1"/>
  <c r="Y93" i="3"/>
  <c r="Z93" i="3"/>
  <c r="AA93" i="3"/>
  <c r="AA30" i="4"/>
  <c r="Z31" i="4"/>
  <c r="Y55" i="3"/>
  <c r="Y69" i="3" s="1"/>
  <c r="X20" i="3"/>
  <c r="X23" i="4"/>
  <c r="V21" i="3"/>
  <c r="V24" i="4"/>
  <c r="W19" i="4"/>
  <c r="W6" i="3"/>
  <c r="N17" i="4"/>
  <c r="N16" i="4" s="1"/>
  <c r="N24" i="3"/>
  <c r="N30" i="3" s="1"/>
  <c r="O63" i="3"/>
  <c r="O19" i="3" s="1"/>
  <c r="P22" i="4" s="1"/>
  <c r="O61" i="3"/>
  <c r="O18" i="3" s="1"/>
  <c r="P21" i="4" s="1"/>
  <c r="AF59" i="1"/>
  <c r="O48" i="3"/>
  <c r="J9" i="3"/>
  <c r="J15" i="3" s="1"/>
  <c r="V109" i="9"/>
  <c r="V46" i="1"/>
  <c r="N6" i="4" s="1"/>
  <c r="G37" i="34"/>
  <c r="G41" i="34" s="1"/>
  <c r="G47" i="34" s="1"/>
  <c r="G38" i="34"/>
  <c r="G42" i="34" s="1"/>
  <c r="G48" i="34" s="1"/>
  <c r="F121" i="34"/>
  <c r="F125" i="34" s="1"/>
  <c r="F131" i="34" s="1"/>
  <c r="F122" i="34"/>
  <c r="F126" i="34" s="1"/>
  <c r="F132" i="34" s="1"/>
  <c r="I33" i="34"/>
  <c r="I34" i="34" s="1"/>
  <c r="I35" i="34" s="1"/>
  <c r="I36" i="34" s="1"/>
  <c r="V67" i="11"/>
  <c r="H55" i="34"/>
  <c r="H56" i="34" s="1"/>
  <c r="H57" i="34" s="1"/>
  <c r="U66" i="11"/>
  <c r="H117" i="34"/>
  <c r="G58" i="34"/>
  <c r="G62" i="34" s="1"/>
  <c r="G68" i="34" s="1"/>
  <c r="G59" i="34"/>
  <c r="G63" i="34" s="1"/>
  <c r="G69" i="34" s="1"/>
  <c r="D29" i="34"/>
  <c r="D3" i="34" s="1"/>
  <c r="D9" i="34" s="1"/>
  <c r="H14" i="34"/>
  <c r="H80" i="34"/>
  <c r="H84" i="34" s="1"/>
  <c r="H90" i="34" s="1"/>
  <c r="H79" i="34"/>
  <c r="H83" i="34" s="1"/>
  <c r="H89" i="34" s="1"/>
  <c r="H38" i="34"/>
  <c r="H42" i="34" s="1"/>
  <c r="H48" i="34" s="1"/>
  <c r="H37" i="34"/>
  <c r="H41" i="34" s="1"/>
  <c r="H47" i="34" s="1"/>
  <c r="F50" i="34"/>
  <c r="F4" i="34" s="1"/>
  <c r="J75" i="34"/>
  <c r="J12" i="34"/>
  <c r="G118" i="34"/>
  <c r="G119" i="34" s="1"/>
  <c r="G120" i="34" s="1"/>
  <c r="G15" i="34"/>
  <c r="V140" i="11"/>
  <c r="V143" i="11" s="1"/>
  <c r="V189" i="11"/>
  <c r="V218" i="11"/>
  <c r="V195" i="11" s="1"/>
  <c r="J96" i="34"/>
  <c r="J97" i="34" s="1"/>
  <c r="J98" i="34" s="1"/>
  <c r="J99" i="34" s="1"/>
  <c r="U68" i="11"/>
  <c r="U247" i="11"/>
  <c r="F16" i="34"/>
  <c r="F20" i="34" s="1"/>
  <c r="F26" i="34" s="1"/>
  <c r="F17" i="34"/>
  <c r="F21" i="34" s="1"/>
  <c r="F27" i="34" s="1"/>
  <c r="F143" i="34"/>
  <c r="F140" i="34"/>
  <c r="I13" i="34"/>
  <c r="I14" i="34" s="1"/>
  <c r="I77" i="34"/>
  <c r="I78" i="34" s="1"/>
  <c r="E120" i="34"/>
  <c r="E141" i="34"/>
  <c r="I97" i="34"/>
  <c r="I98" i="34" s="1"/>
  <c r="I99" i="34" s="1"/>
  <c r="G136" i="34"/>
  <c r="G137" i="34" s="1"/>
  <c r="V99" i="9"/>
  <c r="V89" i="9"/>
  <c r="U79" i="9"/>
  <c r="V69" i="9"/>
  <c r="V59" i="9"/>
  <c r="V28" i="9"/>
  <c r="AA23" i="1"/>
  <c r="AA39" i="1" s="1"/>
  <c r="AA43" i="1" s="1"/>
  <c r="AF60" i="1"/>
  <c r="AK38" i="1"/>
  <c r="P51" i="3" s="1"/>
  <c r="AK36" i="1"/>
  <c r="Q9" i="4" s="1"/>
  <c r="P124" i="3" s="1"/>
  <c r="U372" i="11"/>
  <c r="V356" i="11"/>
  <c r="V367" i="11" s="1"/>
  <c r="V338" i="11"/>
  <c r="V314" i="11" s="1"/>
  <c r="V295" i="11"/>
  <c r="V307" i="11" s="1"/>
  <c r="V278" i="11"/>
  <c r="V255" i="11" s="1"/>
  <c r="V19" i="11"/>
  <c r="V22" i="11" s="1"/>
  <c r="U373" i="11"/>
  <c r="V139" i="11"/>
  <c r="V142" i="11" s="1"/>
  <c r="V188" i="11"/>
  <c r="V18" i="11"/>
  <c r="V21" i="11" s="1"/>
  <c r="U307" i="11"/>
  <c r="V200" i="11"/>
  <c r="V203" i="11" s="1"/>
  <c r="V79" i="11"/>
  <c r="V82" i="11" s="1"/>
  <c r="I9" i="11"/>
  <c r="I315" i="11"/>
  <c r="J320" i="11"/>
  <c r="K317" i="11" s="1"/>
  <c r="J316" i="11"/>
  <c r="K76" i="11"/>
  <c r="K80" i="11"/>
  <c r="L77" i="11" s="1"/>
  <c r="K15" i="11"/>
  <c r="K4" i="11"/>
  <c r="U189" i="11"/>
  <c r="J75" i="11"/>
  <c r="J5" i="11"/>
  <c r="L16" i="11"/>
  <c r="L20" i="11"/>
  <c r="M17" i="11" s="1"/>
  <c r="K7" i="11"/>
  <c r="K196" i="11"/>
  <c r="K8" i="11"/>
  <c r="K256" i="11"/>
  <c r="V117" i="11"/>
  <c r="V127" i="11" s="1"/>
  <c r="V98" i="11"/>
  <c r="V74" i="11" s="1"/>
  <c r="U67" i="11"/>
  <c r="L197" i="11"/>
  <c r="L201" i="11"/>
  <c r="M198" i="11" s="1"/>
  <c r="L261" i="11"/>
  <c r="M258" i="11" s="1"/>
  <c r="L257" i="11"/>
  <c r="V78" i="11"/>
  <c r="V81" i="11" s="1"/>
  <c r="V158" i="11"/>
  <c r="V135" i="11" s="1"/>
  <c r="V174" i="11"/>
  <c r="V187" i="11" s="1"/>
  <c r="I136" i="11"/>
  <c r="I6" i="11"/>
  <c r="I54" i="34" s="1"/>
  <c r="I55" i="34" s="1"/>
  <c r="I56" i="34" s="1"/>
  <c r="I57" i="34" s="1"/>
  <c r="H10" i="11"/>
  <c r="H11" i="11" s="1"/>
  <c r="U187" i="11"/>
  <c r="J137" i="11"/>
  <c r="J141" i="11"/>
  <c r="K138" i="11" s="1"/>
  <c r="AP32" i="1" l="1"/>
  <c r="O18" i="9"/>
  <c r="O24" i="9" s="1"/>
  <c r="K44" i="42"/>
  <c r="Q91" i="9"/>
  <c r="Q8" i="9" s="1"/>
  <c r="S46" i="9"/>
  <c r="R55" i="9"/>
  <c r="R56" i="9" s="1"/>
  <c r="S65" i="9"/>
  <c r="S66" i="9" s="1"/>
  <c r="T47" i="9"/>
  <c r="R95" i="9"/>
  <c r="S50" i="9"/>
  <c r="R14" i="9"/>
  <c r="Q15" i="9"/>
  <c r="O26" i="9"/>
  <c r="O30" i="9" s="1"/>
  <c r="O4" i="9" s="1"/>
  <c r="O12" i="9" s="1"/>
  <c r="Q111" i="9"/>
  <c r="Q10" i="9" s="1"/>
  <c r="Q76" i="9"/>
  <c r="Q81" i="9" s="1"/>
  <c r="Q7" i="9" s="1"/>
  <c r="Q61" i="9"/>
  <c r="Q5" i="9" s="1"/>
  <c r="P17" i="9"/>
  <c r="P23" i="9" s="1"/>
  <c r="S49" i="9"/>
  <c r="R85" i="9"/>
  <c r="S51" i="9"/>
  <c r="R105" i="9"/>
  <c r="R106" i="9" s="1"/>
  <c r="S48" i="9"/>
  <c r="R75" i="9"/>
  <c r="R76" i="9" s="1"/>
  <c r="R71" i="9"/>
  <c r="R6" i="9" s="1"/>
  <c r="Q101" i="9"/>
  <c r="Q9" i="9" s="1"/>
  <c r="F134" i="34"/>
  <c r="F8" i="34" s="1"/>
  <c r="H50" i="34"/>
  <c r="H4" i="34" s="1"/>
  <c r="G141" i="34"/>
  <c r="D43" i="42"/>
  <c r="D42" i="42" s="1"/>
  <c r="C42" i="42"/>
  <c r="F29" i="34"/>
  <c r="F3" i="34" s="1"/>
  <c r="AO28" i="1"/>
  <c r="J185" i="43"/>
  <c r="I186" i="43"/>
  <c r="I188" i="43" s="1"/>
  <c r="J202" i="43"/>
  <c r="I203" i="43"/>
  <c r="I205" i="43" s="1"/>
  <c r="P126" i="3"/>
  <c r="N70" i="3"/>
  <c r="AB30" i="4"/>
  <c r="Z55" i="3"/>
  <c r="Z69" i="3" s="1"/>
  <c r="AA31" i="4"/>
  <c r="Y94" i="3"/>
  <c r="Y98" i="3" s="1"/>
  <c r="Z7" i="4" s="1"/>
  <c r="Y71" i="3" s="1"/>
  <c r="Z94" i="3"/>
  <c r="AA94" i="3"/>
  <c r="AB94" i="3"/>
  <c r="AQ32" i="1"/>
  <c r="AR32" i="1" s="1"/>
  <c r="AP37" i="1"/>
  <c r="Y20" i="3"/>
  <c r="Y23" i="4"/>
  <c r="W21" i="3"/>
  <c r="W24" i="4"/>
  <c r="X19" i="4"/>
  <c r="X6" i="3"/>
  <c r="O24" i="3"/>
  <c r="O30" i="3" s="1"/>
  <c r="O57" i="3"/>
  <c r="O70" i="3"/>
  <c r="P63" i="3"/>
  <c r="P19" i="3" s="1"/>
  <c r="Q22" i="4" s="1"/>
  <c r="P61" i="3"/>
  <c r="P18" i="3" s="1"/>
  <c r="Q21" i="4" s="1"/>
  <c r="V50" i="1"/>
  <c r="W109" i="9"/>
  <c r="AA46" i="1"/>
  <c r="O6" i="4" s="1"/>
  <c r="O26" i="4" s="1"/>
  <c r="G122" i="34"/>
  <c r="G126" i="34" s="1"/>
  <c r="G132" i="34" s="1"/>
  <c r="G121" i="34"/>
  <c r="G125" i="34" s="1"/>
  <c r="G131" i="34" s="1"/>
  <c r="I101" i="34"/>
  <c r="I105" i="34" s="1"/>
  <c r="I111" i="34" s="1"/>
  <c r="I100" i="34"/>
  <c r="I104" i="34" s="1"/>
  <c r="I110" i="34" s="1"/>
  <c r="I15" i="34"/>
  <c r="K96" i="34"/>
  <c r="E122" i="34"/>
  <c r="E126" i="34" s="1"/>
  <c r="E132" i="34" s="1"/>
  <c r="E121" i="34"/>
  <c r="E125" i="34" s="1"/>
  <c r="E131" i="34" s="1"/>
  <c r="E143" i="34"/>
  <c r="G17" i="34"/>
  <c r="G21" i="34" s="1"/>
  <c r="G27" i="34" s="1"/>
  <c r="G16" i="34"/>
  <c r="G20" i="34" s="1"/>
  <c r="G26" i="34" s="1"/>
  <c r="G143" i="34"/>
  <c r="J13" i="34"/>
  <c r="G140" i="34"/>
  <c r="H118" i="34"/>
  <c r="H58" i="34"/>
  <c r="H62" i="34" s="1"/>
  <c r="H68" i="34" s="1"/>
  <c r="H59" i="34"/>
  <c r="H63" i="34" s="1"/>
  <c r="H69" i="34" s="1"/>
  <c r="K75" i="34"/>
  <c r="I117" i="34"/>
  <c r="I118" i="34" s="1"/>
  <c r="I119" i="34" s="1"/>
  <c r="I120" i="34" s="1"/>
  <c r="K12" i="34"/>
  <c r="I80" i="34"/>
  <c r="I84" i="34" s="1"/>
  <c r="I90" i="34" s="1"/>
  <c r="I79" i="34"/>
  <c r="I83" i="34" s="1"/>
  <c r="I89" i="34" s="1"/>
  <c r="J76" i="34"/>
  <c r="J77" i="34" s="1"/>
  <c r="J78" i="34" s="1"/>
  <c r="I38" i="34"/>
  <c r="I42" i="34" s="1"/>
  <c r="I48" i="34" s="1"/>
  <c r="I37" i="34"/>
  <c r="I41" i="34" s="1"/>
  <c r="I47" i="34" s="1"/>
  <c r="I59" i="34"/>
  <c r="I63" i="34" s="1"/>
  <c r="I69" i="34" s="1"/>
  <c r="I58" i="34"/>
  <c r="I62" i="34" s="1"/>
  <c r="I68" i="34" s="1"/>
  <c r="J33" i="34"/>
  <c r="J101" i="34"/>
  <c r="J105" i="34" s="1"/>
  <c r="J111" i="34" s="1"/>
  <c r="J100" i="34"/>
  <c r="J104" i="34" s="1"/>
  <c r="J110" i="34" s="1"/>
  <c r="H136" i="34"/>
  <c r="H137" i="34" s="1"/>
  <c r="H92" i="34"/>
  <c r="H6" i="34" s="1"/>
  <c r="H15" i="34"/>
  <c r="G71" i="34"/>
  <c r="G5" i="34" s="1"/>
  <c r="G50" i="34"/>
  <c r="G4" i="34" s="1"/>
  <c r="W99" i="9"/>
  <c r="W89" i="9"/>
  <c r="V79" i="9"/>
  <c r="W69" i="9"/>
  <c r="W59" i="9"/>
  <c r="W28" i="9"/>
  <c r="AL38" i="1"/>
  <c r="Q51" i="3" s="1"/>
  <c r="AL36" i="1"/>
  <c r="AL35" i="1" s="1"/>
  <c r="R9" i="4" s="1"/>
  <c r="Q124" i="3" s="1"/>
  <c r="V373" i="11"/>
  <c r="V371" i="11"/>
  <c r="V372" i="11"/>
  <c r="J315" i="11"/>
  <c r="J9" i="11"/>
  <c r="K316" i="11"/>
  <c r="K320" i="11"/>
  <c r="L317" i="11" s="1"/>
  <c r="L76" i="11"/>
  <c r="L80" i="11"/>
  <c r="M77" i="11" s="1"/>
  <c r="L196" i="11"/>
  <c r="L7" i="11"/>
  <c r="K5" i="11"/>
  <c r="K75" i="11"/>
  <c r="M201" i="11"/>
  <c r="N198" i="11" s="1"/>
  <c r="M197" i="11"/>
  <c r="L256" i="11"/>
  <c r="L8" i="11"/>
  <c r="M20" i="11"/>
  <c r="N17" i="11" s="1"/>
  <c r="M16" i="11"/>
  <c r="M257" i="11"/>
  <c r="M261" i="11"/>
  <c r="N258" i="11" s="1"/>
  <c r="L4" i="11"/>
  <c r="L15" i="11"/>
  <c r="K137" i="11"/>
  <c r="K141" i="11"/>
  <c r="L138" i="11" s="1"/>
  <c r="J6" i="11"/>
  <c r="J54" i="34" s="1"/>
  <c r="J55" i="34" s="1"/>
  <c r="J56" i="34" s="1"/>
  <c r="J57" i="34" s="1"/>
  <c r="J136" i="11"/>
  <c r="I10" i="11"/>
  <c r="I11" i="11" s="1"/>
  <c r="O8" i="3" l="1"/>
  <c r="P17" i="4" s="1"/>
  <c r="P16" i="4" s="1"/>
  <c r="P57" i="3"/>
  <c r="P18" i="9"/>
  <c r="P24" i="9" s="1"/>
  <c r="P26" i="9" s="1"/>
  <c r="P30" i="9" s="1"/>
  <c r="P4" i="9" s="1"/>
  <c r="P12" i="9" s="1"/>
  <c r="Q17" i="9"/>
  <c r="Q23" i="9" s="1"/>
  <c r="T48" i="9"/>
  <c r="S75" i="9"/>
  <c r="S76" i="9" s="1"/>
  <c r="R111" i="9"/>
  <c r="R10" i="9" s="1"/>
  <c r="T49" i="9"/>
  <c r="S85" i="9"/>
  <c r="S86" i="9" s="1"/>
  <c r="R15" i="9"/>
  <c r="S14" i="9"/>
  <c r="U47" i="9"/>
  <c r="T65" i="9"/>
  <c r="S105" i="9"/>
  <c r="S106" i="9"/>
  <c r="T51" i="9"/>
  <c r="R96" i="9"/>
  <c r="R101" i="9" s="1"/>
  <c r="R9" i="9" s="1"/>
  <c r="S55" i="9"/>
  <c r="T46" i="9"/>
  <c r="R86" i="9"/>
  <c r="R91" i="9" s="1"/>
  <c r="R8" i="9" s="1"/>
  <c r="L44" i="42"/>
  <c r="S95" i="9"/>
  <c r="S96" i="9" s="1"/>
  <c r="T50" i="9"/>
  <c r="S71" i="9"/>
  <c r="S6" i="9" s="1"/>
  <c r="R81" i="9"/>
  <c r="R7" i="9" s="1"/>
  <c r="R61" i="9"/>
  <c r="R5" i="9" s="1"/>
  <c r="F9" i="34"/>
  <c r="F43" i="42" s="1"/>
  <c r="E134" i="34"/>
  <c r="E8" i="34" s="1"/>
  <c r="E9" i="34" s="1"/>
  <c r="E43" i="42" s="1"/>
  <c r="G134" i="34"/>
  <c r="G8" i="34" s="1"/>
  <c r="J113" i="34"/>
  <c r="J7" i="34" s="1"/>
  <c r="C9" i="42"/>
  <c r="C8" i="42"/>
  <c r="C7" i="42"/>
  <c r="C5" i="42"/>
  <c r="C10" i="42"/>
  <c r="C6" i="42"/>
  <c r="C4" i="42"/>
  <c r="D7" i="42"/>
  <c r="D5" i="42"/>
  <c r="D4" i="42"/>
  <c r="D10" i="42"/>
  <c r="D6" i="42"/>
  <c r="D9" i="42"/>
  <c r="D8" i="42"/>
  <c r="I141" i="34"/>
  <c r="I71" i="34"/>
  <c r="I5" i="34" s="1"/>
  <c r="G29" i="34"/>
  <c r="G3" i="34" s="1"/>
  <c r="AN36" i="1"/>
  <c r="AN35" i="1" s="1"/>
  <c r="T9" i="4" s="1"/>
  <c r="S124" i="3" s="1"/>
  <c r="S126" i="3" s="1"/>
  <c r="AN38" i="1"/>
  <c r="S51" i="3" s="1"/>
  <c r="K202" i="43"/>
  <c r="J203" i="43"/>
  <c r="J204" i="43" s="1"/>
  <c r="J205" i="43" s="1"/>
  <c r="AP28" i="1"/>
  <c r="K185" i="43"/>
  <c r="J186" i="43"/>
  <c r="J187" i="43" s="1"/>
  <c r="J188" i="43" s="1"/>
  <c r="Q126" i="3"/>
  <c r="AS32" i="1"/>
  <c r="AT32" i="1" s="1"/>
  <c r="AU32" i="1" s="1"/>
  <c r="AV32" i="1" s="1"/>
  <c r="AW32" i="1" s="1"/>
  <c r="AB95" i="3"/>
  <c r="Z95" i="3"/>
  <c r="Z98" i="3" s="1"/>
  <c r="AA7" i="4" s="1"/>
  <c r="Z71" i="3" s="1"/>
  <c r="AA95" i="3"/>
  <c r="AC30" i="4"/>
  <c r="AB31" i="4"/>
  <c r="AA55" i="3"/>
  <c r="AA69" i="3" s="1"/>
  <c r="AQ37" i="1"/>
  <c r="X21" i="3"/>
  <c r="X24" i="4"/>
  <c r="Z20" i="3"/>
  <c r="Z23" i="4"/>
  <c r="Y19" i="4"/>
  <c r="Y6" i="3"/>
  <c r="Z19" i="4" s="1"/>
  <c r="Q61" i="3"/>
  <c r="Q18" i="3" s="1"/>
  <c r="R21" i="4" s="1"/>
  <c r="Q63" i="3"/>
  <c r="Q19" i="3" s="1"/>
  <c r="R22" i="4" s="1"/>
  <c r="V53" i="1"/>
  <c r="M53" i="3"/>
  <c r="P24" i="3"/>
  <c r="P30" i="3" s="1"/>
  <c r="O43" i="4"/>
  <c r="N54" i="3"/>
  <c r="V74" i="1"/>
  <c r="AA50" i="1"/>
  <c r="X109" i="9"/>
  <c r="J80" i="34"/>
  <c r="J84" i="34" s="1"/>
  <c r="J90" i="34" s="1"/>
  <c r="J79" i="34"/>
  <c r="J83" i="34" s="1"/>
  <c r="J89" i="34" s="1"/>
  <c r="J117" i="34"/>
  <c r="J34" i="34"/>
  <c r="J35" i="34" s="1"/>
  <c r="J36" i="34" s="1"/>
  <c r="I50" i="34"/>
  <c r="I4" i="34" s="1"/>
  <c r="I92" i="34"/>
  <c r="I6" i="34" s="1"/>
  <c r="I121" i="34"/>
  <c r="I125" i="34" s="1"/>
  <c r="I131" i="34" s="1"/>
  <c r="I122" i="34"/>
  <c r="I126" i="34" s="1"/>
  <c r="I132" i="34" s="1"/>
  <c r="I136" i="34"/>
  <c r="I137" i="34" s="1"/>
  <c r="I113" i="34"/>
  <c r="I7" i="34" s="1"/>
  <c r="K97" i="34"/>
  <c r="K98" i="34" s="1"/>
  <c r="K99" i="34" s="1"/>
  <c r="I17" i="34"/>
  <c r="I21" i="34" s="1"/>
  <c r="I27" i="34" s="1"/>
  <c r="I143" i="34"/>
  <c r="I16" i="34"/>
  <c r="I20" i="34" s="1"/>
  <c r="I26" i="34" s="1"/>
  <c r="L96" i="34"/>
  <c r="H71" i="34"/>
  <c r="H5" i="34" s="1"/>
  <c r="K33" i="34"/>
  <c r="H17" i="34"/>
  <c r="H21" i="34" s="1"/>
  <c r="H27" i="34" s="1"/>
  <c r="H16" i="34"/>
  <c r="H20" i="34" s="1"/>
  <c r="H26" i="34" s="1"/>
  <c r="K13" i="34"/>
  <c r="K76" i="34"/>
  <c r="K77" i="34" s="1"/>
  <c r="K78" i="34" s="1"/>
  <c r="J59" i="34"/>
  <c r="J63" i="34" s="1"/>
  <c r="J69" i="34" s="1"/>
  <c r="J58" i="34"/>
  <c r="J62" i="34" s="1"/>
  <c r="J68" i="34" s="1"/>
  <c r="L12" i="34"/>
  <c r="L75" i="34"/>
  <c r="I140" i="34"/>
  <c r="H119" i="34"/>
  <c r="H140" i="34"/>
  <c r="J14" i="34"/>
  <c r="X99" i="9"/>
  <c r="X89" i="9"/>
  <c r="W79" i="9"/>
  <c r="X69" i="9"/>
  <c r="X59" i="9"/>
  <c r="X28" i="9"/>
  <c r="AM36" i="1"/>
  <c r="AM35" i="1" s="1"/>
  <c r="S9" i="4" s="1"/>
  <c r="R124" i="3" s="1"/>
  <c r="AM38" i="1"/>
  <c r="R51" i="3" s="1"/>
  <c r="K9" i="11"/>
  <c r="K315" i="11"/>
  <c r="L320" i="11"/>
  <c r="M317" i="11" s="1"/>
  <c r="L316" i="11"/>
  <c r="N20" i="11"/>
  <c r="O17" i="11" s="1"/>
  <c r="N16" i="11"/>
  <c r="L5" i="11"/>
  <c r="L75" i="11"/>
  <c r="N257" i="11"/>
  <c r="N261" i="11"/>
  <c r="O258" i="11" s="1"/>
  <c r="M8" i="11"/>
  <c r="M256" i="11"/>
  <c r="N201" i="11"/>
  <c r="O198" i="11" s="1"/>
  <c r="N197" i="11"/>
  <c r="M15" i="11"/>
  <c r="M4" i="11"/>
  <c r="M7" i="11"/>
  <c r="M196" i="11"/>
  <c r="M80" i="11"/>
  <c r="N77" i="11" s="1"/>
  <c r="M76" i="11"/>
  <c r="L141" i="11"/>
  <c r="M138" i="11" s="1"/>
  <c r="L137" i="11"/>
  <c r="K6" i="11"/>
  <c r="K54" i="34" s="1"/>
  <c r="K136" i="11"/>
  <c r="J10" i="11"/>
  <c r="J11" i="11" s="1"/>
  <c r="M44" i="42" l="1"/>
  <c r="S111" i="9"/>
  <c r="S10" i="9" s="1"/>
  <c r="T14" i="9"/>
  <c r="S15" i="9"/>
  <c r="T85" i="9"/>
  <c r="T86" i="9" s="1"/>
  <c r="U49" i="9"/>
  <c r="S101" i="9"/>
  <c r="S9" i="9" s="1"/>
  <c r="R17" i="9"/>
  <c r="R23" i="9" s="1"/>
  <c r="T55" i="9"/>
  <c r="T56" i="9" s="1"/>
  <c r="U46" i="9"/>
  <c r="U51" i="9"/>
  <c r="T105" i="9"/>
  <c r="T106" i="9" s="1"/>
  <c r="T66" i="9"/>
  <c r="T71" i="9" s="1"/>
  <c r="T6" i="9" s="1"/>
  <c r="S81" i="9"/>
  <c r="S7" i="9" s="1"/>
  <c r="Q18" i="9"/>
  <c r="Q24" i="9" s="1"/>
  <c r="Q26" i="9" s="1"/>
  <c r="Q30" i="9" s="1"/>
  <c r="Q4" i="9" s="1"/>
  <c r="Q12" i="9" s="1"/>
  <c r="T95" i="9"/>
  <c r="T96" i="9" s="1"/>
  <c r="U50" i="9"/>
  <c r="U65" i="9"/>
  <c r="U66" i="9" s="1"/>
  <c r="V47" i="9"/>
  <c r="S91" i="9"/>
  <c r="S8" i="9" s="1"/>
  <c r="S56" i="9"/>
  <c r="S61" i="9" s="1"/>
  <c r="S5" i="9" s="1"/>
  <c r="T75" i="9"/>
  <c r="T76" i="9" s="1"/>
  <c r="U48" i="9"/>
  <c r="G9" i="34"/>
  <c r="H29" i="34"/>
  <c r="H3" i="34" s="1"/>
  <c r="C3" i="42"/>
  <c r="I134" i="34"/>
  <c r="I8" i="34" s="1"/>
  <c r="D3" i="42"/>
  <c r="E42" i="42"/>
  <c r="J92" i="34"/>
  <c r="J6" i="34" s="1"/>
  <c r="F42" i="42"/>
  <c r="AO36" i="1"/>
  <c r="AO35" i="1" s="1"/>
  <c r="U9" i="4" s="1"/>
  <c r="T124" i="3" s="1"/>
  <c r="T126" i="3" s="1"/>
  <c r="AO38" i="1"/>
  <c r="T51" i="3" s="1"/>
  <c r="AQ28" i="1"/>
  <c r="S61" i="3"/>
  <c r="S18" i="3" s="1"/>
  <c r="S63" i="3"/>
  <c r="S19" i="3" s="1"/>
  <c r="L185" i="43"/>
  <c r="K186" i="43"/>
  <c r="K187" i="43" s="1"/>
  <c r="K188" i="43" s="1"/>
  <c r="L202" i="43"/>
  <c r="K203" i="43"/>
  <c r="R126" i="3"/>
  <c r="AC31" i="4"/>
  <c r="AB55" i="3"/>
  <c r="AB69" i="3" s="1"/>
  <c r="AB96" i="3"/>
  <c r="AA96" i="3"/>
  <c r="AA98" i="3" s="1"/>
  <c r="AB7" i="4" s="1"/>
  <c r="AA71" i="3" s="1"/>
  <c r="AR37" i="1"/>
  <c r="Y21" i="3"/>
  <c r="Y24" i="4"/>
  <c r="AA20" i="3"/>
  <c r="AA23" i="4"/>
  <c r="Z6" i="3"/>
  <c r="AA19" i="4" s="1"/>
  <c r="AA52" i="1"/>
  <c r="N53" i="3"/>
  <c r="R63" i="3"/>
  <c r="R19" i="3" s="1"/>
  <c r="R61" i="3"/>
  <c r="R18" i="3" s="1"/>
  <c r="Q24" i="3"/>
  <c r="Q30" i="3" s="1"/>
  <c r="AA74" i="1"/>
  <c r="Y109" i="9"/>
  <c r="K101" i="34"/>
  <c r="K105" i="34" s="1"/>
  <c r="K111" i="34" s="1"/>
  <c r="K100" i="34"/>
  <c r="K104" i="34" s="1"/>
  <c r="K110" i="34" s="1"/>
  <c r="K79" i="34"/>
  <c r="K83" i="34" s="1"/>
  <c r="K89" i="34" s="1"/>
  <c r="K80" i="34"/>
  <c r="K84" i="34" s="1"/>
  <c r="K90" i="34" s="1"/>
  <c r="K55" i="34"/>
  <c r="K56" i="34" s="1"/>
  <c r="K57" i="34" s="1"/>
  <c r="M96" i="34"/>
  <c r="L33" i="34"/>
  <c r="J15" i="34"/>
  <c r="K34" i="34"/>
  <c r="K35" i="34" s="1"/>
  <c r="K36" i="34" s="1"/>
  <c r="L13" i="34"/>
  <c r="L97" i="34"/>
  <c r="L98" i="34" s="1"/>
  <c r="L99" i="34" s="1"/>
  <c r="J38" i="34"/>
  <c r="J42" i="34" s="1"/>
  <c r="J48" i="34" s="1"/>
  <c r="J37" i="34"/>
  <c r="J41" i="34" s="1"/>
  <c r="J47" i="34" s="1"/>
  <c r="M75" i="34"/>
  <c r="M76" i="34" s="1"/>
  <c r="M77" i="34" s="1"/>
  <c r="M78" i="34" s="1"/>
  <c r="H141" i="34"/>
  <c r="H120" i="34"/>
  <c r="M12" i="34"/>
  <c r="K117" i="34"/>
  <c r="K136" i="34" s="1"/>
  <c r="K137" i="34" s="1"/>
  <c r="L76" i="34"/>
  <c r="L77" i="34" s="1"/>
  <c r="L78" i="34" s="1"/>
  <c r="J71" i="34"/>
  <c r="J5" i="34" s="1"/>
  <c r="K14" i="34"/>
  <c r="I29" i="34"/>
  <c r="I3" i="34" s="1"/>
  <c r="J118" i="34"/>
  <c r="J136" i="34"/>
  <c r="J137" i="34" s="1"/>
  <c r="Y99" i="9"/>
  <c r="Y89" i="9"/>
  <c r="X79" i="9"/>
  <c r="Y69" i="9"/>
  <c r="Y59" i="9"/>
  <c r="Y28" i="9"/>
  <c r="L315" i="11"/>
  <c r="L9" i="11"/>
  <c r="M316" i="11"/>
  <c r="M320" i="11"/>
  <c r="N317" i="11" s="1"/>
  <c r="N196" i="11"/>
  <c r="N7" i="11"/>
  <c r="N76" i="11"/>
  <c r="N80" i="11"/>
  <c r="O77" i="11" s="1"/>
  <c r="O197" i="11"/>
  <c r="O201" i="11"/>
  <c r="P198" i="11" s="1"/>
  <c r="O16" i="11"/>
  <c r="O20" i="11"/>
  <c r="P17" i="11" s="1"/>
  <c r="O261" i="11"/>
  <c r="P258" i="11" s="1"/>
  <c r="O257" i="11"/>
  <c r="N256" i="11"/>
  <c r="N8" i="11"/>
  <c r="M5" i="11"/>
  <c r="M75" i="11"/>
  <c r="N4" i="11"/>
  <c r="N15" i="11"/>
  <c r="L6" i="11"/>
  <c r="L54" i="34" s="1"/>
  <c r="L136" i="11"/>
  <c r="K10" i="11"/>
  <c r="K11" i="11" s="1"/>
  <c r="M141" i="11"/>
  <c r="N138" i="11" s="1"/>
  <c r="M137" i="11"/>
  <c r="R18" i="9" l="1"/>
  <c r="R24" i="9" s="1"/>
  <c r="R26" i="9" s="1"/>
  <c r="R30" i="9" s="1"/>
  <c r="R4" i="9" s="1"/>
  <c r="R12" i="9" s="1"/>
  <c r="T111" i="9"/>
  <c r="T10" i="9" s="1"/>
  <c r="T61" i="9"/>
  <c r="T5" i="9" s="1"/>
  <c r="T81" i="9"/>
  <c r="T7" i="9" s="1"/>
  <c r="V51" i="9"/>
  <c r="U105" i="9"/>
  <c r="U106" i="9" s="1"/>
  <c r="S17" i="9"/>
  <c r="S23" i="9" s="1"/>
  <c r="V65" i="9"/>
  <c r="V66" i="9" s="1"/>
  <c r="W47" i="9"/>
  <c r="U95" i="9"/>
  <c r="V50" i="9"/>
  <c r="V46" i="9"/>
  <c r="U55" i="9"/>
  <c r="V49" i="9"/>
  <c r="U85" i="9"/>
  <c r="U14" i="9"/>
  <c r="T15" i="9"/>
  <c r="U75" i="9"/>
  <c r="V48" i="9"/>
  <c r="N44" i="42"/>
  <c r="U71" i="9"/>
  <c r="U6" i="9" s="1"/>
  <c r="T101" i="9"/>
  <c r="T9" i="9" s="1"/>
  <c r="T91" i="9"/>
  <c r="T8" i="9" s="1"/>
  <c r="G43" i="42"/>
  <c r="F78" i="43"/>
  <c r="I9" i="34"/>
  <c r="C12" i="42"/>
  <c r="C11" i="42"/>
  <c r="D11" i="42"/>
  <c r="D12" i="42"/>
  <c r="G42" i="42"/>
  <c r="K113" i="34"/>
  <c r="K7" i="34" s="1"/>
  <c r="F4" i="42"/>
  <c r="F5" i="42"/>
  <c r="F7" i="42"/>
  <c r="F10" i="42"/>
  <c r="F6" i="42"/>
  <c r="F8" i="42"/>
  <c r="F9" i="42"/>
  <c r="E10" i="42"/>
  <c r="E6" i="42"/>
  <c r="E8" i="42"/>
  <c r="E7" i="42"/>
  <c r="E5" i="42"/>
  <c r="E9" i="42"/>
  <c r="E4" i="42"/>
  <c r="C233" i="43"/>
  <c r="E233" i="43"/>
  <c r="I10" i="26" s="1"/>
  <c r="S24" i="3"/>
  <c r="S30" i="3" s="1"/>
  <c r="M185" i="43"/>
  <c r="L186" i="43"/>
  <c r="L187" i="43" s="1"/>
  <c r="L188" i="43" s="1"/>
  <c r="AP36" i="1"/>
  <c r="AP35" i="1" s="1"/>
  <c r="V9" i="4" s="1"/>
  <c r="U124" i="3" s="1"/>
  <c r="U126" i="3" s="1"/>
  <c r="AP38" i="1"/>
  <c r="U51" i="3" s="1"/>
  <c r="K204" i="43"/>
  <c r="K205" i="43" s="1"/>
  <c r="AR28" i="1"/>
  <c r="M202" i="43"/>
  <c r="L203" i="43"/>
  <c r="L204" i="43" s="1"/>
  <c r="L205" i="43" s="1"/>
  <c r="T63" i="3"/>
  <c r="T19" i="3" s="1"/>
  <c r="U22" i="4" s="1"/>
  <c r="T61" i="3"/>
  <c r="T18" i="3" s="1"/>
  <c r="AB97" i="3"/>
  <c r="AB98" i="3" s="1"/>
  <c r="AC7" i="4" s="1"/>
  <c r="AB71" i="3" s="1"/>
  <c r="AS37" i="1"/>
  <c r="S22" i="4"/>
  <c r="T22" i="4"/>
  <c r="AB20" i="3"/>
  <c r="AB23" i="4"/>
  <c r="Z21" i="3"/>
  <c r="Z24" i="4"/>
  <c r="S21" i="4"/>
  <c r="T21" i="4"/>
  <c r="AA6" i="3"/>
  <c r="AA53" i="1"/>
  <c r="R24" i="3"/>
  <c r="R30" i="3" s="1"/>
  <c r="L101" i="34"/>
  <c r="L105" i="34" s="1"/>
  <c r="L111" i="34" s="1"/>
  <c r="L100" i="34"/>
  <c r="L104" i="34" s="1"/>
  <c r="L110" i="34" s="1"/>
  <c r="K59" i="34"/>
  <c r="K63" i="34" s="1"/>
  <c r="K69" i="34" s="1"/>
  <c r="K58" i="34"/>
  <c r="K62" i="34" s="1"/>
  <c r="K68" i="34" s="1"/>
  <c r="N96" i="34"/>
  <c r="N97" i="34" s="1"/>
  <c r="N98" i="34" s="1"/>
  <c r="N99" i="34" s="1"/>
  <c r="M13" i="34"/>
  <c r="M14" i="34" s="1"/>
  <c r="J50" i="34"/>
  <c r="J4" i="34" s="1"/>
  <c r="L14" i="34"/>
  <c r="K37" i="34"/>
  <c r="K41" i="34" s="1"/>
  <c r="K47" i="34" s="1"/>
  <c r="K38" i="34"/>
  <c r="K42" i="34" s="1"/>
  <c r="K48" i="34" s="1"/>
  <c r="M97" i="34"/>
  <c r="K92" i="34"/>
  <c r="K6" i="34" s="1"/>
  <c r="N75" i="34"/>
  <c r="N76" i="34" s="1"/>
  <c r="N77" i="34" s="1"/>
  <c r="N78" i="34" s="1"/>
  <c r="J119" i="34"/>
  <c r="J140" i="34"/>
  <c r="K15" i="34"/>
  <c r="K118" i="34"/>
  <c r="M79" i="34"/>
  <c r="M83" i="34" s="1"/>
  <c r="M89" i="34" s="1"/>
  <c r="M80" i="34"/>
  <c r="M84" i="34" s="1"/>
  <c r="M90" i="34" s="1"/>
  <c r="L34" i="34"/>
  <c r="L35" i="34" s="1"/>
  <c r="L36" i="34" s="1"/>
  <c r="N12" i="34"/>
  <c r="L80" i="34"/>
  <c r="L84" i="34" s="1"/>
  <c r="L90" i="34" s="1"/>
  <c r="L79" i="34"/>
  <c r="L83" i="34" s="1"/>
  <c r="L89" i="34" s="1"/>
  <c r="L55" i="34"/>
  <c r="L56" i="34" s="1"/>
  <c r="L57" i="34" s="1"/>
  <c r="M33" i="34"/>
  <c r="M34" i="34" s="1"/>
  <c r="M35" i="34" s="1"/>
  <c r="M36" i="34" s="1"/>
  <c r="L117" i="34"/>
  <c r="H122" i="34"/>
  <c r="H126" i="34" s="1"/>
  <c r="H132" i="34" s="1"/>
  <c r="H121" i="34"/>
  <c r="H125" i="34" s="1"/>
  <c r="H131" i="34" s="1"/>
  <c r="H143" i="34"/>
  <c r="J17" i="34"/>
  <c r="J21" i="34" s="1"/>
  <c r="J27" i="34" s="1"/>
  <c r="J16" i="34"/>
  <c r="J20" i="34" s="1"/>
  <c r="J26" i="34" s="1"/>
  <c r="Y79" i="9"/>
  <c r="N316" i="11"/>
  <c r="N320" i="11"/>
  <c r="O317" i="11" s="1"/>
  <c r="M9" i="11"/>
  <c r="M315" i="11"/>
  <c r="O8" i="11"/>
  <c r="O256" i="11"/>
  <c r="O7" i="11"/>
  <c r="O196" i="11"/>
  <c r="P197" i="11"/>
  <c r="P201" i="11"/>
  <c r="Q198" i="11" s="1"/>
  <c r="O76" i="11"/>
  <c r="O80" i="11"/>
  <c r="P77" i="11" s="1"/>
  <c r="P16" i="11"/>
  <c r="P20" i="11"/>
  <c r="Q17" i="11" s="1"/>
  <c r="O15" i="11"/>
  <c r="O4" i="11"/>
  <c r="N5" i="11"/>
  <c r="N75" i="11"/>
  <c r="P261" i="11"/>
  <c r="Q258" i="11" s="1"/>
  <c r="P257" i="11"/>
  <c r="L10" i="11"/>
  <c r="L11" i="11" s="1"/>
  <c r="N137" i="11"/>
  <c r="N141" i="11"/>
  <c r="O138" i="11" s="1"/>
  <c r="M136" i="11"/>
  <c r="M6" i="11"/>
  <c r="M54" i="34" s="1"/>
  <c r="S18" i="9" l="1"/>
  <c r="S24" i="9" s="1"/>
  <c r="T17" i="9"/>
  <c r="T23" i="9" s="1"/>
  <c r="V85" i="9"/>
  <c r="W49" i="9"/>
  <c r="V55" i="9"/>
  <c r="V56" i="9" s="1"/>
  <c r="W46" i="9"/>
  <c r="W65" i="9"/>
  <c r="X47" i="9"/>
  <c r="W51" i="9"/>
  <c r="V105" i="9"/>
  <c r="V106" i="9" s="1"/>
  <c r="V75" i="9"/>
  <c r="W48" i="9"/>
  <c r="V14" i="9"/>
  <c r="U15" i="9"/>
  <c r="O44" i="42"/>
  <c r="W50" i="9"/>
  <c r="V95" i="9"/>
  <c r="V96" i="9" s="1"/>
  <c r="S26" i="9"/>
  <c r="S30" i="9" s="1"/>
  <c r="S4" i="9" s="1"/>
  <c r="S12" i="9" s="1"/>
  <c r="U96" i="9"/>
  <c r="U101" i="9" s="1"/>
  <c r="U9" i="9" s="1"/>
  <c r="V71" i="9"/>
  <c r="V6" i="9" s="1"/>
  <c r="U76" i="9"/>
  <c r="U81" i="9" s="1"/>
  <c r="U7" i="9" s="1"/>
  <c r="U86" i="9"/>
  <c r="U91" i="9" s="1"/>
  <c r="U8" i="9" s="1"/>
  <c r="U56" i="9"/>
  <c r="U61" i="9" s="1"/>
  <c r="U5" i="9" s="1"/>
  <c r="U111" i="9"/>
  <c r="U10" i="9" s="1"/>
  <c r="I43" i="42"/>
  <c r="I42" i="42" s="1"/>
  <c r="L113" i="34"/>
  <c r="L7" i="34" s="1"/>
  <c r="M92" i="34"/>
  <c r="M6" i="34" s="1"/>
  <c r="K50" i="34"/>
  <c r="K4" i="34" s="1"/>
  <c r="F3" i="42"/>
  <c r="E3" i="42"/>
  <c r="G6" i="42"/>
  <c r="G4" i="42"/>
  <c r="G8" i="42"/>
  <c r="G5" i="42"/>
  <c r="G7" i="42"/>
  <c r="G9" i="42"/>
  <c r="G10" i="42"/>
  <c r="N202" i="43"/>
  <c r="M203" i="43"/>
  <c r="M204" i="43" s="1"/>
  <c r="M205" i="43" s="1"/>
  <c r="N185" i="43"/>
  <c r="M186" i="43"/>
  <c r="M187" i="43" s="1"/>
  <c r="M188" i="43" s="1"/>
  <c r="U21" i="4"/>
  <c r="T24" i="3"/>
  <c r="T30" i="3" s="1"/>
  <c r="AQ36" i="1"/>
  <c r="AQ35" i="1" s="1"/>
  <c r="W9" i="4" s="1"/>
  <c r="V124" i="3" s="1"/>
  <c r="V126" i="3" s="1"/>
  <c r="AQ38" i="1"/>
  <c r="V51" i="3" s="1"/>
  <c r="U61" i="3"/>
  <c r="U18" i="3" s="1"/>
  <c r="U63" i="3"/>
  <c r="U19" i="3" s="1"/>
  <c r="V22" i="4" s="1"/>
  <c r="AS28" i="1"/>
  <c r="E99" i="43"/>
  <c r="C20" i="26"/>
  <c r="E226" i="43"/>
  <c r="C226" i="43"/>
  <c r="I13" i="26" s="1"/>
  <c r="C40" i="26" s="1"/>
  <c r="E176" i="43"/>
  <c r="C176" i="43"/>
  <c r="C99" i="43"/>
  <c r="I9" i="26" s="1"/>
  <c r="AT37" i="1"/>
  <c r="AC23" i="4"/>
  <c r="AA21" i="3"/>
  <c r="AA24" i="4"/>
  <c r="AB19" i="4"/>
  <c r="AB6" i="3"/>
  <c r="J29" i="34"/>
  <c r="J3" i="34" s="1"/>
  <c r="H134" i="34"/>
  <c r="H8" i="34" s="1"/>
  <c r="H9" i="34" s="1"/>
  <c r="M37" i="34"/>
  <c r="M41" i="34" s="1"/>
  <c r="M47" i="34" s="1"/>
  <c r="M38" i="34"/>
  <c r="M42" i="34" s="1"/>
  <c r="M48" i="34" s="1"/>
  <c r="L92" i="34"/>
  <c r="L6" i="34" s="1"/>
  <c r="M98" i="34"/>
  <c r="M99" i="34" s="1"/>
  <c r="N101" i="34"/>
  <c r="N105" i="34" s="1"/>
  <c r="N111" i="34" s="1"/>
  <c r="N100" i="34"/>
  <c r="N104" i="34" s="1"/>
  <c r="N110" i="34" s="1"/>
  <c r="K71" i="34"/>
  <c r="K5" i="34" s="1"/>
  <c r="N33" i="34"/>
  <c r="K119" i="34"/>
  <c r="K140" i="34"/>
  <c r="M55" i="34"/>
  <c r="M56" i="34" s="1"/>
  <c r="O12" i="34"/>
  <c r="M117" i="34"/>
  <c r="M118" i="34" s="1"/>
  <c r="M119" i="34" s="1"/>
  <c r="M120" i="34" s="1"/>
  <c r="L118" i="34"/>
  <c r="L119" i="34" s="1"/>
  <c r="L120" i="34" s="1"/>
  <c r="L136" i="34"/>
  <c r="L137" i="34" s="1"/>
  <c r="N13" i="34"/>
  <c r="J120" i="34"/>
  <c r="J141" i="34"/>
  <c r="M15" i="34"/>
  <c r="O75" i="34"/>
  <c r="L38" i="34"/>
  <c r="L42" i="34" s="1"/>
  <c r="L48" i="34" s="1"/>
  <c r="L37" i="34"/>
  <c r="L41" i="34" s="1"/>
  <c r="L47" i="34" s="1"/>
  <c r="N80" i="34"/>
  <c r="N84" i="34" s="1"/>
  <c r="N90" i="34" s="1"/>
  <c r="N79" i="34"/>
  <c r="N83" i="34" s="1"/>
  <c r="N89" i="34" s="1"/>
  <c r="M136" i="34"/>
  <c r="M137" i="34" s="1"/>
  <c r="O96" i="34"/>
  <c r="O97" i="34" s="1"/>
  <c r="O98" i="34" s="1"/>
  <c r="O99" i="34" s="1"/>
  <c r="L59" i="34"/>
  <c r="L63" i="34" s="1"/>
  <c r="L69" i="34" s="1"/>
  <c r="L58" i="34"/>
  <c r="L62" i="34" s="1"/>
  <c r="L68" i="34" s="1"/>
  <c r="K17" i="34"/>
  <c r="K21" i="34" s="1"/>
  <c r="K27" i="34" s="1"/>
  <c r="K16" i="34"/>
  <c r="K20" i="34" s="1"/>
  <c r="K26" i="34" s="1"/>
  <c r="L15" i="34"/>
  <c r="O320" i="11"/>
  <c r="P317" i="11" s="1"/>
  <c r="O316" i="11"/>
  <c r="N9" i="11"/>
  <c r="N315" i="11"/>
  <c r="P15" i="11"/>
  <c r="P4" i="11"/>
  <c r="P8" i="11"/>
  <c r="P256" i="11"/>
  <c r="P76" i="11"/>
  <c r="P80" i="11"/>
  <c r="Q77" i="11" s="1"/>
  <c r="Q257" i="11"/>
  <c r="Q261" i="11"/>
  <c r="R258" i="11" s="1"/>
  <c r="O5" i="11"/>
  <c r="O75" i="11"/>
  <c r="Q16" i="11"/>
  <c r="Q20" i="11"/>
  <c r="R17" i="11" s="1"/>
  <c r="Q197" i="11"/>
  <c r="Q201" i="11"/>
  <c r="R198" i="11" s="1"/>
  <c r="P7" i="11"/>
  <c r="P196" i="11"/>
  <c r="M10" i="11"/>
  <c r="M11" i="11" s="1"/>
  <c r="O141" i="11"/>
  <c r="P138" i="11" s="1"/>
  <c r="O137" i="11"/>
  <c r="N6" i="11"/>
  <c r="N54" i="34" s="1"/>
  <c r="N55" i="34" s="1"/>
  <c r="N56" i="34" s="1"/>
  <c r="N57" i="34" s="1"/>
  <c r="N136" i="11"/>
  <c r="T18" i="9" l="1"/>
  <c r="T24" i="9" s="1"/>
  <c r="T26" i="9" s="1"/>
  <c r="T30" i="9" s="1"/>
  <c r="T4" i="9" s="1"/>
  <c r="T12" i="9" s="1"/>
  <c r="X50" i="9"/>
  <c r="W95" i="9"/>
  <c r="W96" i="9" s="1"/>
  <c r="V61" i="9"/>
  <c r="V5" i="9" s="1"/>
  <c r="V101" i="9"/>
  <c r="V9" i="9" s="1"/>
  <c r="V76" i="9"/>
  <c r="V81" i="9" s="1"/>
  <c r="V7" i="9" s="1"/>
  <c r="W105" i="9"/>
  <c r="W106" i="9" s="1"/>
  <c r="X51" i="9"/>
  <c r="W55" i="9"/>
  <c r="W56" i="9" s="1"/>
  <c r="X46" i="9"/>
  <c r="X49" i="9"/>
  <c r="W85" i="9"/>
  <c r="U17" i="9"/>
  <c r="U23" i="9" s="1"/>
  <c r="X65" i="9"/>
  <c r="X66" i="9" s="1"/>
  <c r="Y47" i="9"/>
  <c r="V15" i="9"/>
  <c r="W14" i="9"/>
  <c r="P44" i="42"/>
  <c r="W75" i="9"/>
  <c r="W76" i="9" s="1"/>
  <c r="X48" i="9"/>
  <c r="V111" i="9"/>
  <c r="V10" i="9" s="1"/>
  <c r="W66" i="9"/>
  <c r="W71" i="9" s="1"/>
  <c r="W6" i="9" s="1"/>
  <c r="V86" i="9"/>
  <c r="V91" i="9" s="1"/>
  <c r="V8" i="9" s="1"/>
  <c r="L141" i="34"/>
  <c r="G3" i="42"/>
  <c r="G11" i="42" s="1"/>
  <c r="M141" i="34"/>
  <c r="L50" i="34"/>
  <c r="L4" i="34" s="1"/>
  <c r="H43" i="42"/>
  <c r="M57" i="34"/>
  <c r="M58" i="34" s="1"/>
  <c r="M62" i="34" s="1"/>
  <c r="M68" i="34" s="1"/>
  <c r="AF5" i="1"/>
  <c r="I9" i="42"/>
  <c r="I10" i="42"/>
  <c r="I7" i="42"/>
  <c r="I6" i="42"/>
  <c r="I4" i="42"/>
  <c r="I5" i="42"/>
  <c r="I8" i="42"/>
  <c r="M50" i="34"/>
  <c r="M4" i="34" s="1"/>
  <c r="F11" i="42"/>
  <c r="F12" i="42"/>
  <c r="E11" i="42"/>
  <c r="E12" i="42"/>
  <c r="V21" i="4"/>
  <c r="U24" i="3"/>
  <c r="U30" i="3" s="1"/>
  <c r="O202" i="43"/>
  <c r="N203" i="43"/>
  <c r="N204" i="43" s="1"/>
  <c r="N205" i="43" s="1"/>
  <c r="AR36" i="1"/>
  <c r="AR35" i="1" s="1"/>
  <c r="X9" i="4" s="1"/>
  <c r="W124" i="3" s="1"/>
  <c r="W126" i="3" s="1"/>
  <c r="AR38" i="1"/>
  <c r="W51" i="3" s="1"/>
  <c r="V63" i="3"/>
  <c r="V19" i="3" s="1"/>
  <c r="W22" i="4" s="1"/>
  <c r="V61" i="3"/>
  <c r="V18" i="3" s="1"/>
  <c r="AT28" i="1"/>
  <c r="O185" i="43"/>
  <c r="N186" i="43"/>
  <c r="N187" i="43" s="1"/>
  <c r="N188" i="43" s="1"/>
  <c r="C57" i="26"/>
  <c r="AU37" i="1"/>
  <c r="AB21" i="3"/>
  <c r="AB24" i="4"/>
  <c r="AC19" i="4"/>
  <c r="L122" i="34"/>
  <c r="L126" i="34" s="1"/>
  <c r="L132" i="34" s="1"/>
  <c r="L121" i="34"/>
  <c r="L125" i="34" s="1"/>
  <c r="L131" i="34" s="1"/>
  <c r="P75" i="34"/>
  <c r="P96" i="34"/>
  <c r="N117" i="34"/>
  <c r="N136" i="34" s="1"/>
  <c r="N137" i="34" s="1"/>
  <c r="L17" i="34"/>
  <c r="L21" i="34" s="1"/>
  <c r="L27" i="34" s="1"/>
  <c r="L143" i="34"/>
  <c r="L16" i="34"/>
  <c r="L20" i="34" s="1"/>
  <c r="L26" i="34" s="1"/>
  <c r="K29" i="34"/>
  <c r="K3" i="34" s="1"/>
  <c r="O100" i="34"/>
  <c r="O104" i="34" s="1"/>
  <c r="O110" i="34" s="1"/>
  <c r="O101" i="34"/>
  <c r="O105" i="34" s="1"/>
  <c r="O111" i="34" s="1"/>
  <c r="N34" i="34"/>
  <c r="N35" i="34" s="1"/>
  <c r="N36" i="34" s="1"/>
  <c r="M17" i="34"/>
  <c r="M21" i="34" s="1"/>
  <c r="M27" i="34" s="1"/>
  <c r="M16" i="34"/>
  <c r="M20" i="34" s="1"/>
  <c r="M26" i="34" s="1"/>
  <c r="J122" i="34"/>
  <c r="J126" i="34" s="1"/>
  <c r="J132" i="34" s="1"/>
  <c r="J121" i="34"/>
  <c r="J125" i="34" s="1"/>
  <c r="J131" i="34" s="1"/>
  <c r="J143" i="34"/>
  <c r="O13" i="34"/>
  <c r="N59" i="34"/>
  <c r="N63" i="34" s="1"/>
  <c r="N69" i="34" s="1"/>
  <c r="N58" i="34"/>
  <c r="N62" i="34" s="1"/>
  <c r="N68" i="34" s="1"/>
  <c r="O33" i="34"/>
  <c r="O34" i="34" s="1"/>
  <c r="O35" i="34" s="1"/>
  <c r="O36" i="34" s="1"/>
  <c r="L71" i="34"/>
  <c r="L5" i="34" s="1"/>
  <c r="N14" i="34"/>
  <c r="M100" i="34"/>
  <c r="M104" i="34" s="1"/>
  <c r="M110" i="34" s="1"/>
  <c r="M101" i="34"/>
  <c r="M105" i="34" s="1"/>
  <c r="M111" i="34" s="1"/>
  <c r="P12" i="34"/>
  <c r="N92" i="34"/>
  <c r="N6" i="34" s="1"/>
  <c r="O76" i="34"/>
  <c r="O77" i="34" s="1"/>
  <c r="O78" i="34" s="1"/>
  <c r="L140" i="34"/>
  <c r="M122" i="34"/>
  <c r="M126" i="34" s="1"/>
  <c r="M132" i="34" s="1"/>
  <c r="M121" i="34"/>
  <c r="M125" i="34" s="1"/>
  <c r="M131" i="34" s="1"/>
  <c r="K120" i="34"/>
  <c r="K141" i="34"/>
  <c r="N113" i="34"/>
  <c r="N7" i="34" s="1"/>
  <c r="M140" i="34"/>
  <c r="O315" i="11"/>
  <c r="O9" i="11"/>
  <c r="P316" i="11"/>
  <c r="P320" i="11"/>
  <c r="Q317" i="11" s="1"/>
  <c r="R20" i="11"/>
  <c r="S17" i="11" s="1"/>
  <c r="R16" i="11"/>
  <c r="Q8" i="11"/>
  <c r="Q256" i="11"/>
  <c r="Q4" i="11"/>
  <c r="Q15" i="11"/>
  <c r="Q76" i="11"/>
  <c r="Q80" i="11"/>
  <c r="R77" i="11" s="1"/>
  <c r="R197" i="11"/>
  <c r="R201" i="11"/>
  <c r="S198" i="11" s="1"/>
  <c r="P5" i="11"/>
  <c r="P75" i="11"/>
  <c r="Q7" i="11"/>
  <c r="Q196" i="11"/>
  <c r="R257" i="11"/>
  <c r="R261" i="11"/>
  <c r="S258" i="11" s="1"/>
  <c r="O6" i="11"/>
  <c r="O54" i="34" s="1"/>
  <c r="O136" i="11"/>
  <c r="P137" i="11"/>
  <c r="P141" i="11"/>
  <c r="Q138" i="11" s="1"/>
  <c r="N10" i="11"/>
  <c r="N11" i="11" s="1"/>
  <c r="M143" i="34" l="1"/>
  <c r="U18" i="9"/>
  <c r="U24" i="9" s="1"/>
  <c r="U26" i="9" s="1"/>
  <c r="U30" i="9" s="1"/>
  <c r="U4" i="9" s="1"/>
  <c r="U12" i="9" s="1"/>
  <c r="Q44" i="42"/>
  <c r="Y48" i="9"/>
  <c r="X75" i="9"/>
  <c r="X76" i="9" s="1"/>
  <c r="X14" i="9"/>
  <c r="W15" i="9"/>
  <c r="Y65" i="9"/>
  <c r="X55" i="9"/>
  <c r="X56" i="9" s="1"/>
  <c r="Y46" i="9"/>
  <c r="W81" i="9"/>
  <c r="W7" i="9" s="1"/>
  <c r="V17" i="9"/>
  <c r="V23" i="9" s="1"/>
  <c r="V18" i="9"/>
  <c r="V24" i="9" s="1"/>
  <c r="X71" i="9"/>
  <c r="X6" i="9" s="1"/>
  <c r="X85" i="9"/>
  <c r="X86" i="9" s="1"/>
  <c r="Y49" i="9"/>
  <c r="W61" i="9"/>
  <c r="W5" i="9" s="1"/>
  <c r="W101" i="9"/>
  <c r="W9" i="9" s="1"/>
  <c r="W86" i="9"/>
  <c r="W91" i="9" s="1"/>
  <c r="W8" i="9" s="1"/>
  <c r="Y51" i="9"/>
  <c r="X105" i="9"/>
  <c r="X106" i="9" s="1"/>
  <c r="Y50" i="9"/>
  <c r="X95" i="9"/>
  <c r="X96" i="9" s="1"/>
  <c r="W111" i="9"/>
  <c r="W10" i="9" s="1"/>
  <c r="O113" i="34"/>
  <c r="O7" i="34" s="1"/>
  <c r="M59" i="34"/>
  <c r="M63" i="34" s="1"/>
  <c r="M69" i="34" s="1"/>
  <c r="M71" i="34" s="1"/>
  <c r="M5" i="34" s="1"/>
  <c r="G12" i="42"/>
  <c r="N71" i="34"/>
  <c r="N5" i="34" s="1"/>
  <c r="M134" i="34"/>
  <c r="M8" i="34" s="1"/>
  <c r="M113" i="34"/>
  <c r="M7" i="34" s="1"/>
  <c r="I3" i="42"/>
  <c r="H42" i="42"/>
  <c r="M29" i="34"/>
  <c r="M3" i="34" s="1"/>
  <c r="P185" i="43"/>
  <c r="O186" i="43"/>
  <c r="O187" i="43" s="1"/>
  <c r="O188" i="43" s="1"/>
  <c r="W21" i="4"/>
  <c r="V24" i="3"/>
  <c r="V30" i="3" s="1"/>
  <c r="AS36" i="1"/>
  <c r="AS35" i="1" s="1"/>
  <c r="Y9" i="4" s="1"/>
  <c r="X124" i="3" s="1"/>
  <c r="X126" i="3" s="1"/>
  <c r="AS38" i="1"/>
  <c r="X51" i="3" s="1"/>
  <c r="P202" i="43"/>
  <c r="O203" i="43"/>
  <c r="O204" i="43" s="1"/>
  <c r="O205" i="43" s="1"/>
  <c r="AU28" i="1"/>
  <c r="W61" i="3"/>
  <c r="W18" i="3" s="1"/>
  <c r="W63" i="3"/>
  <c r="W19" i="3" s="1"/>
  <c r="X22" i="4" s="1"/>
  <c r="AV37" i="1"/>
  <c r="AC24" i="4"/>
  <c r="O80" i="34"/>
  <c r="O84" i="34" s="1"/>
  <c r="O90" i="34" s="1"/>
  <c r="O79" i="34"/>
  <c r="O83" i="34" s="1"/>
  <c r="O89" i="34" s="1"/>
  <c r="P33" i="34"/>
  <c r="O117" i="34"/>
  <c r="K122" i="34"/>
  <c r="K126" i="34" s="1"/>
  <c r="K132" i="34" s="1"/>
  <c r="K121" i="34"/>
  <c r="K125" i="34" s="1"/>
  <c r="K131" i="34" s="1"/>
  <c r="K143" i="34"/>
  <c r="O136" i="34"/>
  <c r="O137" i="34" s="1"/>
  <c r="N118" i="34"/>
  <c r="P76" i="34"/>
  <c r="P77" i="34" s="1"/>
  <c r="P78" i="34" s="1"/>
  <c r="O37" i="34"/>
  <c r="O41" i="34" s="1"/>
  <c r="O47" i="34" s="1"/>
  <c r="O38" i="34"/>
  <c r="O42" i="34" s="1"/>
  <c r="O48" i="34" s="1"/>
  <c r="N38" i="34"/>
  <c r="N42" i="34" s="1"/>
  <c r="N48" i="34" s="1"/>
  <c r="N37" i="34"/>
  <c r="N41" i="34" s="1"/>
  <c r="N47" i="34" s="1"/>
  <c r="L29" i="34"/>
  <c r="L3" i="34" s="1"/>
  <c r="O55" i="34"/>
  <c r="O56" i="34" s="1"/>
  <c r="O57" i="34" s="1"/>
  <c r="Q75" i="34"/>
  <c r="Q76" i="34" s="1"/>
  <c r="Q12" i="34"/>
  <c r="P13" i="34"/>
  <c r="J134" i="34"/>
  <c r="J8" i="34" s="1"/>
  <c r="G78" i="43" s="1"/>
  <c r="P97" i="34"/>
  <c r="P98" i="34" s="1"/>
  <c r="P99" i="34" s="1"/>
  <c r="L134" i="34"/>
  <c r="L8" i="34" s="1"/>
  <c r="Q96" i="34"/>
  <c r="N15" i="34"/>
  <c r="O14" i="34"/>
  <c r="P9" i="11"/>
  <c r="P315" i="11"/>
  <c r="Q320" i="11"/>
  <c r="R317" i="11" s="1"/>
  <c r="Q316" i="11"/>
  <c r="R8" i="11"/>
  <c r="R256" i="11"/>
  <c r="R7" i="11"/>
  <c r="R196" i="11"/>
  <c r="R80" i="11"/>
  <c r="S77" i="11" s="1"/>
  <c r="R76" i="11"/>
  <c r="Q75" i="11"/>
  <c r="Q5" i="11"/>
  <c r="R4" i="11"/>
  <c r="R15" i="11"/>
  <c r="S257" i="11"/>
  <c r="S261" i="11"/>
  <c r="T258" i="11" s="1"/>
  <c r="S197" i="11"/>
  <c r="S201" i="11"/>
  <c r="T198" i="11" s="1"/>
  <c r="S16" i="11"/>
  <c r="S20" i="11"/>
  <c r="T17" i="11" s="1"/>
  <c r="Q137" i="11"/>
  <c r="Q141" i="11"/>
  <c r="R138" i="11" s="1"/>
  <c r="P136" i="11"/>
  <c r="P6" i="11"/>
  <c r="P54" i="34" s="1"/>
  <c r="P55" i="34" s="1"/>
  <c r="P56" i="34" s="1"/>
  <c r="P57" i="34" s="1"/>
  <c r="O10" i="11"/>
  <c r="O11" i="11" s="1"/>
  <c r="X101" i="9" l="1"/>
  <c r="X9" i="9" s="1"/>
  <c r="Y105" i="9"/>
  <c r="X15" i="9"/>
  <c r="Y14" i="9"/>
  <c r="Y15" i="9" s="1"/>
  <c r="Y95" i="9"/>
  <c r="Y85" i="9"/>
  <c r="Y55" i="9"/>
  <c r="Y56" i="9" s="1"/>
  <c r="X81" i="9"/>
  <c r="X7" i="9" s="1"/>
  <c r="X111" i="9"/>
  <c r="X10" i="9" s="1"/>
  <c r="R44" i="42"/>
  <c r="V26" i="9"/>
  <c r="V30" i="9" s="1"/>
  <c r="V4" i="9" s="1"/>
  <c r="V12" i="9" s="1"/>
  <c r="Y66" i="9"/>
  <c r="Y71" i="9" s="1"/>
  <c r="Y6" i="9" s="1"/>
  <c r="Y75" i="9"/>
  <c r="X91" i="9"/>
  <c r="X8" i="9" s="1"/>
  <c r="X61" i="9"/>
  <c r="X5" i="9" s="1"/>
  <c r="W17" i="9"/>
  <c r="W23" i="9" s="1"/>
  <c r="M9" i="34"/>
  <c r="M43" i="42" s="1"/>
  <c r="M42" i="42" s="1"/>
  <c r="K134" i="34"/>
  <c r="K8" i="34" s="1"/>
  <c r="H78" i="43" s="1"/>
  <c r="H9" i="42"/>
  <c r="H8" i="42"/>
  <c r="H5" i="42"/>
  <c r="H10" i="42"/>
  <c r="H6" i="42"/>
  <c r="H4" i="42"/>
  <c r="H7" i="42"/>
  <c r="I78" i="43"/>
  <c r="N50" i="34"/>
  <c r="N4" i="34" s="1"/>
  <c r="I12" i="42"/>
  <c r="I11" i="42"/>
  <c r="J78" i="43"/>
  <c r="AT36" i="1"/>
  <c r="AT35" i="1" s="1"/>
  <c r="Z9" i="4" s="1"/>
  <c r="Y124" i="3" s="1"/>
  <c r="Y126" i="3" s="1"/>
  <c r="AT38" i="1"/>
  <c r="Y51" i="3" s="1"/>
  <c r="X63" i="3"/>
  <c r="X19" i="3" s="1"/>
  <c r="Y22" i="4" s="1"/>
  <c r="X61" i="3"/>
  <c r="X18" i="3" s="1"/>
  <c r="AV28" i="1"/>
  <c r="Q185" i="43"/>
  <c r="P186" i="43"/>
  <c r="P187" i="43" s="1"/>
  <c r="P188" i="43" s="1"/>
  <c r="X21" i="4"/>
  <c r="W24" i="3"/>
  <c r="W30" i="3" s="1"/>
  <c r="Q202" i="43"/>
  <c r="P203" i="43"/>
  <c r="AW37" i="1"/>
  <c r="P101" i="34"/>
  <c r="P105" i="34" s="1"/>
  <c r="P111" i="34" s="1"/>
  <c r="P100" i="34"/>
  <c r="P104" i="34" s="1"/>
  <c r="P110" i="34" s="1"/>
  <c r="P80" i="34"/>
  <c r="P84" i="34" s="1"/>
  <c r="P90" i="34" s="1"/>
  <c r="P79" i="34"/>
  <c r="P83" i="34" s="1"/>
  <c r="P89" i="34" s="1"/>
  <c r="R12" i="34"/>
  <c r="Q97" i="34"/>
  <c r="Q98" i="34" s="1"/>
  <c r="Q99" i="34" s="1"/>
  <c r="P14" i="34"/>
  <c r="Q77" i="34"/>
  <c r="Q78" i="34" s="1"/>
  <c r="L9" i="34"/>
  <c r="L43" i="42" s="1"/>
  <c r="N119" i="34"/>
  <c r="N140" i="34"/>
  <c r="P34" i="34"/>
  <c r="P35" i="34" s="1"/>
  <c r="P36" i="34" s="1"/>
  <c r="Q33" i="34"/>
  <c r="Q34" i="34" s="1"/>
  <c r="Q35" i="34" s="1"/>
  <c r="Q36" i="34" s="1"/>
  <c r="R96" i="34"/>
  <c r="R97" i="34" s="1"/>
  <c r="R98" i="34" s="1"/>
  <c r="R99" i="34" s="1"/>
  <c r="P117" i="34"/>
  <c r="O15" i="34"/>
  <c r="J9" i="34"/>
  <c r="O50" i="34"/>
  <c r="O4" i="34" s="1"/>
  <c r="R75" i="34"/>
  <c r="R76" i="34" s="1"/>
  <c r="R77" i="34" s="1"/>
  <c r="R78" i="34" s="1"/>
  <c r="N16" i="34"/>
  <c r="N20" i="34" s="1"/>
  <c r="N26" i="34" s="1"/>
  <c r="N17" i="34"/>
  <c r="N21" i="34" s="1"/>
  <c r="N27" i="34" s="1"/>
  <c r="O59" i="34"/>
  <c r="O63" i="34" s="1"/>
  <c r="O69" i="34" s="1"/>
  <c r="O58" i="34"/>
  <c r="O62" i="34" s="1"/>
  <c r="O68" i="34" s="1"/>
  <c r="P59" i="34"/>
  <c r="P63" i="34" s="1"/>
  <c r="P69" i="34" s="1"/>
  <c r="P58" i="34"/>
  <c r="P62" i="34" s="1"/>
  <c r="P68" i="34" s="1"/>
  <c r="Q13" i="34"/>
  <c r="Q14" i="34" s="1"/>
  <c r="O118" i="34"/>
  <c r="O92" i="34"/>
  <c r="O6" i="34" s="1"/>
  <c r="Q9" i="11"/>
  <c r="Q315" i="11"/>
  <c r="R316" i="11"/>
  <c r="R320" i="11"/>
  <c r="S317" i="11" s="1"/>
  <c r="T16" i="11"/>
  <c r="T20" i="11"/>
  <c r="U17" i="11" s="1"/>
  <c r="T201" i="11"/>
  <c r="U198" i="11" s="1"/>
  <c r="T197" i="11"/>
  <c r="S8" i="11"/>
  <c r="S256" i="11"/>
  <c r="S76" i="11"/>
  <c r="S80" i="11"/>
  <c r="T77" i="11" s="1"/>
  <c r="S4" i="11"/>
  <c r="S15" i="11"/>
  <c r="S7" i="11"/>
  <c r="S196" i="11"/>
  <c r="T261" i="11"/>
  <c r="U258" i="11" s="1"/>
  <c r="T257" i="11"/>
  <c r="R75" i="11"/>
  <c r="R5" i="11"/>
  <c r="R137" i="11"/>
  <c r="R141" i="11"/>
  <c r="S138" i="11" s="1"/>
  <c r="P10" i="11"/>
  <c r="P11" i="11" s="1"/>
  <c r="Q136" i="11"/>
  <c r="Q6" i="11"/>
  <c r="Q54" i="34" s="1"/>
  <c r="Q55" i="34" s="1"/>
  <c r="Q56" i="34" s="1"/>
  <c r="Q57" i="34" s="1"/>
  <c r="W18" i="9" l="1"/>
  <c r="W24" i="9" s="1"/>
  <c r="Y17" i="9"/>
  <c r="Y23" i="9" s="1"/>
  <c r="Y86" i="9"/>
  <c r="Y91" i="9" s="1"/>
  <c r="Y8" i="9" s="1"/>
  <c r="X17" i="9"/>
  <c r="X23" i="9" s="1"/>
  <c r="W26" i="9"/>
  <c r="W30" i="9" s="1"/>
  <c r="W4" i="9" s="1"/>
  <c r="W12" i="9" s="1"/>
  <c r="Y76" i="9"/>
  <c r="Y81" i="9" s="1"/>
  <c r="Y7" i="9" s="1"/>
  <c r="Y96" i="9"/>
  <c r="Y101" i="9" s="1"/>
  <c r="Y9" i="9" s="1"/>
  <c r="Y106" i="9"/>
  <c r="Y111" i="9" s="1"/>
  <c r="Y10" i="9" s="1"/>
  <c r="Y61" i="9"/>
  <c r="Y5" i="9" s="1"/>
  <c r="S44" i="42"/>
  <c r="K9" i="34"/>
  <c r="K43" i="42" s="1"/>
  <c r="K42" i="42" s="1"/>
  <c r="P92" i="34"/>
  <c r="P6" i="34" s="1"/>
  <c r="H3" i="42"/>
  <c r="H11" i="42" s="1"/>
  <c r="N29" i="34"/>
  <c r="N3" i="34" s="1"/>
  <c r="O71" i="34"/>
  <c r="O5" i="34" s="1"/>
  <c r="J43" i="42"/>
  <c r="H12" i="42"/>
  <c r="L42" i="42"/>
  <c r="AN5" i="1"/>
  <c r="M10" i="42"/>
  <c r="M8" i="42"/>
  <c r="M9" i="42"/>
  <c r="M4" i="42"/>
  <c r="M6" i="42"/>
  <c r="M5" i="42"/>
  <c r="M7" i="42"/>
  <c r="R202" i="43"/>
  <c r="Q203" i="43"/>
  <c r="X24" i="3"/>
  <c r="X30" i="3" s="1"/>
  <c r="Y21" i="4"/>
  <c r="AU36" i="1"/>
  <c r="AU35" i="1" s="1"/>
  <c r="AA9" i="4" s="1"/>
  <c r="Z124" i="3" s="1"/>
  <c r="Z126" i="3" s="1"/>
  <c r="AU38" i="1"/>
  <c r="Z51" i="3" s="1"/>
  <c r="Y61" i="3"/>
  <c r="Y18" i="3" s="1"/>
  <c r="Y63" i="3"/>
  <c r="Y19" i="3" s="1"/>
  <c r="Z22" i="4" s="1"/>
  <c r="R185" i="43"/>
  <c r="Q186" i="43"/>
  <c r="Q187" i="43" s="1"/>
  <c r="Q188" i="43" s="1"/>
  <c r="P204" i="43"/>
  <c r="P205" i="43" s="1"/>
  <c r="AW28" i="1"/>
  <c r="P37" i="34"/>
  <c r="P41" i="34" s="1"/>
  <c r="P47" i="34" s="1"/>
  <c r="P38" i="34"/>
  <c r="P42" i="34" s="1"/>
  <c r="P48" i="34" s="1"/>
  <c r="S96" i="34"/>
  <c r="Q38" i="34"/>
  <c r="Q42" i="34" s="1"/>
  <c r="Q48" i="34" s="1"/>
  <c r="Q37" i="34"/>
  <c r="Q41" i="34" s="1"/>
  <c r="Q47" i="34" s="1"/>
  <c r="R33" i="34"/>
  <c r="R80" i="34"/>
  <c r="R84" i="34" s="1"/>
  <c r="R90" i="34" s="1"/>
  <c r="R79" i="34"/>
  <c r="R83" i="34" s="1"/>
  <c r="R89" i="34" s="1"/>
  <c r="Q79" i="34"/>
  <c r="Q83" i="34" s="1"/>
  <c r="Q89" i="34" s="1"/>
  <c r="Q80" i="34"/>
  <c r="Q84" i="34" s="1"/>
  <c r="Q90" i="34" s="1"/>
  <c r="P15" i="34"/>
  <c r="Q15" i="34"/>
  <c r="S75" i="34"/>
  <c r="S76" i="34" s="1"/>
  <c r="S77" i="34" s="1"/>
  <c r="S78" i="34" s="1"/>
  <c r="P71" i="34"/>
  <c r="P5" i="34" s="1"/>
  <c r="O16" i="34"/>
  <c r="O20" i="34" s="1"/>
  <c r="O26" i="34" s="1"/>
  <c r="O17" i="34"/>
  <c r="O21" i="34" s="1"/>
  <c r="O27" i="34" s="1"/>
  <c r="R101" i="34"/>
  <c r="R105" i="34" s="1"/>
  <c r="R111" i="34" s="1"/>
  <c r="R100" i="34"/>
  <c r="R104" i="34" s="1"/>
  <c r="R110" i="34" s="1"/>
  <c r="M10" i="34"/>
  <c r="R13" i="34"/>
  <c r="S12" i="34"/>
  <c r="O119" i="34"/>
  <c r="O140" i="34"/>
  <c r="P118" i="34"/>
  <c r="P119" i="34" s="1"/>
  <c r="P141" i="34" s="1"/>
  <c r="P136" i="34"/>
  <c r="P137" i="34" s="1"/>
  <c r="Q59" i="34"/>
  <c r="Q63" i="34" s="1"/>
  <c r="Q69" i="34" s="1"/>
  <c r="Q58" i="34"/>
  <c r="Q62" i="34" s="1"/>
  <c r="Q68" i="34" s="1"/>
  <c r="Q117" i="34"/>
  <c r="Q118" i="34" s="1"/>
  <c r="Q119" i="34" s="1"/>
  <c r="Q120" i="34" s="1"/>
  <c r="N141" i="34"/>
  <c r="N120" i="34"/>
  <c r="Q101" i="34"/>
  <c r="Q105" i="34" s="1"/>
  <c r="Q111" i="34" s="1"/>
  <c r="Q100" i="34"/>
  <c r="Q104" i="34" s="1"/>
  <c r="Q110" i="34" s="1"/>
  <c r="P113" i="34"/>
  <c r="P7" i="34" s="1"/>
  <c r="S316" i="11"/>
  <c r="S320" i="11"/>
  <c r="T317" i="11" s="1"/>
  <c r="R9" i="11"/>
  <c r="R315" i="11"/>
  <c r="T8" i="11"/>
  <c r="T256" i="11"/>
  <c r="T7" i="11"/>
  <c r="T196" i="11"/>
  <c r="U261" i="11"/>
  <c r="V258" i="11" s="1"/>
  <c r="U257" i="11"/>
  <c r="U197" i="11"/>
  <c r="U201" i="11"/>
  <c r="V198" i="11" s="1"/>
  <c r="T76" i="11"/>
  <c r="T80" i="11"/>
  <c r="U77" i="11" s="1"/>
  <c r="U16" i="11"/>
  <c r="U20" i="11"/>
  <c r="V17" i="11" s="1"/>
  <c r="S75" i="11"/>
  <c r="S5" i="11"/>
  <c r="T4" i="11"/>
  <c r="T15" i="11"/>
  <c r="S137" i="11"/>
  <c r="S141" i="11"/>
  <c r="T138" i="11" s="1"/>
  <c r="Q10" i="11"/>
  <c r="Q11" i="11" s="1"/>
  <c r="R6" i="11"/>
  <c r="R54" i="34" s="1"/>
  <c r="R55" i="34" s="1"/>
  <c r="R56" i="34" s="1"/>
  <c r="R57" i="34" s="1"/>
  <c r="R136" i="11"/>
  <c r="X18" i="9" l="1"/>
  <c r="X24" i="9" s="1"/>
  <c r="Y18" i="9"/>
  <c r="Y24" i="9" s="1"/>
  <c r="T44" i="42"/>
  <c r="X26" i="9"/>
  <c r="X30" i="9" s="1"/>
  <c r="X4" i="9" s="1"/>
  <c r="X12" i="9" s="1"/>
  <c r="Y26" i="9"/>
  <c r="Y30" i="9" s="1"/>
  <c r="Y4" i="9" s="1"/>
  <c r="Y12" i="9" s="1"/>
  <c r="L10" i="34"/>
  <c r="Q71" i="34"/>
  <c r="Q5" i="34" s="1"/>
  <c r="R113" i="34"/>
  <c r="R7" i="34" s="1"/>
  <c r="P140" i="34"/>
  <c r="Q113" i="34"/>
  <c r="Q7" i="34" s="1"/>
  <c r="R92" i="34"/>
  <c r="R6" i="34" s="1"/>
  <c r="J42" i="42"/>
  <c r="P50" i="34"/>
  <c r="P4" i="34" s="1"/>
  <c r="Q136" i="34"/>
  <c r="Q137" i="34" s="1"/>
  <c r="M3" i="42"/>
  <c r="M12" i="42" s="1"/>
  <c r="J45" i="43" s="1"/>
  <c r="J46" i="43" s="1"/>
  <c r="J49" i="43" s="1"/>
  <c r="J50" i="43" s="1"/>
  <c r="J51" i="43" s="1"/>
  <c r="AL5" i="1"/>
  <c r="K7" i="42"/>
  <c r="K4" i="42"/>
  <c r="K8" i="42"/>
  <c r="K10" i="42"/>
  <c r="K5" i="42"/>
  <c r="K6" i="42"/>
  <c r="K9" i="42"/>
  <c r="L7" i="42"/>
  <c r="L4" i="42"/>
  <c r="L8" i="42"/>
  <c r="L9" i="42"/>
  <c r="AM5" i="1"/>
  <c r="L10" i="42"/>
  <c r="L5" i="42"/>
  <c r="L6" i="42"/>
  <c r="AV36" i="1"/>
  <c r="AV35" i="1" s="1"/>
  <c r="AB9" i="4" s="1"/>
  <c r="AA124" i="3" s="1"/>
  <c r="AA126" i="3" s="1"/>
  <c r="AV38" i="1"/>
  <c r="AA51" i="3" s="1"/>
  <c r="Z61" i="3"/>
  <c r="Z18" i="3" s="1"/>
  <c r="Z63" i="3"/>
  <c r="Z19" i="3" s="1"/>
  <c r="AA22" i="4" s="1"/>
  <c r="Q204" i="43"/>
  <c r="Q205" i="43" s="1"/>
  <c r="AW36" i="1"/>
  <c r="AW35" i="1" s="1"/>
  <c r="AC9" i="4" s="1"/>
  <c r="AB124" i="3" s="1"/>
  <c r="AB126" i="3" s="1"/>
  <c r="AW38" i="1"/>
  <c r="AB51" i="3" s="1"/>
  <c r="S185" i="43"/>
  <c r="S186" i="43" s="1"/>
  <c r="S187" i="43" s="1"/>
  <c r="S188" i="43" s="1"/>
  <c r="T188" i="43" s="1"/>
  <c r="R186" i="43"/>
  <c r="R187" i="43" s="1"/>
  <c r="R188" i="43" s="1"/>
  <c r="Z21" i="4"/>
  <c r="Y24" i="3"/>
  <c r="Y30" i="3" s="1"/>
  <c r="S202" i="43"/>
  <c r="S203" i="43" s="1"/>
  <c r="R203" i="43"/>
  <c r="R204" i="43" s="1"/>
  <c r="R205" i="43" s="1"/>
  <c r="R58" i="34"/>
  <c r="R62" i="34" s="1"/>
  <c r="R68" i="34" s="1"/>
  <c r="R59" i="34"/>
  <c r="R63" i="34" s="1"/>
  <c r="R69" i="34" s="1"/>
  <c r="S33" i="34"/>
  <c r="S34" i="34" s="1"/>
  <c r="S35" i="34" s="1"/>
  <c r="S36" i="34" s="1"/>
  <c r="Q122" i="34"/>
  <c r="Q126" i="34" s="1"/>
  <c r="Q132" i="34" s="1"/>
  <c r="Q121" i="34"/>
  <c r="Q125" i="34" s="1"/>
  <c r="Q131" i="34" s="1"/>
  <c r="R14" i="34"/>
  <c r="O141" i="34"/>
  <c r="O120" i="34"/>
  <c r="O29" i="34"/>
  <c r="O3" i="34" s="1"/>
  <c r="Q92" i="34"/>
  <c r="Q6" i="34" s="1"/>
  <c r="S97" i="34"/>
  <c r="S98" i="34" s="1"/>
  <c r="S99" i="34" s="1"/>
  <c r="N122" i="34"/>
  <c r="N126" i="34" s="1"/>
  <c r="N132" i="34" s="1"/>
  <c r="N121" i="34"/>
  <c r="N125" i="34" s="1"/>
  <c r="N131" i="34" s="1"/>
  <c r="N143" i="34"/>
  <c r="S13" i="34"/>
  <c r="Q143" i="34"/>
  <c r="Q17" i="34"/>
  <c r="Q21" i="34" s="1"/>
  <c r="Q27" i="34" s="1"/>
  <c r="Q16" i="34"/>
  <c r="Q20" i="34" s="1"/>
  <c r="Q26" i="34" s="1"/>
  <c r="P16" i="34"/>
  <c r="P20" i="34" s="1"/>
  <c r="P26" i="34" s="1"/>
  <c r="P17" i="34"/>
  <c r="P21" i="34" s="1"/>
  <c r="P27" i="34" s="1"/>
  <c r="S79" i="34"/>
  <c r="S83" i="34" s="1"/>
  <c r="S89" i="34" s="1"/>
  <c r="S80" i="34"/>
  <c r="S84" i="34" s="1"/>
  <c r="S90" i="34" s="1"/>
  <c r="T12" i="34"/>
  <c r="T75" i="34"/>
  <c r="T96" i="34"/>
  <c r="R117" i="34"/>
  <c r="R118" i="34" s="1"/>
  <c r="R119" i="34" s="1"/>
  <c r="R120" i="34" s="1"/>
  <c r="P120" i="34"/>
  <c r="Q140" i="34"/>
  <c r="Q141" i="34"/>
  <c r="R34" i="34"/>
  <c r="R35" i="34" s="1"/>
  <c r="R36" i="34" s="1"/>
  <c r="Q50" i="34"/>
  <c r="Q4" i="34" s="1"/>
  <c r="T320" i="11"/>
  <c r="U317" i="11" s="1"/>
  <c r="T316" i="11"/>
  <c r="S9" i="11"/>
  <c r="S315" i="11"/>
  <c r="U4" i="11"/>
  <c r="U15" i="11"/>
  <c r="V197" i="11"/>
  <c r="V201" i="11"/>
  <c r="V20" i="11"/>
  <c r="V16" i="11"/>
  <c r="U256" i="11"/>
  <c r="U8" i="11"/>
  <c r="U76" i="11"/>
  <c r="U80" i="11"/>
  <c r="V77" i="11" s="1"/>
  <c r="U196" i="11"/>
  <c r="U7" i="11"/>
  <c r="V261" i="11"/>
  <c r="V257" i="11"/>
  <c r="T5" i="11"/>
  <c r="T75" i="11"/>
  <c r="T137" i="11"/>
  <c r="T141" i="11"/>
  <c r="U138" i="11" s="1"/>
  <c r="R10" i="11"/>
  <c r="R11" i="11" s="1"/>
  <c r="S6" i="11"/>
  <c r="S54" i="34" s="1"/>
  <c r="S136" i="11"/>
  <c r="V44" i="42" l="1"/>
  <c r="U44" i="42"/>
  <c r="Q29" i="34"/>
  <c r="Q3" i="34" s="1"/>
  <c r="R71" i="34"/>
  <c r="R5" i="34" s="1"/>
  <c r="AN15" i="1"/>
  <c r="AK5" i="1"/>
  <c r="J5" i="42"/>
  <c r="J4" i="42"/>
  <c r="J8" i="42"/>
  <c r="J7" i="42"/>
  <c r="J10" i="42"/>
  <c r="J6" i="42"/>
  <c r="J9" i="42"/>
  <c r="M11" i="42"/>
  <c r="J5" i="43" s="1"/>
  <c r="S92" i="34"/>
  <c r="S6" i="34" s="1"/>
  <c r="K3" i="42"/>
  <c r="AL15" i="1" s="1"/>
  <c r="M13" i="42"/>
  <c r="L3" i="42"/>
  <c r="C191" i="43"/>
  <c r="AA21" i="4"/>
  <c r="Z24" i="3"/>
  <c r="Z30" i="3" s="1"/>
  <c r="AA63" i="3"/>
  <c r="AA19" i="3" s="1"/>
  <c r="AB22" i="4" s="1"/>
  <c r="AA61" i="3"/>
  <c r="AA18" i="3" s="1"/>
  <c r="S204" i="43"/>
  <c r="S205" i="43" s="1"/>
  <c r="C190" i="43"/>
  <c r="D196" i="43"/>
  <c r="AB63" i="3"/>
  <c r="AB19" i="3" s="1"/>
  <c r="AB61" i="3"/>
  <c r="AB18" i="3" s="1"/>
  <c r="R38" i="34"/>
  <c r="R42" i="34" s="1"/>
  <c r="R48" i="34" s="1"/>
  <c r="R37" i="34"/>
  <c r="R41" i="34" s="1"/>
  <c r="R47" i="34" s="1"/>
  <c r="S101" i="34"/>
  <c r="S105" i="34" s="1"/>
  <c r="S111" i="34" s="1"/>
  <c r="S100" i="34"/>
  <c r="S104" i="34" s="1"/>
  <c r="S110" i="34" s="1"/>
  <c r="U75" i="34"/>
  <c r="U76" i="34" s="1"/>
  <c r="U77" i="34" s="1"/>
  <c r="U78" i="34" s="1"/>
  <c r="S55" i="34"/>
  <c r="S56" i="34" s="1"/>
  <c r="S57" i="34" s="1"/>
  <c r="T33" i="34"/>
  <c r="T34" i="34" s="1"/>
  <c r="T35" i="34" s="1"/>
  <c r="T36" i="34" s="1"/>
  <c r="U96" i="34"/>
  <c r="T97" i="34"/>
  <c r="T98" i="34" s="1"/>
  <c r="T99" i="34" s="1"/>
  <c r="T13" i="34"/>
  <c r="R136" i="34"/>
  <c r="R137" i="34" s="1"/>
  <c r="R140" i="34"/>
  <c r="S37" i="34"/>
  <c r="S41" i="34" s="1"/>
  <c r="S47" i="34" s="1"/>
  <c r="S38" i="34"/>
  <c r="S42" i="34" s="1"/>
  <c r="S48" i="34" s="1"/>
  <c r="P122" i="34"/>
  <c r="P126" i="34" s="1"/>
  <c r="P132" i="34" s="1"/>
  <c r="P121" i="34"/>
  <c r="P125" i="34" s="1"/>
  <c r="P131" i="34" s="1"/>
  <c r="S14" i="34"/>
  <c r="U12" i="34"/>
  <c r="R15" i="34"/>
  <c r="R141" i="34"/>
  <c r="P143" i="34"/>
  <c r="S117" i="34"/>
  <c r="S136" i="34" s="1"/>
  <c r="S137" i="34" s="1"/>
  <c r="R122" i="34"/>
  <c r="R126" i="34" s="1"/>
  <c r="R132" i="34" s="1"/>
  <c r="R121" i="34"/>
  <c r="R125" i="34" s="1"/>
  <c r="R131" i="34" s="1"/>
  <c r="T76" i="34"/>
  <c r="T77" i="34" s="1"/>
  <c r="T78" i="34" s="1"/>
  <c r="P29" i="34"/>
  <c r="P3" i="34" s="1"/>
  <c r="N134" i="34"/>
  <c r="N8" i="34" s="1"/>
  <c r="K78" i="43" s="1"/>
  <c r="O122" i="34"/>
  <c r="O126" i="34" s="1"/>
  <c r="O132" i="34" s="1"/>
  <c r="O121" i="34"/>
  <c r="O125" i="34" s="1"/>
  <c r="O131" i="34" s="1"/>
  <c r="O143" i="34"/>
  <c r="Q134" i="34"/>
  <c r="Q8" i="34" s="1"/>
  <c r="U316" i="11"/>
  <c r="U320" i="11"/>
  <c r="V317" i="11" s="1"/>
  <c r="T9" i="11"/>
  <c r="T315" i="11"/>
  <c r="U5" i="11"/>
  <c r="U75" i="11"/>
  <c r="V7" i="11"/>
  <c r="V196" i="11"/>
  <c r="V256" i="11"/>
  <c r="V8" i="11"/>
  <c r="V76" i="11"/>
  <c r="V80" i="11"/>
  <c r="V15" i="11"/>
  <c r="V4" i="11"/>
  <c r="S10" i="11"/>
  <c r="S11" i="11" s="1"/>
  <c r="U141" i="11"/>
  <c r="V138" i="11" s="1"/>
  <c r="U137" i="11"/>
  <c r="T136" i="11"/>
  <c r="T6" i="11"/>
  <c r="T54" i="34" s="1"/>
  <c r="T55" i="34" s="1"/>
  <c r="T56" i="34" s="1"/>
  <c r="T57" i="34" s="1"/>
  <c r="J6" i="43" l="1"/>
  <c r="J9" i="43" s="1"/>
  <c r="J10" i="43" s="1"/>
  <c r="J11" i="43" s="1"/>
  <c r="J32" i="43"/>
  <c r="J33" i="43" s="1"/>
  <c r="T205" i="43"/>
  <c r="C214" i="43" s="1"/>
  <c r="C8" i="26"/>
  <c r="R134" i="34"/>
  <c r="R8" i="34" s="1"/>
  <c r="P134" i="34"/>
  <c r="P8" i="34" s="1"/>
  <c r="M78" i="43" s="1"/>
  <c r="S113" i="34"/>
  <c r="S7" i="34" s="1"/>
  <c r="Q9" i="34"/>
  <c r="Q43" i="42" s="1"/>
  <c r="Q42" i="42" s="1"/>
  <c r="K11" i="42"/>
  <c r="H5" i="43" s="1"/>
  <c r="O134" i="34"/>
  <c r="O8" i="34" s="1"/>
  <c r="L78" i="43" s="1"/>
  <c r="K12" i="42"/>
  <c r="H45" i="43" s="1"/>
  <c r="H46" i="43" s="1"/>
  <c r="H49" i="43" s="1"/>
  <c r="H51" i="43" s="1"/>
  <c r="K13" i="42"/>
  <c r="AL14" i="1"/>
  <c r="AL21" i="1" s="1"/>
  <c r="AL60" i="1" s="1"/>
  <c r="J3" i="42"/>
  <c r="S50" i="34"/>
  <c r="S4" i="34" s="1"/>
  <c r="N78" i="43"/>
  <c r="AM15" i="1"/>
  <c r="AM14" i="1" s="1"/>
  <c r="AM21" i="1" s="1"/>
  <c r="AM60" i="1" s="1"/>
  <c r="L13" i="42"/>
  <c r="L11" i="42"/>
  <c r="I5" i="43" s="1"/>
  <c r="I32" i="43" s="1"/>
  <c r="I33" i="43" s="1"/>
  <c r="L12" i="42"/>
  <c r="I45" i="43" s="1"/>
  <c r="I46" i="43" s="1"/>
  <c r="I49" i="43" s="1"/>
  <c r="I50" i="43" s="1"/>
  <c r="I51" i="43" s="1"/>
  <c r="AC22" i="4"/>
  <c r="AB21" i="4"/>
  <c r="AA24" i="3"/>
  <c r="AA30" i="3" s="1"/>
  <c r="AC21" i="4"/>
  <c r="AB24" i="3"/>
  <c r="AB30" i="3" s="1"/>
  <c r="C193" i="43"/>
  <c r="E194" i="43"/>
  <c r="O50" i="3"/>
  <c r="AF23" i="1"/>
  <c r="AF39" i="1" s="1"/>
  <c r="AF43" i="1" s="1"/>
  <c r="AF46" i="1" s="1"/>
  <c r="T101" i="34"/>
  <c r="T105" i="34" s="1"/>
  <c r="T111" i="34" s="1"/>
  <c r="T100" i="34"/>
  <c r="T104" i="34" s="1"/>
  <c r="T110" i="34" s="1"/>
  <c r="S59" i="34"/>
  <c r="S63" i="34" s="1"/>
  <c r="S69" i="34" s="1"/>
  <c r="S58" i="34"/>
  <c r="S62" i="34" s="1"/>
  <c r="S68" i="34" s="1"/>
  <c r="T80" i="34"/>
  <c r="T84" i="34" s="1"/>
  <c r="T90" i="34" s="1"/>
  <c r="T79" i="34"/>
  <c r="T83" i="34" s="1"/>
  <c r="T89" i="34" s="1"/>
  <c r="N9" i="34"/>
  <c r="N43" i="42" s="1"/>
  <c r="R17" i="34"/>
  <c r="R21" i="34" s="1"/>
  <c r="R27" i="34" s="1"/>
  <c r="R16" i="34"/>
  <c r="R20" i="34" s="1"/>
  <c r="R26" i="34" s="1"/>
  <c r="R143" i="34"/>
  <c r="U13" i="34"/>
  <c r="S15" i="34"/>
  <c r="T38" i="34"/>
  <c r="T42" i="34" s="1"/>
  <c r="T48" i="34" s="1"/>
  <c r="T37" i="34"/>
  <c r="T41" i="34" s="1"/>
  <c r="T47" i="34" s="1"/>
  <c r="V96" i="34"/>
  <c r="V97" i="34" s="1"/>
  <c r="V98" i="34" s="1"/>
  <c r="V99" i="34" s="1"/>
  <c r="V75" i="34"/>
  <c r="U80" i="34"/>
  <c r="U84" i="34" s="1"/>
  <c r="U90" i="34" s="1"/>
  <c r="U79" i="34"/>
  <c r="U83" i="34" s="1"/>
  <c r="U89" i="34" s="1"/>
  <c r="V12" i="34"/>
  <c r="T59" i="34"/>
  <c r="T63" i="34" s="1"/>
  <c r="T69" i="34" s="1"/>
  <c r="T58" i="34"/>
  <c r="T62" i="34" s="1"/>
  <c r="T68" i="34" s="1"/>
  <c r="S118" i="34"/>
  <c r="T14" i="34"/>
  <c r="U97" i="34"/>
  <c r="U98" i="34" s="1"/>
  <c r="U99" i="34" s="1"/>
  <c r="U33" i="34"/>
  <c r="U34" i="34" s="1"/>
  <c r="U35" i="34" s="1"/>
  <c r="U36" i="34" s="1"/>
  <c r="R50" i="34"/>
  <c r="R4" i="34" s="1"/>
  <c r="T117" i="34"/>
  <c r="T136" i="34" s="1"/>
  <c r="T137" i="34" s="1"/>
  <c r="V320" i="11"/>
  <c r="V316" i="11"/>
  <c r="U315" i="11"/>
  <c r="U9" i="11"/>
  <c r="V75" i="11"/>
  <c r="V5" i="11"/>
  <c r="V141" i="11"/>
  <c r="V137" i="11"/>
  <c r="T10" i="11"/>
  <c r="T11" i="11" s="1"/>
  <c r="U6" i="11"/>
  <c r="U54" i="34" s="1"/>
  <c r="U55" i="34" s="1"/>
  <c r="U56" i="34" s="1"/>
  <c r="U57" i="34" s="1"/>
  <c r="U136" i="11"/>
  <c r="I34" i="43" l="1"/>
  <c r="H6" i="43"/>
  <c r="H9" i="43" s="1"/>
  <c r="H11" i="43" s="1"/>
  <c r="H278" i="43" s="1"/>
  <c r="H32" i="43"/>
  <c r="J34" i="43"/>
  <c r="D219" i="43"/>
  <c r="C213" i="43"/>
  <c r="P9" i="34"/>
  <c r="P43" i="42" s="1"/>
  <c r="P42" i="42" s="1"/>
  <c r="AL59" i="1"/>
  <c r="AM59" i="1"/>
  <c r="O9" i="34"/>
  <c r="O43" i="42" s="1"/>
  <c r="O42" i="42" s="1"/>
  <c r="R29" i="34"/>
  <c r="R3" i="34" s="1"/>
  <c r="R9" i="34" s="1"/>
  <c r="R43" i="42" s="1"/>
  <c r="T92" i="34"/>
  <c r="T6" i="34" s="1"/>
  <c r="T113" i="34"/>
  <c r="T7" i="34" s="1"/>
  <c r="Q48" i="3"/>
  <c r="S71" i="34"/>
  <c r="S5" i="34" s="1"/>
  <c r="O78" i="43"/>
  <c r="R48" i="3"/>
  <c r="AK15" i="1"/>
  <c r="AK14" i="1" s="1"/>
  <c r="AK21" i="1" s="1"/>
  <c r="J11" i="42"/>
  <c r="J12" i="42"/>
  <c r="G46" i="43" s="1"/>
  <c r="G49" i="43" s="1"/>
  <c r="G51" i="43" s="1"/>
  <c r="Q9" i="42"/>
  <c r="Q10" i="42"/>
  <c r="Q4" i="42"/>
  <c r="Q5" i="42"/>
  <c r="AR5" i="1"/>
  <c r="Q6" i="42"/>
  <c r="Q7" i="42"/>
  <c r="Q8" i="42"/>
  <c r="I6" i="43"/>
  <c r="AM22" i="1" s="1"/>
  <c r="N42" i="42"/>
  <c r="C194" i="43"/>
  <c r="C216" i="43"/>
  <c r="E217" i="43"/>
  <c r="P6" i="4"/>
  <c r="P26" i="4" s="1"/>
  <c r="AF50" i="1"/>
  <c r="U101" i="34"/>
  <c r="U105" i="34" s="1"/>
  <c r="U111" i="34" s="1"/>
  <c r="U100" i="34"/>
  <c r="U104" i="34" s="1"/>
  <c r="U110" i="34" s="1"/>
  <c r="N10" i="34"/>
  <c r="U59" i="34"/>
  <c r="U63" i="34" s="1"/>
  <c r="U69" i="34" s="1"/>
  <c r="U58" i="34"/>
  <c r="U62" i="34" s="1"/>
  <c r="U68" i="34" s="1"/>
  <c r="V33" i="34"/>
  <c r="S119" i="34"/>
  <c r="S140" i="34"/>
  <c r="V13" i="34"/>
  <c r="V101" i="34"/>
  <c r="V105" i="34" s="1"/>
  <c r="V111" i="34" s="1"/>
  <c r="V100" i="34"/>
  <c r="V104" i="34" s="1"/>
  <c r="V110" i="34" s="1"/>
  <c r="S17" i="34"/>
  <c r="S21" i="34" s="1"/>
  <c r="S27" i="34" s="1"/>
  <c r="S16" i="34"/>
  <c r="S20" i="34" s="1"/>
  <c r="S26" i="34" s="1"/>
  <c r="T118" i="34"/>
  <c r="U38" i="34"/>
  <c r="U42" i="34" s="1"/>
  <c r="U48" i="34" s="1"/>
  <c r="U37" i="34"/>
  <c r="U41" i="34" s="1"/>
  <c r="U47" i="34" s="1"/>
  <c r="T15" i="34"/>
  <c r="U117" i="34"/>
  <c r="U118" i="34" s="1"/>
  <c r="U119" i="34" s="1"/>
  <c r="U120" i="34" s="1"/>
  <c r="T71" i="34"/>
  <c r="T5" i="34" s="1"/>
  <c r="U92" i="34"/>
  <c r="U6" i="34" s="1"/>
  <c r="V76" i="34"/>
  <c r="V77" i="34" s="1"/>
  <c r="V78" i="34" s="1"/>
  <c r="T50" i="34"/>
  <c r="T4" i="34" s="1"/>
  <c r="U14" i="34"/>
  <c r="V315" i="11"/>
  <c r="V9" i="11"/>
  <c r="V6" i="11"/>
  <c r="V54" i="34" s="1"/>
  <c r="V55" i="34" s="1"/>
  <c r="V56" i="34" s="1"/>
  <c r="V57" i="34" s="1"/>
  <c r="V136" i="11"/>
  <c r="U10" i="11"/>
  <c r="U11" i="11" s="1"/>
  <c r="H33" i="43" l="1"/>
  <c r="H34" i="43" s="1"/>
  <c r="AL22" i="1"/>
  <c r="Q57" i="3"/>
  <c r="Q8" i="3" s="1"/>
  <c r="R70" i="3"/>
  <c r="R57" i="3"/>
  <c r="R8" i="3" s="1"/>
  <c r="Q10" i="34"/>
  <c r="P10" i="34"/>
  <c r="O10" i="34"/>
  <c r="Q70" i="3"/>
  <c r="V113" i="34"/>
  <c r="V7" i="34" s="1"/>
  <c r="P48" i="3"/>
  <c r="R42" i="42"/>
  <c r="S29" i="34"/>
  <c r="S3" i="34" s="1"/>
  <c r="U71" i="34"/>
  <c r="U5" i="34" s="1"/>
  <c r="U113" i="34"/>
  <c r="U7" i="34" s="1"/>
  <c r="Q3" i="42"/>
  <c r="G6" i="43"/>
  <c r="AK22" i="1" s="1"/>
  <c r="AO5" i="1"/>
  <c r="N4" i="42"/>
  <c r="N10" i="42"/>
  <c r="N6" i="42"/>
  <c r="N9" i="42"/>
  <c r="N7" i="42"/>
  <c r="N5" i="42"/>
  <c r="N8" i="42"/>
  <c r="P4" i="42"/>
  <c r="P10" i="42"/>
  <c r="P9" i="42"/>
  <c r="P5" i="42"/>
  <c r="P6" i="42"/>
  <c r="AQ5" i="1"/>
  <c r="P7" i="42"/>
  <c r="P8" i="42"/>
  <c r="AP5" i="1"/>
  <c r="O10" i="42"/>
  <c r="O9" i="42"/>
  <c r="O4" i="42"/>
  <c r="O5" i="42"/>
  <c r="O6" i="42"/>
  <c r="O8" i="42"/>
  <c r="O7" i="42"/>
  <c r="I9" i="43"/>
  <c r="C217" i="43"/>
  <c r="AF74" i="1"/>
  <c r="AF53" i="1"/>
  <c r="O53" i="3"/>
  <c r="O54" i="3"/>
  <c r="P43" i="4"/>
  <c r="V79" i="34"/>
  <c r="V83" i="34" s="1"/>
  <c r="V89" i="34" s="1"/>
  <c r="V80" i="34"/>
  <c r="V84" i="34" s="1"/>
  <c r="V90" i="34" s="1"/>
  <c r="U50" i="34"/>
  <c r="U4" i="34" s="1"/>
  <c r="S141" i="34"/>
  <c r="S120" i="34"/>
  <c r="U136" i="34"/>
  <c r="U137" i="34" s="1"/>
  <c r="V59" i="34"/>
  <c r="V63" i="34" s="1"/>
  <c r="V69" i="34" s="1"/>
  <c r="V58" i="34"/>
  <c r="V62" i="34" s="1"/>
  <c r="V68" i="34" s="1"/>
  <c r="U122" i="34"/>
  <c r="U126" i="34" s="1"/>
  <c r="U132" i="34" s="1"/>
  <c r="U121" i="34"/>
  <c r="U125" i="34" s="1"/>
  <c r="U131" i="34" s="1"/>
  <c r="V14" i="34"/>
  <c r="V117" i="34"/>
  <c r="V136" i="34" s="1"/>
  <c r="V137" i="34" s="1"/>
  <c r="U140" i="34"/>
  <c r="T16" i="34"/>
  <c r="T20" i="34" s="1"/>
  <c r="T26" i="34" s="1"/>
  <c r="T17" i="34"/>
  <c r="T21" i="34" s="1"/>
  <c r="T27" i="34" s="1"/>
  <c r="T119" i="34"/>
  <c r="T140" i="34"/>
  <c r="V34" i="34"/>
  <c r="V35" i="34" s="1"/>
  <c r="V36" i="34" s="1"/>
  <c r="U141" i="34"/>
  <c r="U15" i="34"/>
  <c r="R10" i="34"/>
  <c r="V10" i="11"/>
  <c r="V11" i="11" s="1"/>
  <c r="S17" i="4" l="1"/>
  <c r="S16" i="4" s="1"/>
  <c r="I10" i="43"/>
  <c r="I11" i="43" s="1"/>
  <c r="I278" i="43" s="1"/>
  <c r="U134" i="34"/>
  <c r="U8" i="34" s="1"/>
  <c r="P50" i="3"/>
  <c r="AK23" i="1"/>
  <c r="AK39" i="1" s="1"/>
  <c r="AK43" i="1" s="1"/>
  <c r="AK46" i="1" s="1"/>
  <c r="T29" i="34"/>
  <c r="T3" i="34" s="1"/>
  <c r="R78" i="43"/>
  <c r="AR15" i="1"/>
  <c r="Q13" i="42"/>
  <c r="Q11" i="42"/>
  <c r="N5" i="43" s="1"/>
  <c r="N32" i="43" s="1"/>
  <c r="N33" i="43" s="1"/>
  <c r="Q12" i="42"/>
  <c r="N45" i="43" s="1"/>
  <c r="P8" i="3"/>
  <c r="P70" i="3"/>
  <c r="G9" i="43"/>
  <c r="G11" i="43" s="1"/>
  <c r="G278" i="43" s="1"/>
  <c r="AS5" i="1"/>
  <c r="R4" i="42"/>
  <c r="R7" i="42"/>
  <c r="R6" i="42"/>
  <c r="R10" i="42"/>
  <c r="R5" i="42"/>
  <c r="R9" i="42"/>
  <c r="R8" i="42"/>
  <c r="O3" i="42"/>
  <c r="N3" i="42"/>
  <c r="P3" i="42"/>
  <c r="R50" i="3"/>
  <c r="AM23" i="1"/>
  <c r="AM39" i="1" s="1"/>
  <c r="AM43" i="1" s="1"/>
  <c r="Q50" i="3"/>
  <c r="AL23" i="1"/>
  <c r="AL39" i="1" s="1"/>
  <c r="AL43" i="1" s="1"/>
  <c r="AL46" i="1" s="1"/>
  <c r="V38" i="34"/>
  <c r="V42" i="34" s="1"/>
  <c r="V48" i="34" s="1"/>
  <c r="V37" i="34"/>
  <c r="V41" i="34" s="1"/>
  <c r="V47" i="34" s="1"/>
  <c r="T120" i="34"/>
  <c r="T141" i="34"/>
  <c r="V118" i="34"/>
  <c r="V119" i="34" s="1"/>
  <c r="V120" i="34" s="1"/>
  <c r="S122" i="34"/>
  <c r="S126" i="34" s="1"/>
  <c r="S132" i="34" s="1"/>
  <c r="S121" i="34"/>
  <c r="S125" i="34" s="1"/>
  <c r="S131" i="34" s="1"/>
  <c r="S143" i="34"/>
  <c r="V92" i="34"/>
  <c r="V6" i="34" s="1"/>
  <c r="V15" i="34"/>
  <c r="V71" i="34"/>
  <c r="V5" i="34" s="1"/>
  <c r="U143" i="34"/>
  <c r="U17" i="34"/>
  <c r="U21" i="34" s="1"/>
  <c r="U27" i="34" s="1"/>
  <c r="U16" i="34"/>
  <c r="U20" i="34" s="1"/>
  <c r="U26" i="34" s="1"/>
  <c r="N34" i="43" l="1"/>
  <c r="S134" i="34"/>
  <c r="S8" i="34" s="1"/>
  <c r="P78" i="43" s="1"/>
  <c r="V50" i="34"/>
  <c r="V4" i="34" s="1"/>
  <c r="R3" i="42"/>
  <c r="R12" i="42" s="1"/>
  <c r="O45" i="43" s="1"/>
  <c r="O46" i="43" s="1"/>
  <c r="O49" i="43" s="1"/>
  <c r="O50" i="43" s="1"/>
  <c r="O51" i="43" s="1"/>
  <c r="R17" i="4"/>
  <c r="R16" i="4" s="1"/>
  <c r="Q17" i="4"/>
  <c r="Q16" i="4" s="1"/>
  <c r="V141" i="34"/>
  <c r="N46" i="43"/>
  <c r="N49" i="43" s="1"/>
  <c r="N50" i="43" s="1"/>
  <c r="N51" i="43" s="1"/>
  <c r="N6" i="43"/>
  <c r="N9" i="43" s="1"/>
  <c r="Q6" i="4"/>
  <c r="AK50" i="1"/>
  <c r="AQ15" i="1"/>
  <c r="P13" i="42"/>
  <c r="P11" i="42"/>
  <c r="M5" i="43" s="1"/>
  <c r="M32" i="43" s="1"/>
  <c r="M33" i="43" s="1"/>
  <c r="P12" i="42"/>
  <c r="M45" i="43" s="1"/>
  <c r="M46" i="43" s="1"/>
  <c r="M49" i="43" s="1"/>
  <c r="M50" i="43" s="1"/>
  <c r="M51" i="43" s="1"/>
  <c r="AO15" i="1"/>
  <c r="N13" i="42"/>
  <c r="N11" i="42"/>
  <c r="K5" i="43" s="1"/>
  <c r="K32" i="43" s="1"/>
  <c r="K33" i="43" s="1"/>
  <c r="N12" i="42"/>
  <c r="K45" i="43" s="1"/>
  <c r="K46" i="43" s="1"/>
  <c r="K49" i="43" s="1"/>
  <c r="K50" i="43" s="1"/>
  <c r="K51" i="43" s="1"/>
  <c r="AP15" i="1"/>
  <c r="O13" i="42"/>
  <c r="O11" i="42"/>
  <c r="L5" i="43" s="1"/>
  <c r="L32" i="43" s="1"/>
  <c r="L33" i="43" s="1"/>
  <c r="O12" i="42"/>
  <c r="L45" i="43" s="1"/>
  <c r="AM44" i="1"/>
  <c r="R52" i="3" s="1"/>
  <c r="R6" i="4"/>
  <c r="AL50" i="1"/>
  <c r="V121" i="34"/>
  <c r="V125" i="34" s="1"/>
  <c r="V131" i="34" s="1"/>
  <c r="V122" i="34"/>
  <c r="V126" i="34" s="1"/>
  <c r="V132" i="34" s="1"/>
  <c r="U29" i="34"/>
  <c r="U3" i="34" s="1"/>
  <c r="U9" i="34" s="1"/>
  <c r="U43" i="42" s="1"/>
  <c r="V16" i="34"/>
  <c r="V20" i="34" s="1"/>
  <c r="V26" i="34" s="1"/>
  <c r="V143" i="34"/>
  <c r="V17" i="34"/>
  <c r="V21" i="34" s="1"/>
  <c r="V27" i="34" s="1"/>
  <c r="V140" i="34"/>
  <c r="T121" i="34"/>
  <c r="T125" i="34" s="1"/>
  <c r="T131" i="34" s="1"/>
  <c r="T122" i="34"/>
  <c r="T126" i="34" s="1"/>
  <c r="T132" i="34" s="1"/>
  <c r="T143" i="34"/>
  <c r="M34" i="43" l="1"/>
  <c r="K34" i="43"/>
  <c r="L34" i="43"/>
  <c r="R26" i="4"/>
  <c r="R43" i="4" s="1"/>
  <c r="Q26" i="4"/>
  <c r="N10" i="43"/>
  <c r="N11" i="43" s="1"/>
  <c r="S9" i="34"/>
  <c r="S43" i="42" s="1"/>
  <c r="S42" i="42" s="1"/>
  <c r="R11" i="42"/>
  <c r="O5" i="43" s="1"/>
  <c r="AS15" i="1"/>
  <c r="R13" i="42"/>
  <c r="AK74" i="1"/>
  <c r="AK52" i="1"/>
  <c r="AK53" i="1" s="1"/>
  <c r="P53" i="3"/>
  <c r="U42" i="42"/>
  <c r="L6" i="43"/>
  <c r="L9" i="43" s="1"/>
  <c r="K6" i="43"/>
  <c r="K9" i="43" s="1"/>
  <c r="M6" i="43"/>
  <c r="M9" i="43" s="1"/>
  <c r="L46" i="43"/>
  <c r="L49" i="43" s="1"/>
  <c r="L50" i="43" s="1"/>
  <c r="L51" i="43" s="1"/>
  <c r="AM46" i="1"/>
  <c r="AL74" i="1"/>
  <c r="Q53" i="3"/>
  <c r="AL52" i="1"/>
  <c r="AL53" i="1" s="1"/>
  <c r="T134" i="34"/>
  <c r="T8" i="34" s="1"/>
  <c r="Q78" i="43" s="1"/>
  <c r="V29" i="34"/>
  <c r="V3" i="34" s="1"/>
  <c r="V134" i="34"/>
  <c r="V8" i="34" s="1"/>
  <c r="O6" i="43" l="1"/>
  <c r="O9" i="43" s="1"/>
  <c r="O32" i="43"/>
  <c r="O33" i="43" s="1"/>
  <c r="Q54" i="3"/>
  <c r="P54" i="3"/>
  <c r="G246" i="43"/>
  <c r="G248" i="43" s="1"/>
  <c r="C248" i="43" s="1"/>
  <c r="Q43" i="4"/>
  <c r="L10" i="43"/>
  <c r="L11" i="43" s="1"/>
  <c r="M10" i="43"/>
  <c r="M11" i="43" s="1"/>
  <c r="K10" i="43"/>
  <c r="K11" i="43" s="1"/>
  <c r="O10" i="43"/>
  <c r="O11" i="43" s="1"/>
  <c r="S10" i="34"/>
  <c r="S78" i="43"/>
  <c r="AV5" i="1"/>
  <c r="U10" i="42"/>
  <c r="U6" i="42"/>
  <c r="U5" i="42"/>
  <c r="U4" i="42"/>
  <c r="U7" i="42"/>
  <c r="U9" i="42"/>
  <c r="U8" i="42"/>
  <c r="AT5" i="1"/>
  <c r="S4" i="42"/>
  <c r="S10" i="42"/>
  <c r="S5" i="42"/>
  <c r="S6" i="42"/>
  <c r="S9" i="42"/>
  <c r="S7" i="42"/>
  <c r="S8" i="42"/>
  <c r="S6" i="4"/>
  <c r="S26" i="4" s="1"/>
  <c r="AM50" i="1"/>
  <c r="T9" i="34"/>
  <c r="T43" i="42" s="1"/>
  <c r="V9" i="34"/>
  <c r="V43" i="42" s="1"/>
  <c r="O34" i="43" l="1"/>
  <c r="S3" i="42"/>
  <c r="T42" i="42"/>
  <c r="C6" i="26"/>
  <c r="U3" i="42"/>
  <c r="V42" i="42"/>
  <c r="R54" i="3"/>
  <c r="S43" i="4"/>
  <c r="R53" i="3"/>
  <c r="AM52" i="1"/>
  <c r="AM53" i="1" s="1"/>
  <c r="AM74" i="1"/>
  <c r="T10" i="34"/>
  <c r="U10" i="34"/>
  <c r="V10" i="34"/>
  <c r="AV15" i="1" l="1"/>
  <c r="U13" i="42"/>
  <c r="U11" i="42"/>
  <c r="R5" i="43" s="1"/>
  <c r="R32" i="43" s="1"/>
  <c r="R33" i="43" s="1"/>
  <c r="U12" i="42"/>
  <c r="R45" i="43" s="1"/>
  <c r="R46" i="43" s="1"/>
  <c r="R49" i="43" s="1"/>
  <c r="R50" i="43" s="1"/>
  <c r="R51" i="43" s="1"/>
  <c r="AT15" i="1"/>
  <c r="S13" i="42"/>
  <c r="S11" i="42"/>
  <c r="P5" i="43" s="1"/>
  <c r="P32" i="43" s="1"/>
  <c r="P33" i="43" s="1"/>
  <c r="S12" i="42"/>
  <c r="P45" i="43" s="1"/>
  <c r="AW5" i="1"/>
  <c r="V4" i="42"/>
  <c r="V5" i="42"/>
  <c r="V10" i="42"/>
  <c r="V6" i="42"/>
  <c r="V7" i="42"/>
  <c r="V9" i="42"/>
  <c r="V8" i="42"/>
  <c r="AU5" i="1"/>
  <c r="T10" i="42"/>
  <c r="T4" i="42"/>
  <c r="T5" i="42"/>
  <c r="T6" i="42"/>
  <c r="T7" i="42"/>
  <c r="T9" i="42"/>
  <c r="T8" i="42"/>
  <c r="P34" i="43" l="1"/>
  <c r="R34" i="43"/>
  <c r="V3" i="42"/>
  <c r="V12" i="42" s="1"/>
  <c r="S45" i="43" s="1"/>
  <c r="S46" i="43" s="1"/>
  <c r="S49" i="43" s="1"/>
  <c r="S50" i="43" s="1"/>
  <c r="S51" i="43" s="1"/>
  <c r="T51" i="43" s="1"/>
  <c r="P46" i="43"/>
  <c r="P49" i="43" s="1"/>
  <c r="R6" i="43"/>
  <c r="R9" i="43" s="1"/>
  <c r="P6" i="43"/>
  <c r="P9" i="43" s="1"/>
  <c r="T3" i="42"/>
  <c r="P10" i="43" l="1"/>
  <c r="P11" i="43" s="1"/>
  <c r="R10" i="43"/>
  <c r="R11" i="43" s="1"/>
  <c r="V11" i="42"/>
  <c r="S5" i="43" s="1"/>
  <c r="V13" i="42"/>
  <c r="AW15" i="1"/>
  <c r="AU15" i="1"/>
  <c r="T13" i="42"/>
  <c r="T11" i="42"/>
  <c r="Q5" i="43" s="1"/>
  <c r="Q32" i="43" s="1"/>
  <c r="Q33" i="43" s="1"/>
  <c r="T12" i="42"/>
  <c r="Q45" i="43" s="1"/>
  <c r="Q46" i="43" s="1"/>
  <c r="Q49" i="43" s="1"/>
  <c r="Q50" i="43" s="1"/>
  <c r="Q51" i="43" s="1"/>
  <c r="P50" i="43"/>
  <c r="P51" i="43" s="1"/>
  <c r="Q34" i="43" l="1"/>
  <c r="S6" i="43"/>
  <c r="S9" i="43" s="1"/>
  <c r="S32" i="43"/>
  <c r="S33" i="43" s="1"/>
  <c r="S10" i="43"/>
  <c r="S11" i="43" s="1"/>
  <c r="T11" i="43" s="1"/>
  <c r="D59" i="43"/>
  <c r="Q6" i="43"/>
  <c r="Q9" i="43" s="1"/>
  <c r="S34" i="43" l="1"/>
  <c r="T34" i="43" s="1"/>
  <c r="Q10" i="43"/>
  <c r="Q11" i="43" s="1"/>
  <c r="D8" i="26"/>
  <c r="C56" i="43"/>
  <c r="E57" i="43"/>
  <c r="D42" i="43" l="1"/>
  <c r="E40" i="43"/>
  <c r="D19" i="43"/>
  <c r="E17" i="43"/>
  <c r="F8" i="26"/>
  <c r="C57" i="43"/>
  <c r="C39" i="43" l="1"/>
  <c r="C16" i="43"/>
  <c r="F6" i="26" s="1"/>
  <c r="D6" i="26"/>
  <c r="D16" i="26" s="1"/>
  <c r="I8" i="26"/>
  <c r="C40" i="43" l="1"/>
  <c r="I7" i="26" s="1"/>
  <c r="F7" i="26"/>
  <c r="F16" i="26" s="1"/>
  <c r="C17" i="43"/>
  <c r="C56" i="26"/>
  <c r="I6" i="26" l="1"/>
  <c r="C239" i="43"/>
  <c r="C54" i="26" l="1"/>
  <c r="C38" i="26"/>
  <c r="M10" i="3" l="1"/>
  <c r="N68" i="3"/>
  <c r="N73" i="3" s="1"/>
  <c r="N10" i="3" s="1"/>
  <c r="O68" i="3" l="1"/>
  <c r="O73" i="3" s="1"/>
  <c r="O10" i="3" s="1"/>
  <c r="P68" i="3" l="1"/>
  <c r="P73" i="3" s="1"/>
  <c r="P10" i="3" s="1"/>
  <c r="Q68" i="3" l="1"/>
  <c r="Q73" i="3" s="1"/>
  <c r="Q10" i="3" s="1"/>
  <c r="R68" i="3" l="1"/>
  <c r="R73" i="3" s="1"/>
  <c r="R10" i="3" l="1"/>
  <c r="S68" i="3"/>
  <c r="S73" i="3" s="1"/>
  <c r="T68" i="3" l="1"/>
  <c r="T73" i="3" s="1"/>
  <c r="S10" i="3"/>
  <c r="U68" i="3" l="1"/>
  <c r="U73" i="3" s="1"/>
  <c r="T10" i="3"/>
  <c r="V68" i="3" l="1"/>
  <c r="V73" i="3" s="1"/>
  <c r="U10" i="3"/>
  <c r="W68" i="3" l="1"/>
  <c r="W73" i="3" s="1"/>
  <c r="V10" i="3"/>
  <c r="X68" i="3" l="1"/>
  <c r="X73" i="3" s="1"/>
  <c r="W10" i="3"/>
  <c r="Y68" i="3" l="1"/>
  <c r="Y73" i="3" s="1"/>
  <c r="X10" i="3"/>
  <c r="Z68" i="3" l="1"/>
  <c r="Z73" i="3" s="1"/>
  <c r="Y10" i="3"/>
  <c r="AA68" i="3" l="1"/>
  <c r="AA73" i="3" s="1"/>
  <c r="Z10" i="3"/>
  <c r="AB68" i="3" l="1"/>
  <c r="AB73" i="3" s="1"/>
  <c r="AB10" i="3" s="1"/>
  <c r="AA10" i="3"/>
  <c r="AO6" i="1" l="1"/>
  <c r="N24" i="42"/>
  <c r="N25" i="42"/>
  <c r="N27" i="42"/>
  <c r="N21" i="42"/>
  <c r="N26" i="42"/>
  <c r="N23" i="42"/>
  <c r="N22" i="42"/>
  <c r="O24" i="42" l="1"/>
  <c r="AN6" i="1"/>
  <c r="M25" i="42"/>
  <c r="M23" i="42"/>
  <c r="M26" i="42"/>
  <c r="M27" i="42"/>
  <c r="M22" i="42"/>
  <c r="M24" i="42"/>
  <c r="M21" i="42"/>
  <c r="O26" i="42"/>
  <c r="O25" i="42"/>
  <c r="N20" i="42"/>
  <c r="O23" i="42" l="1"/>
  <c r="AP6" i="1"/>
  <c r="O22" i="42"/>
  <c r="O27" i="42"/>
  <c r="O21" i="42"/>
  <c r="AO16" i="1"/>
  <c r="AO14" i="1" s="1"/>
  <c r="AO21" i="1" s="1"/>
  <c r="K105" i="43"/>
  <c r="K106" i="43" s="1"/>
  <c r="M20" i="42"/>
  <c r="O20" i="42" l="1"/>
  <c r="AP16" i="1" s="1"/>
  <c r="AP14" i="1" s="1"/>
  <c r="AP21" i="1" s="1"/>
  <c r="AP60" i="1" s="1"/>
  <c r="L105" i="43"/>
  <c r="L106" i="43" s="1"/>
  <c r="AP22" i="1" s="1"/>
  <c r="U50" i="3" s="1"/>
  <c r="Q22" i="42"/>
  <c r="L109" i="43"/>
  <c r="L110" i="43" s="1"/>
  <c r="L111" i="43" s="1"/>
  <c r="L278" i="43" s="1"/>
  <c r="K109" i="43"/>
  <c r="K110" i="43" s="1"/>
  <c r="K111" i="43" s="1"/>
  <c r="K278" i="43" s="1"/>
  <c r="AO22" i="1"/>
  <c r="T50" i="3" s="1"/>
  <c r="AR6" i="1"/>
  <c r="Q27" i="42"/>
  <c r="AQ6" i="1"/>
  <c r="P21" i="42"/>
  <c r="P22" i="42"/>
  <c r="P23" i="42"/>
  <c r="P25" i="42"/>
  <c r="P26" i="42"/>
  <c r="P27" i="42"/>
  <c r="P24" i="42"/>
  <c r="AN16" i="1"/>
  <c r="AN14" i="1" s="1"/>
  <c r="AN21" i="1" s="1"/>
  <c r="J105" i="43"/>
  <c r="J106" i="43" s="1"/>
  <c r="U48" i="3"/>
  <c r="U57" i="3" s="1"/>
  <c r="AO60" i="1"/>
  <c r="AO59" i="1"/>
  <c r="T48" i="3"/>
  <c r="T57" i="3" s="1"/>
  <c r="AP59" i="1" l="1"/>
  <c r="Q23" i="42"/>
  <c r="Q25" i="42"/>
  <c r="Q26" i="42"/>
  <c r="Q21" i="42"/>
  <c r="Q24" i="42"/>
  <c r="AP23" i="1"/>
  <c r="AP39" i="1" s="1"/>
  <c r="AP43" i="1" s="1"/>
  <c r="AP44" i="1" s="1"/>
  <c r="U52" i="3" s="1"/>
  <c r="AO23" i="1"/>
  <c r="AO39" i="1" s="1"/>
  <c r="AO43" i="1" s="1"/>
  <c r="AO44" i="1" s="1"/>
  <c r="T52" i="3" s="1"/>
  <c r="J109" i="43"/>
  <c r="J110" i="43" s="1"/>
  <c r="J111" i="43" s="1"/>
  <c r="J278" i="43" s="1"/>
  <c r="AN22" i="1"/>
  <c r="S50" i="3" s="1"/>
  <c r="AN60" i="1"/>
  <c r="S48" i="3"/>
  <c r="S57" i="3" s="1"/>
  <c r="AN59" i="1"/>
  <c r="U8" i="3"/>
  <c r="U70" i="3"/>
  <c r="Q20" i="42"/>
  <c r="T8" i="3"/>
  <c r="T70" i="3"/>
  <c r="P20" i="42"/>
  <c r="AN23" i="1" l="1"/>
  <c r="AN39" i="1" s="1"/>
  <c r="AN43" i="1" s="1"/>
  <c r="AN44" i="1" s="1"/>
  <c r="S52" i="3" s="1"/>
  <c r="S21" i="42"/>
  <c r="V17" i="4"/>
  <c r="V16" i="4" s="1"/>
  <c r="AO46" i="1"/>
  <c r="U6" i="4" s="1"/>
  <c r="AP46" i="1"/>
  <c r="V6" i="4" s="1"/>
  <c r="AT6" i="1"/>
  <c r="S26" i="42"/>
  <c r="S27" i="42"/>
  <c r="S24" i="42"/>
  <c r="S23" i="42"/>
  <c r="S25" i="42"/>
  <c r="S22" i="42"/>
  <c r="AS6" i="1"/>
  <c r="R27" i="42"/>
  <c r="R21" i="42"/>
  <c r="R23" i="42"/>
  <c r="R25" i="42"/>
  <c r="R26" i="42"/>
  <c r="R22" i="42"/>
  <c r="R24" i="42"/>
  <c r="AQ16" i="1"/>
  <c r="AQ14" i="1" s="1"/>
  <c r="AQ21" i="1" s="1"/>
  <c r="M105" i="43"/>
  <c r="M106" i="43" s="1"/>
  <c r="AR16" i="1"/>
  <c r="AR14" i="1" s="1"/>
  <c r="AR21" i="1" s="1"/>
  <c r="N105" i="43"/>
  <c r="N106" i="43" s="1"/>
  <c r="S8" i="3"/>
  <c r="S70" i="3"/>
  <c r="M109" i="43" l="1"/>
  <c r="M110" i="43" s="1"/>
  <c r="M111" i="43" s="1"/>
  <c r="AQ22" i="1"/>
  <c r="V50" i="3" s="1"/>
  <c r="N109" i="43"/>
  <c r="N110" i="43" s="1"/>
  <c r="N111" i="43" s="1"/>
  <c r="N278" i="43" s="1"/>
  <c r="AR22" i="1"/>
  <c r="W50" i="3" s="1"/>
  <c r="V26" i="4"/>
  <c r="V43" i="4" s="1"/>
  <c r="AO50" i="1"/>
  <c r="T53" i="3" s="1"/>
  <c r="AP50" i="1"/>
  <c r="U53" i="3" s="1"/>
  <c r="AN46" i="1"/>
  <c r="T6" i="4" s="1"/>
  <c r="T17" i="4"/>
  <c r="T16" i="4" s="1"/>
  <c r="U17" i="4"/>
  <c r="U16" i="4" s="1"/>
  <c r="U26" i="4" s="1"/>
  <c r="R20" i="42"/>
  <c r="W48" i="3"/>
  <c r="W57" i="3" s="1"/>
  <c r="AR60" i="1"/>
  <c r="AR59" i="1"/>
  <c r="V48" i="3"/>
  <c r="V57" i="3" s="1"/>
  <c r="AQ60" i="1"/>
  <c r="AQ59" i="1"/>
  <c r="S20" i="42"/>
  <c r="M278" i="43"/>
  <c r="AR23" i="1" l="1"/>
  <c r="AR39" i="1" s="1"/>
  <c r="AR43" i="1" s="1"/>
  <c r="AR44" i="1" s="1"/>
  <c r="W52" i="3" s="1"/>
  <c r="AQ23" i="1"/>
  <c r="AQ39" i="1" s="1"/>
  <c r="AQ43" i="1" s="1"/>
  <c r="AQ44" i="1" s="1"/>
  <c r="V52" i="3" s="1"/>
  <c r="AN50" i="1"/>
  <c r="S53" i="3" s="1"/>
  <c r="U54" i="3"/>
  <c r="AO52" i="1"/>
  <c r="AO53" i="1" s="1"/>
  <c r="AP52" i="1"/>
  <c r="AP53" i="1" s="1"/>
  <c r="AT16" i="1"/>
  <c r="AT14" i="1" s="1"/>
  <c r="AT21" i="1" s="1"/>
  <c r="P105" i="43"/>
  <c r="P106" i="43" s="1"/>
  <c r="AU6" i="1"/>
  <c r="T23" i="42"/>
  <c r="T24" i="42"/>
  <c r="T22" i="42"/>
  <c r="T26" i="42"/>
  <c r="T25" i="42"/>
  <c r="T21" i="42"/>
  <c r="T27" i="42"/>
  <c r="AS16" i="1"/>
  <c r="AS14" i="1" s="1"/>
  <c r="AS21" i="1" s="1"/>
  <c r="O105" i="43"/>
  <c r="O106" i="43" s="1"/>
  <c r="V70" i="3"/>
  <c r="V8" i="3"/>
  <c r="U43" i="4"/>
  <c r="T54" i="3"/>
  <c r="W8" i="3"/>
  <c r="W70" i="3"/>
  <c r="T26" i="4"/>
  <c r="O109" i="43" l="1"/>
  <c r="O110" i="43" s="1"/>
  <c r="O111" i="43" s="1"/>
  <c r="O278" i="43" s="1"/>
  <c r="AS22" i="1"/>
  <c r="X50" i="3" s="1"/>
  <c r="P109" i="43"/>
  <c r="P110" i="43" s="1"/>
  <c r="P111" i="43" s="1"/>
  <c r="P278" i="43" s="1"/>
  <c r="AT22" i="1"/>
  <c r="Y50" i="3" s="1"/>
  <c r="AN52" i="1"/>
  <c r="AN53" i="1" s="1"/>
  <c r="AQ46" i="1"/>
  <c r="W6" i="4" s="1"/>
  <c r="T20" i="42"/>
  <c r="AU16" i="1" s="1"/>
  <c r="AU14" i="1" s="1"/>
  <c r="AU21" i="1" s="1"/>
  <c r="AR46" i="1"/>
  <c r="AR50" i="1" s="1"/>
  <c r="X17" i="4"/>
  <c r="X16" i="4" s="1"/>
  <c r="W17" i="4"/>
  <c r="W16" i="4" s="1"/>
  <c r="Y48" i="3"/>
  <c r="Y57" i="3" s="1"/>
  <c r="AT59" i="1"/>
  <c r="AT60" i="1"/>
  <c r="T43" i="4"/>
  <c r="S54" i="3"/>
  <c r="AS59" i="1"/>
  <c r="AS60" i="1"/>
  <c r="X48" i="3"/>
  <c r="X57" i="3" s="1"/>
  <c r="AV6" i="1"/>
  <c r="U23" i="42"/>
  <c r="U22" i="42"/>
  <c r="U24" i="42"/>
  <c r="U26" i="42"/>
  <c r="U21" i="42"/>
  <c r="U27" i="42"/>
  <c r="U25" i="42"/>
  <c r="AT23" i="1" l="1"/>
  <c r="AT39" i="1" s="1"/>
  <c r="AT43" i="1" s="1"/>
  <c r="AT44" i="1" s="1"/>
  <c r="Y52" i="3" s="1"/>
  <c r="AS23" i="1"/>
  <c r="AS39" i="1" s="1"/>
  <c r="AS43" i="1" s="1"/>
  <c r="AS44" i="1" s="1"/>
  <c r="X52" i="3" s="1"/>
  <c r="Q105" i="43"/>
  <c r="Q106" i="43" s="1"/>
  <c r="AQ50" i="1"/>
  <c r="AQ52" i="1" s="1"/>
  <c r="AQ53" i="1" s="1"/>
  <c r="X6" i="4"/>
  <c r="X26" i="4" s="1"/>
  <c r="W26" i="4"/>
  <c r="W43" i="4" s="1"/>
  <c r="U20" i="42"/>
  <c r="AR52" i="1"/>
  <c r="AR53" i="1" s="1"/>
  <c r="W53" i="3"/>
  <c r="Y8" i="3"/>
  <c r="Y70" i="3"/>
  <c r="AW6" i="1"/>
  <c r="V23" i="42"/>
  <c r="V24" i="42"/>
  <c r="V21" i="42"/>
  <c r="V27" i="42"/>
  <c r="V22" i="42"/>
  <c r="V25" i="42"/>
  <c r="V26" i="42"/>
  <c r="AU60" i="1"/>
  <c r="AU59" i="1"/>
  <c r="Z48" i="3"/>
  <c r="Z57" i="3" s="1"/>
  <c r="X8" i="3"/>
  <c r="X70" i="3"/>
  <c r="Q109" i="43" l="1"/>
  <c r="Q110" i="43" s="1"/>
  <c r="Q111" i="43" s="1"/>
  <c r="Q278" i="43" s="1"/>
  <c r="AU22" i="1"/>
  <c r="V53" i="3"/>
  <c r="AS46" i="1"/>
  <c r="Y6" i="4" s="1"/>
  <c r="V54" i="3"/>
  <c r="X43" i="4"/>
  <c r="W54" i="3"/>
  <c r="V20" i="42"/>
  <c r="AT46" i="1"/>
  <c r="Z70" i="3"/>
  <c r="Z8" i="3"/>
  <c r="Z17" i="4"/>
  <c r="Z16" i="4" s="1"/>
  <c r="Y17" i="4"/>
  <c r="Y16" i="4" s="1"/>
  <c r="AV16" i="1"/>
  <c r="AV14" i="1" s="1"/>
  <c r="AV21" i="1" s="1"/>
  <c r="R105" i="43"/>
  <c r="R106" i="43" s="1"/>
  <c r="R109" i="43" l="1"/>
  <c r="R110" i="43" s="1"/>
  <c r="R111" i="43" s="1"/>
  <c r="R278" i="43" s="1"/>
  <c r="AV22" i="1"/>
  <c r="AA50" i="3" s="1"/>
  <c r="Z50" i="3"/>
  <c r="AU23" i="1"/>
  <c r="AU39" i="1" s="1"/>
  <c r="AU43" i="1" s="1"/>
  <c r="AU44" i="1" s="1"/>
  <c r="Z52" i="3" s="1"/>
  <c r="AS50" i="1"/>
  <c r="X53" i="3" s="1"/>
  <c r="Y26" i="4"/>
  <c r="Y43" i="4" s="1"/>
  <c r="AW16" i="1"/>
  <c r="AW14" i="1" s="1"/>
  <c r="AW21" i="1" s="1"/>
  <c r="S105" i="43"/>
  <c r="S106" i="43" s="1"/>
  <c r="AV59" i="1"/>
  <c r="AV60" i="1"/>
  <c r="AA48" i="3"/>
  <c r="AA57" i="3" s="1"/>
  <c r="Z6" i="4"/>
  <c r="Z26" i="4" s="1"/>
  <c r="AT50" i="1"/>
  <c r="AA17" i="4"/>
  <c r="AA16" i="4" s="1"/>
  <c r="AV23" i="1" l="1"/>
  <c r="AV39" i="1" s="1"/>
  <c r="AV43" i="1" s="1"/>
  <c r="AV44" i="1" s="1"/>
  <c r="AA52" i="3" s="1"/>
  <c r="AU46" i="1"/>
  <c r="AA6" i="4" s="1"/>
  <c r="AA26" i="4" s="1"/>
  <c r="S109" i="43"/>
  <c r="S110" i="43" s="1"/>
  <c r="S111" i="43" s="1"/>
  <c r="T111" i="43" s="1"/>
  <c r="AW22" i="1"/>
  <c r="AB50" i="3" s="1"/>
  <c r="AS52" i="1"/>
  <c r="AS53" i="1" s="1"/>
  <c r="X54" i="3"/>
  <c r="AW60" i="1"/>
  <c r="AB48" i="3"/>
  <c r="AB57" i="3" s="1"/>
  <c r="AW59" i="1"/>
  <c r="AT52" i="1"/>
  <c r="AT53" i="1" s="1"/>
  <c r="Y53" i="3"/>
  <c r="C120" i="43"/>
  <c r="Y54" i="3"/>
  <c r="Z43" i="4"/>
  <c r="AA8" i="3"/>
  <c r="AB17" i="4" s="1"/>
  <c r="AB16" i="4" s="1"/>
  <c r="AA70" i="3"/>
  <c r="AW23" i="1" l="1"/>
  <c r="AW39" i="1" s="1"/>
  <c r="AW43" i="1" s="1"/>
  <c r="AW44" i="1" s="1"/>
  <c r="AB52" i="3" s="1"/>
  <c r="S278" i="43"/>
  <c r="AU50" i="1"/>
  <c r="Z53" i="3" s="1"/>
  <c r="AV46" i="1"/>
  <c r="AB6" i="4" s="1"/>
  <c r="AB26" i="4" s="1"/>
  <c r="AB8" i="3"/>
  <c r="AC17" i="4" s="1"/>
  <c r="AC16" i="4" s="1"/>
  <c r="AB70" i="3"/>
  <c r="AA43" i="4"/>
  <c r="Z54" i="3"/>
  <c r="T278" i="43"/>
  <c r="D125" i="43"/>
  <c r="C282" i="43" l="1"/>
  <c r="AU52" i="1"/>
  <c r="AU53" i="1" s="1"/>
  <c r="AV50" i="1"/>
  <c r="AA53" i="3" s="1"/>
  <c r="AW46" i="1"/>
  <c r="AW50" i="1" s="1"/>
  <c r="C284" i="43"/>
  <c r="C122" i="43"/>
  <c r="E123" i="43"/>
  <c r="E239" i="43" s="1"/>
  <c r="AB43" i="4"/>
  <c r="AA54" i="3"/>
  <c r="G239" i="43" l="1"/>
  <c r="AV52" i="1"/>
  <c r="AV53" i="1" s="1"/>
  <c r="AC6" i="4"/>
  <c r="AC26" i="4" s="1"/>
  <c r="AC43" i="4" s="1"/>
  <c r="AW52" i="1"/>
  <c r="AW53" i="1" s="1"/>
  <c r="BN53" i="1" s="1"/>
  <c r="BP53" i="1" s="1"/>
  <c r="AB53" i="3"/>
  <c r="C285" i="43"/>
  <c r="C123" i="43"/>
  <c r="AB54" i="3" l="1"/>
  <c r="C55" i="26" l="1"/>
  <c r="C39" i="26"/>
  <c r="I16" i="26"/>
  <c r="U37" i="1" l="1"/>
  <c r="V66" i="1" s="1"/>
  <c r="U36" i="1"/>
  <c r="V35" i="1" l="1"/>
  <c r="N9" i="4" s="1"/>
  <c r="V65" i="1"/>
  <c r="U35" i="1"/>
  <c r="M124" i="3" l="1"/>
  <c r="M126" i="3" s="1"/>
  <c r="M35" i="3" s="1"/>
  <c r="N26" i="4"/>
  <c r="M54" i="3" l="1"/>
  <c r="N43" i="4"/>
  <c r="N46" i="4" s="1"/>
  <c r="N35" i="3"/>
  <c r="M5" i="3" l="1"/>
  <c r="O44" i="4"/>
  <c r="O46" i="4" s="1"/>
  <c r="O35" i="3"/>
  <c r="P35" i="3" l="1"/>
  <c r="P44" i="4"/>
  <c r="P46" i="4" s="1"/>
  <c r="N5" i="3"/>
  <c r="N9" i="3" s="1"/>
  <c r="N15" i="3" s="1"/>
  <c r="N37" i="3" s="1"/>
  <c r="N38" i="3" s="1"/>
  <c r="N39" i="3" s="1"/>
  <c r="M9" i="3"/>
  <c r="M15" i="3" s="1"/>
  <c r="M37" i="3" s="1"/>
  <c r="M38" i="3" s="1"/>
  <c r="M39" i="3" s="1"/>
  <c r="C250" i="43"/>
  <c r="C252" i="43" s="1"/>
  <c r="O5" i="3" l="1"/>
  <c r="O9" i="3" s="1"/>
  <c r="O15" i="3" s="1"/>
  <c r="O37" i="3" s="1"/>
  <c r="O38" i="3" s="1"/>
  <c r="O39" i="3" s="1"/>
  <c r="Q44" i="4"/>
  <c r="Q46" i="4" s="1"/>
  <c r="E254" i="43"/>
  <c r="I24" i="26" s="1"/>
  <c r="I17" i="26"/>
  <c r="C254" i="43"/>
  <c r="I22" i="26" s="1"/>
  <c r="Q35" i="3"/>
  <c r="I26" i="26" l="1"/>
  <c r="R35" i="3"/>
  <c r="P5" i="3"/>
  <c r="P9" i="3" s="1"/>
  <c r="P15" i="3" s="1"/>
  <c r="P37" i="3" s="1"/>
  <c r="P38" i="3" s="1"/>
  <c r="P39" i="3" s="1"/>
  <c r="R44" i="4"/>
  <c r="R46" i="4" s="1"/>
  <c r="S44" i="4" l="1"/>
  <c r="S46" i="4" s="1"/>
  <c r="Q5" i="3"/>
  <c r="Q9" i="3" s="1"/>
  <c r="Q15" i="3" s="1"/>
  <c r="Q37" i="3" s="1"/>
  <c r="Q38" i="3" s="1"/>
  <c r="Q39" i="3" s="1"/>
  <c r="S35" i="3"/>
  <c r="T35" i="3" l="1"/>
  <c r="T44" i="4"/>
  <c r="T46" i="4" s="1"/>
  <c r="R5" i="3"/>
  <c r="R9" i="3" s="1"/>
  <c r="R15" i="3" s="1"/>
  <c r="R37" i="3" s="1"/>
  <c r="R38" i="3" s="1"/>
  <c r="R39" i="3" s="1"/>
  <c r="U35" i="3" l="1"/>
  <c r="S5" i="3"/>
  <c r="S9" i="3" s="1"/>
  <c r="S15" i="3" s="1"/>
  <c r="S37" i="3" s="1"/>
  <c r="S38" i="3" s="1"/>
  <c r="S39" i="3" s="1"/>
  <c r="U44" i="4"/>
  <c r="U46" i="4" s="1"/>
  <c r="V44" i="4" l="1"/>
  <c r="V46" i="4" s="1"/>
  <c r="T5" i="3"/>
  <c r="T9" i="3" s="1"/>
  <c r="T15" i="3" s="1"/>
  <c r="T37" i="3" s="1"/>
  <c r="T38" i="3" s="1"/>
  <c r="T39" i="3" s="1"/>
  <c r="V35" i="3"/>
  <c r="W35" i="3" l="1"/>
  <c r="U5" i="3"/>
  <c r="U9" i="3" s="1"/>
  <c r="U15" i="3" s="1"/>
  <c r="U37" i="3" s="1"/>
  <c r="U38" i="3" s="1"/>
  <c r="U39" i="3" s="1"/>
  <c r="W44" i="4"/>
  <c r="W46" i="4" s="1"/>
  <c r="X44" i="4" l="1"/>
  <c r="X46" i="4" s="1"/>
  <c r="V5" i="3"/>
  <c r="V9" i="3" s="1"/>
  <c r="V15" i="3" s="1"/>
  <c r="V37" i="3" s="1"/>
  <c r="V38" i="3" s="1"/>
  <c r="V39" i="3" s="1"/>
  <c r="X35" i="3"/>
  <c r="Y35" i="3" l="1"/>
  <c r="Y44" i="4"/>
  <c r="Y46" i="4" s="1"/>
  <c r="W5" i="3"/>
  <c r="W9" i="3" s="1"/>
  <c r="W15" i="3" s="1"/>
  <c r="W37" i="3" s="1"/>
  <c r="W38" i="3" s="1"/>
  <c r="W39" i="3" s="1"/>
  <c r="Z44" i="4" l="1"/>
  <c r="Z46" i="4" s="1"/>
  <c r="X5" i="3"/>
  <c r="X9" i="3" s="1"/>
  <c r="X15" i="3" s="1"/>
  <c r="X37" i="3" s="1"/>
  <c r="X38" i="3" s="1"/>
  <c r="X39" i="3" s="1"/>
  <c r="Z35" i="3"/>
  <c r="AA35" i="3" l="1"/>
  <c r="Y5" i="3"/>
  <c r="Y9" i="3" s="1"/>
  <c r="Y15" i="3" s="1"/>
  <c r="Y37" i="3" s="1"/>
  <c r="Y38" i="3" s="1"/>
  <c r="Y39" i="3" s="1"/>
  <c r="AA44" i="4"/>
  <c r="AA46" i="4" s="1"/>
  <c r="AB44" i="4" l="1"/>
  <c r="AB46" i="4" s="1"/>
  <c r="Z5" i="3"/>
  <c r="Z9" i="3" s="1"/>
  <c r="Z15" i="3" s="1"/>
  <c r="Z37" i="3" s="1"/>
  <c r="Z38" i="3" s="1"/>
  <c r="Z39" i="3" s="1"/>
  <c r="AB35" i="3"/>
  <c r="AC44" i="4" l="1"/>
  <c r="AC46" i="4" s="1"/>
  <c r="AB5" i="3" s="1"/>
  <c r="AB9" i="3" s="1"/>
  <c r="AB15" i="3" s="1"/>
  <c r="AB37" i="3" s="1"/>
  <c r="AB38" i="3" s="1"/>
  <c r="AB39" i="3" s="1"/>
  <c r="AA5" i="3"/>
  <c r="AA9" i="3" s="1"/>
  <c r="AA15" i="3" s="1"/>
  <c r="AA37" i="3" s="1"/>
  <c r="AA38" i="3" s="1"/>
  <c r="AA39" i="3" s="1"/>
</calcChain>
</file>

<file path=xl/comments1.xml><?xml version="1.0" encoding="utf-8"?>
<comments xmlns="http://schemas.openxmlformats.org/spreadsheetml/2006/main">
  <authors>
    <author>Smith, Thomas J (Research)</author>
  </authors>
  <commentList>
    <comment ref="AC32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Includes one-time non-cash charge of $3.6mn</t>
        </r>
      </text>
    </comment>
  </commentList>
</comments>
</file>

<file path=xl/comments2.xml><?xml version="1.0" encoding="utf-8"?>
<comments xmlns="http://schemas.openxmlformats.org/spreadsheetml/2006/main">
  <authors>
    <author>Smith, Thomas J (Research)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1% royalty on luspatercept sales payable to Salk until June 2022 (settled via litigation in 2014)</t>
        </r>
      </text>
    </comment>
    <comment ref="T11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Terminal value = 2.5x 2030 CF</t>
        </r>
      </text>
    </comment>
    <comment ref="B22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1% royalty on luspatercept sales payable to Salk until June 2022 (settled via litigation in 2014)</t>
        </r>
      </text>
    </comment>
    <comment ref="K22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Royalty payable until June 2022</t>
        </r>
      </text>
    </comment>
    <comment ref="T34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Terminal value = 2.5x 2030 CF</t>
        </r>
      </text>
    </comment>
    <comment ref="T51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Terminal value = 2.5x 2030 CF</t>
        </r>
      </text>
    </comment>
    <comment ref="T111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Terminal value = 2.5x 2030 CF</t>
        </r>
      </text>
    </comment>
    <comment ref="B114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Includes royalty payable to Salk (1-3.5% of WW net sales)</t>
        </r>
      </text>
    </comment>
    <comment ref="T188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Terminal value = 2x 2030 CF</t>
        </r>
      </text>
    </comment>
    <comment ref="T205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Terminal value = 2x 2030 CF</t>
        </r>
      </text>
    </comment>
    <comment ref="B208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Inlcudes royalties on WW net sales payable to BIDMC (1.5%) and LICR (low single digit %)</t>
        </r>
      </text>
    </comment>
    <comment ref="C237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Year-end 2016 diluted shares</t>
        </r>
      </text>
    </comment>
    <comment ref="G244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Discounted cash burn until profitability - CFO + Capex</t>
        </r>
      </text>
    </comment>
    <comment ref="C245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Year-end 2015 cash &amp; equivalents balance + cash raised in Jan 2016</t>
        </r>
      </text>
    </comment>
    <comment ref="C248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Cash burn (FCF) through profitability</t>
        </r>
      </text>
    </comment>
    <comment ref="C280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Implied discount rate to reach risk-adjusted SOP value</t>
        </r>
      </text>
    </comment>
  </commentList>
</comments>
</file>

<file path=xl/comments3.xml><?xml version="1.0" encoding="utf-8"?>
<comments xmlns="http://schemas.openxmlformats.org/spreadsheetml/2006/main">
  <authors>
    <author>Smith, Thomas J (Research)</author>
  </authors>
  <commentList>
    <comment ref="B13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Blood, 21 November 2013, Vol 122, Num 22</t>
        </r>
      </text>
    </comment>
    <comment ref="B34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Blood, 21 November 2013, Vol 122, Num 22</t>
        </r>
      </text>
    </comment>
    <comment ref="B55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Blood, 21 November 2013, Vol 122, Num 22</t>
        </r>
      </text>
    </comment>
    <comment ref="B76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Blood, 21 November 2013, Vol 122, Num 22</t>
        </r>
      </text>
    </comment>
    <comment ref="B97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Blood, 21 November 2013, Vol 122, Num 22</t>
        </r>
      </text>
    </comment>
    <comment ref="B118" authorId="0">
      <text>
        <r>
          <rPr>
            <b/>
            <sz val="9"/>
            <color indexed="81"/>
            <rFont val="Tahoma"/>
            <family val="2"/>
          </rPr>
          <t>Smith, Thomas J (Research):</t>
        </r>
        <r>
          <rPr>
            <sz val="9"/>
            <color indexed="81"/>
            <rFont val="Tahoma"/>
            <family val="2"/>
          </rPr>
          <t xml:space="preserve">
Blood, 21 November 2013, Vol 122, Num 22</t>
        </r>
      </text>
    </comment>
  </commentList>
</comments>
</file>

<file path=xl/sharedStrings.xml><?xml version="1.0" encoding="utf-8"?>
<sst xmlns="http://schemas.openxmlformats.org/spreadsheetml/2006/main" count="1659" uniqueCount="891">
  <si>
    <t>QUARTER ESTIMATES</t>
  </si>
  <si>
    <t>FY2009A</t>
  </si>
  <si>
    <t>FY2010A</t>
  </si>
  <si>
    <t>FY2011A</t>
  </si>
  <si>
    <t>1Q13A</t>
  </si>
  <si>
    <t>2Q13A</t>
  </si>
  <si>
    <t>3Q13A</t>
  </si>
  <si>
    <t>4Q13A</t>
  </si>
  <si>
    <t>1Q14A</t>
  </si>
  <si>
    <t>SOE (R&amp;D)</t>
  </si>
  <si>
    <t>SOE (SG&amp;A)</t>
  </si>
  <si>
    <t>Tax Rate</t>
  </si>
  <si>
    <t>MARGINS:</t>
  </si>
  <si>
    <t>R&amp;D/Revenues</t>
  </si>
  <si>
    <t>SG&amp;A/Revenues</t>
  </si>
  <si>
    <t>ACE-083</t>
  </si>
  <si>
    <t>Product</t>
  </si>
  <si>
    <t>Timing</t>
  </si>
  <si>
    <t>Regulatory</t>
  </si>
  <si>
    <t>Commercial</t>
  </si>
  <si>
    <t>Clinical</t>
  </si>
  <si>
    <t>Dalantercept</t>
  </si>
  <si>
    <t>Assets</t>
  </si>
  <si>
    <t xml:space="preserve">Liabilities &amp; Stockholder's Equity </t>
  </si>
  <si>
    <t>2011A</t>
  </si>
  <si>
    <t>2012A</t>
  </si>
  <si>
    <t>2013A</t>
  </si>
  <si>
    <t>2015E</t>
  </si>
  <si>
    <t>2016E</t>
  </si>
  <si>
    <t>2017E</t>
  </si>
  <si>
    <t>2018E</t>
  </si>
  <si>
    <t>2019E</t>
  </si>
  <si>
    <t>2020E</t>
  </si>
  <si>
    <t>COGS</t>
  </si>
  <si>
    <t>MDS</t>
  </si>
  <si>
    <t>EU</t>
  </si>
  <si>
    <t>Greek B-Thal Revenues</t>
  </si>
  <si>
    <t>Annual Cost</t>
  </si>
  <si>
    <t>Transfusion-independent</t>
  </si>
  <si>
    <t>Transfusion %</t>
  </si>
  <si>
    <t>Greece</t>
  </si>
  <si>
    <t>UK B-Thal Revenues</t>
  </si>
  <si>
    <t>UK</t>
  </si>
  <si>
    <t>Spanish B-Thal Revenues</t>
  </si>
  <si>
    <t>Spain</t>
  </si>
  <si>
    <t>Italian B-Thal Revenues</t>
  </si>
  <si>
    <t>Italy</t>
  </si>
  <si>
    <t>German B-Thal Revenues</t>
  </si>
  <si>
    <t>Germany</t>
  </si>
  <si>
    <t>French B-Thal Revenues</t>
  </si>
  <si>
    <t>France</t>
  </si>
  <si>
    <t>B-Thalassemia (Greece)</t>
  </si>
  <si>
    <t>B-Thalassemia (UK)</t>
  </si>
  <si>
    <t>B-Thalassemia (Spain)</t>
  </si>
  <si>
    <t>B-Thalassemia (Italy)</t>
  </si>
  <si>
    <t>B-Thalassemia (Germany)</t>
  </si>
  <si>
    <t>B-Thalassemia (France)</t>
  </si>
  <si>
    <t>EU5</t>
  </si>
  <si>
    <t>EU (Acceleron data)</t>
  </si>
  <si>
    <t>EU Prevalent Patients</t>
  </si>
  <si>
    <t>US Revenues</t>
  </si>
  <si>
    <t>Annual Cost per Patient</t>
  </si>
  <si>
    <t>Drug-Treated Patients</t>
  </si>
  <si>
    <t>Penetration Transfusion-independent Pts</t>
  </si>
  <si>
    <t>Penetration Transfusion-dependent Pts</t>
  </si>
  <si>
    <t>Prevalence B-thalassemia</t>
  </si>
  <si>
    <t>US Population</t>
  </si>
  <si>
    <t>Total ($)</t>
  </si>
  <si>
    <t>United Kingdom</t>
  </si>
  <si>
    <t>United States</t>
  </si>
  <si>
    <t>Beta-Thalassemia Revenues</t>
  </si>
  <si>
    <t>Ages 85+</t>
  </si>
  <si>
    <t>Ages 80-84</t>
  </si>
  <si>
    <t>Ages 75-79</t>
  </si>
  <si>
    <t>Ages 70-74</t>
  </si>
  <si>
    <t>Ages 65-69</t>
  </si>
  <si>
    <t>Ages 60-64</t>
  </si>
  <si>
    <t>Ages 55-59</t>
  </si>
  <si>
    <t>Ages 50-54</t>
  </si>
  <si>
    <t>Ages 40-49</t>
  </si>
  <si>
    <t>Ages 30-39</t>
  </si>
  <si>
    <t>Ages 20-29</t>
  </si>
  <si>
    <t>Ages 00-19</t>
  </si>
  <si>
    <t>New MDS Patients</t>
  </si>
  <si>
    <t>TOTAL</t>
  </si>
  <si>
    <t>AGE</t>
  </si>
  <si>
    <t>UK MDS Patients</t>
  </si>
  <si>
    <t>MDS Prevalence</t>
  </si>
  <si>
    <t>UK Population</t>
  </si>
  <si>
    <t>Spanish MDS Patients</t>
  </si>
  <si>
    <t>Spanish Population</t>
  </si>
  <si>
    <t>Italian MDS Patients</t>
  </si>
  <si>
    <t>Italian Population</t>
  </si>
  <si>
    <t>French MDS Patients</t>
  </si>
  <si>
    <t>French Population</t>
  </si>
  <si>
    <t>German MDS Patients</t>
  </si>
  <si>
    <t>German Population</t>
  </si>
  <si>
    <t>US MDS Patients</t>
  </si>
  <si>
    <t>Growth</t>
  </si>
  <si>
    <t>US and EU5 MDS Population</t>
  </si>
  <si>
    <t>UK MDS Population</t>
  </si>
  <si>
    <t>Spanish MDS Population</t>
  </si>
  <si>
    <t>Italian MDS Population</t>
  </si>
  <si>
    <t>French MDS Population</t>
  </si>
  <si>
    <t>German MDS Population</t>
  </si>
  <si>
    <t>US MDS Population</t>
  </si>
  <si>
    <t>EPO Sensitive</t>
  </si>
  <si>
    <t>EPO Resistant</t>
  </si>
  <si>
    <t>Penetration EPO-S</t>
  </si>
  <si>
    <t>Penetration EPO-R</t>
  </si>
  <si>
    <t>EPO-S Patients</t>
  </si>
  <si>
    <t>EPO-R Patients</t>
  </si>
  <si>
    <t>EPO-S Revenues</t>
  </si>
  <si>
    <t>EPO-R Revenues</t>
  </si>
  <si>
    <t>US MDS Revenues</t>
  </si>
  <si>
    <t>German MDS Revenues</t>
  </si>
  <si>
    <t>French MDS Revenues</t>
  </si>
  <si>
    <t>Italian MDS Revenues</t>
  </si>
  <si>
    <t>Spanish MDS Revenues</t>
  </si>
  <si>
    <t>UK MDS Revenues</t>
  </si>
  <si>
    <t>Worldwide Revenues</t>
  </si>
  <si>
    <t>German Revenues</t>
  </si>
  <si>
    <t>French Revenues</t>
  </si>
  <si>
    <t>Italian Revenues</t>
  </si>
  <si>
    <t>Spanish Reveneus</t>
  </si>
  <si>
    <t>UK Revenues</t>
  </si>
  <si>
    <t>MDS Revenues</t>
  </si>
  <si>
    <t>Acceleron Royalty Calculator</t>
  </si>
  <si>
    <t xml:space="preserve">      MDS</t>
  </si>
  <si>
    <t xml:space="preserve">      Beta-Thalassemia</t>
  </si>
  <si>
    <t>Sales Less Than</t>
  </si>
  <si>
    <t>%</t>
  </si>
  <si>
    <t xml:space="preserve"> ROYALTY TIERS</t>
  </si>
  <si>
    <t>Worldwide Sales</t>
  </si>
  <si>
    <t xml:space="preserve">           Tier 1</t>
  </si>
  <si>
    <t xml:space="preserve">           Tier 2</t>
  </si>
  <si>
    <t xml:space="preserve">           Tier 3</t>
  </si>
  <si>
    <t xml:space="preserve">           Tier 4</t>
  </si>
  <si>
    <t xml:space="preserve">           Tier 5</t>
  </si>
  <si>
    <t xml:space="preserve">           Tier 6</t>
  </si>
  <si>
    <t xml:space="preserve">           Tier 7</t>
  </si>
  <si>
    <t>Sales Greater Than</t>
  </si>
  <si>
    <t>=IF(B37&lt;$B$26,B37*$C$26,IF(B37&lt;$B$27,$D$26+((B37-$B$26)*C27),IF(B37&lt;$B$28,$D$27+((B37-$B$27)*$C$28),IF(B37&lt;$B$29,$D$28+((B37-$B$28)*C29),IF(B37&lt;$B$30,$D$29+(B37-$B$30)*$C$30),IF(B37&lt;$B$31,$D$30+(B37-$B$30)*$C$31),(B37-$B$31)*$C$32))))</t>
  </si>
  <si>
    <t>Sales @ Rate</t>
  </si>
  <si>
    <t xml:space="preserve">      CKD</t>
  </si>
  <si>
    <t>Revenues</t>
  </si>
  <si>
    <t>SGA</t>
  </si>
  <si>
    <t>R&amp;D</t>
  </si>
  <si>
    <t>EBIT</t>
  </si>
  <si>
    <t>Taxes</t>
  </si>
  <si>
    <t>Net</t>
  </si>
  <si>
    <t>TV</t>
  </si>
  <si>
    <t>NPV</t>
  </si>
  <si>
    <t>Risk</t>
  </si>
  <si>
    <t>rNPV</t>
  </si>
  <si>
    <t>Per Share Value</t>
  </si>
  <si>
    <t>Discount Rate</t>
  </si>
  <si>
    <t>Current Cash, Cash Equivalents</t>
  </si>
  <si>
    <t>Less:</t>
  </si>
  <si>
    <t>Current &amp; Long-Term Liabilities</t>
  </si>
  <si>
    <t>Cash Burn Until Profitable</t>
  </si>
  <si>
    <t>Net Cash</t>
  </si>
  <si>
    <t>Cash Per Share</t>
  </si>
  <si>
    <t>Fundamental Value</t>
  </si>
  <si>
    <t>Royalty Revenues</t>
  </si>
  <si>
    <t>Shares Outstanding</t>
  </si>
  <si>
    <t>Start Phase 3 Cancer</t>
  </si>
  <si>
    <t>Start Phase 3 Non-Cancer</t>
  </si>
  <si>
    <t>FDA Application Accepted Cancer</t>
  </si>
  <si>
    <t>FDA Application Accepted Non-Cancer</t>
  </si>
  <si>
    <t>EMA Application Accepted Non-Cancer</t>
  </si>
  <si>
    <t>EMA Application Accepted Cancer</t>
  </si>
  <si>
    <t>FDA Approved Non-Cancer</t>
  </si>
  <si>
    <t>Ex-US Sales Exceed $250mn</t>
  </si>
  <si>
    <t>Ex-US Sales Exceed $500mn</t>
  </si>
  <si>
    <t>Ex-US Sales Exceed $1bn</t>
  </si>
  <si>
    <t>Ex-US Sales Exceed $2bn</t>
  </si>
  <si>
    <t>Ex-US Sales Exceed $3.5bn</t>
  </si>
  <si>
    <t>Start Phase 3</t>
  </si>
  <si>
    <t>FDA Application Accepted</t>
  </si>
  <si>
    <t>EMA Application Accepted</t>
  </si>
  <si>
    <t>FDA Approved</t>
  </si>
  <si>
    <t>EMA Approved</t>
  </si>
  <si>
    <t>Ex-US Sales Exceed $3.5bn (25)</t>
  </si>
  <si>
    <t>Ex-US Sales Exceed $2bn (20)</t>
  </si>
  <si>
    <t>Ex-US Sales Exceed $1bn (15)</t>
  </si>
  <si>
    <t>Ex-US Sales Exceed $500mn (10)</t>
  </si>
  <si>
    <t>Ex-US Sales Exceed $250mn (10)</t>
  </si>
  <si>
    <t>Total Ex-US Sales</t>
  </si>
  <si>
    <t>Successful Phase 3 Trial</t>
  </si>
  <si>
    <t>Cumulative Risk</t>
  </si>
  <si>
    <t>After-Tax Amount</t>
  </si>
  <si>
    <t>FDA Approved Cancer</t>
  </si>
  <si>
    <t>EMA Approved Non-Cancer</t>
  </si>
  <si>
    <t>EMA Approved Cancer</t>
  </si>
  <si>
    <t>Successful Phase 3 Non-Cancer Trial</t>
  </si>
  <si>
    <t>Successful Phase 3 Cancer Trial</t>
  </si>
  <si>
    <t>Total</t>
  </si>
  <si>
    <t>Cost Sharing as % of CELG</t>
  </si>
  <si>
    <t>Cost Sharing as % of R&amp;D</t>
  </si>
  <si>
    <t>Total Milestones</t>
  </si>
  <si>
    <t>Probability of Success</t>
  </si>
  <si>
    <t>Expected Launch</t>
  </si>
  <si>
    <t>Net Current Value/Share</t>
  </si>
  <si>
    <t>Share Count (1000's)</t>
  </si>
  <si>
    <t>17-95%</t>
  </si>
  <si>
    <t>TGF-Beta Milestones</t>
  </si>
  <si>
    <t>2015-2027</t>
  </si>
  <si>
    <t xml:space="preserve">          Sotatercept Effective Royalty Rate (%)</t>
  </si>
  <si>
    <t>Sotatercept Effective Royalty Rate</t>
  </si>
  <si>
    <t>ACE-536 Effective Royalty Rate</t>
  </si>
  <si>
    <t>CKD</t>
  </si>
  <si>
    <t>Beta Thalassemia</t>
  </si>
  <si>
    <t>Price Change YoY (%)</t>
  </si>
  <si>
    <t>NET (LOSS) INCOME TO PARTICIPATING</t>
  </si>
  <si>
    <t>SOE % of R&amp;D</t>
  </si>
  <si>
    <t>SOE % of SG&amp;A</t>
  </si>
  <si>
    <t>2Q14A</t>
  </si>
  <si>
    <t>QUARTER ACTUALS</t>
  </si>
  <si>
    <t>Risk-Adjusted NPV ($000s)</t>
  </si>
  <si>
    <t>Growth Rate (2022+)</t>
  </si>
  <si>
    <t>MDS Epidemiology Model</t>
  </si>
  <si>
    <t>Beta-Thalassemia Model</t>
  </si>
  <si>
    <t>3Q14A</t>
  </si>
  <si>
    <t>Luspatercept (ACE-536)</t>
  </si>
  <si>
    <t>Sotatercept (ACE-011)</t>
  </si>
  <si>
    <t>Product Sales</t>
  </si>
  <si>
    <t>Collaboration Revenues</t>
  </si>
  <si>
    <t>Royalties</t>
  </si>
  <si>
    <t>Net Revenue</t>
  </si>
  <si>
    <t>Cost of Goods</t>
  </si>
  <si>
    <t>Gross Profit</t>
  </si>
  <si>
    <t>Total Expenses</t>
  </si>
  <si>
    <t>Pretax Income</t>
  </si>
  <si>
    <t>Income Taxes</t>
  </si>
  <si>
    <t>Cash &amp; Cash Equivalents</t>
  </si>
  <si>
    <t>Collaboration Receivables, Net</t>
  </si>
  <si>
    <t>Prepaid Expenses and Other</t>
  </si>
  <si>
    <t>Total Current Assets</t>
  </si>
  <si>
    <t>Property, Plants, and Equipment, net</t>
  </si>
  <si>
    <t>Restricted Cash</t>
  </si>
  <si>
    <t>Related Party Receivables</t>
  </si>
  <si>
    <t>Other Non-Current Assets</t>
  </si>
  <si>
    <t>Total Assets</t>
  </si>
  <si>
    <t>Accounts Payable</t>
  </si>
  <si>
    <t>Acrrued Expenses</t>
  </si>
  <si>
    <t>Deferred Revenues</t>
  </si>
  <si>
    <t>Deferred Rent</t>
  </si>
  <si>
    <t>Notes Payable, net of Discount</t>
  </si>
  <si>
    <t>Other Current Liabilities</t>
  </si>
  <si>
    <t>Total Current Liabilities</t>
  </si>
  <si>
    <t>Deferred Revenue, Net of Current</t>
  </si>
  <si>
    <t>Deferred Rent, Net of Current</t>
  </si>
  <si>
    <t>Notes Payable, Net of Current</t>
  </si>
  <si>
    <t>Warrants to Purchase Redeemable Preferred Stock</t>
  </si>
  <si>
    <t>Warrants to Purchase Common Stock</t>
  </si>
  <si>
    <t>Redeemable Convertible Preferred</t>
  </si>
  <si>
    <t>Common Shares</t>
  </si>
  <si>
    <t>APIC</t>
  </si>
  <si>
    <t>Accumulated Deficit</t>
  </si>
  <si>
    <t>Depreciation</t>
  </si>
  <si>
    <t>Total Liabilities</t>
  </si>
  <si>
    <t>Total Stockholders Equity</t>
  </si>
  <si>
    <t>Total Stockholders Equity &amp; Liabilities</t>
  </si>
  <si>
    <t>ACE-031</t>
  </si>
  <si>
    <t>Other</t>
  </si>
  <si>
    <t>Other Income (Expense), net</t>
  </si>
  <si>
    <t>Interest Income</t>
  </si>
  <si>
    <t>Interest Expense</t>
  </si>
  <si>
    <t>General &amp; Administrative</t>
  </si>
  <si>
    <t>Cost of Contract Manufacturing</t>
  </si>
  <si>
    <t>License and Milestone</t>
  </si>
  <si>
    <t>Cost-Sharing, net</t>
  </si>
  <si>
    <t>Contract Manufacturing</t>
  </si>
  <si>
    <t>Preferred Stock Accretion</t>
  </si>
  <si>
    <t>Gain on Extinguishment of Conv Pref.</t>
  </si>
  <si>
    <t>Net Loss</t>
  </si>
  <si>
    <t>Depreciation &amp; Amortization</t>
  </si>
  <si>
    <t>Loss on Disposal of Property &amp; Equipment</t>
  </si>
  <si>
    <t>Stock-Based Compensation</t>
  </si>
  <si>
    <t>Amortization of Debt Discount</t>
  </si>
  <si>
    <t>Accretion of Deferred Interest</t>
  </si>
  <si>
    <t>Amortization of Deferred Debt Issuance Cost</t>
  </si>
  <si>
    <t>Change in Fair Value of Warrants</t>
  </si>
  <si>
    <t>Gain on Retirement of Warrants</t>
  </si>
  <si>
    <t>Forgiveness of Related Party Receivable</t>
  </si>
  <si>
    <t>Changes in Assets &amp; Liabilities</t>
  </si>
  <si>
    <t>Prepaid Expenses and Other Current Assets</t>
  </si>
  <si>
    <t>Collaboration Receivables</t>
  </si>
  <si>
    <t>Accrued Expenses</t>
  </si>
  <si>
    <t>Deferred Revenue</t>
  </si>
  <si>
    <t>Deferred Rent Expense</t>
  </si>
  <si>
    <t>Net Cash Used by Operating Activities</t>
  </si>
  <si>
    <t>Investing Cash Flows</t>
  </si>
  <si>
    <t>Capital Expenditures</t>
  </si>
  <si>
    <t>Net Cash Used in Investing Activities</t>
  </si>
  <si>
    <t>Financing Cash Flows</t>
  </si>
  <si>
    <t>Proceeds from Issuance of Redeemable Convertible Preferred, net</t>
  </si>
  <si>
    <t>Proceeds from Long-Term Debt, net</t>
  </si>
  <si>
    <t>Proceeds from Issuance of Common Stock via Private Placement</t>
  </si>
  <si>
    <t>Payments of Long-Term Debt</t>
  </si>
  <si>
    <t>Net Cash Used in Financing Activities</t>
  </si>
  <si>
    <t>Increase (Decrease) in Cash &amp; Cash Equivalents</t>
  </si>
  <si>
    <t>Cash &amp; Cash Equivalents Beginning of Period</t>
  </si>
  <si>
    <t>Cash &amp; Cash Equivalents End of Period</t>
  </si>
  <si>
    <t>4Q14A</t>
  </si>
  <si>
    <t>Luspatercept Milestones</t>
  </si>
  <si>
    <t>Luspatercept NPV Milestone</t>
  </si>
  <si>
    <t>Sotatercept Milestones</t>
  </si>
  <si>
    <t>Sotatercept Milestone NPV</t>
  </si>
  <si>
    <t>Luspatercept Cost Assumptions</t>
  </si>
  <si>
    <t>SG&amp;A</t>
  </si>
  <si>
    <t>Acceleron Pharma Sum-of-Parts Valuation</t>
  </si>
  <si>
    <t>60-74 Years</t>
  </si>
  <si>
    <t>60-74 Years Prevalence</t>
  </si>
  <si>
    <t>75+ Years</t>
  </si>
  <si>
    <t>75+ Years Prevalence</t>
  </si>
  <si>
    <t>&lt; 60 Years</t>
  </si>
  <si>
    <t>&lt; 60 Years Prevalence</t>
  </si>
  <si>
    <t>US / EU5 Addressable MDS Pts</t>
  </si>
  <si>
    <t>US / EU5 Low/Int Risk</t>
  </si>
  <si>
    <t>RS+ Pts</t>
  </si>
  <si>
    <t>Transfusion-dependent</t>
  </si>
  <si>
    <t xml:space="preserve">          Luspatercept (ACE-536) Effective Royalty Rate (%)</t>
  </si>
  <si>
    <t>TOTAL EQUITY VALUE - NO RISK ADJUSTMENT (2016E)</t>
  </si>
  <si>
    <t>Ring Sideroblast + Pts (32.7%)</t>
  </si>
  <si>
    <t>US Low/Int-1 Risk (75%)</t>
  </si>
  <si>
    <t>Non-del (5q) (85%)</t>
  </si>
  <si>
    <t>German Low/Int-1 Risk (75%)</t>
  </si>
  <si>
    <t>French Low/Int-1 Risk (75%)</t>
  </si>
  <si>
    <t>Italian Low/Int-1 Risk (75%)</t>
  </si>
  <si>
    <t>Spanish Low/Int-1 Risk (75%)</t>
  </si>
  <si>
    <t>UK Low/Int-1 Risk (75%)</t>
  </si>
  <si>
    <t>Penetration Transfusion-dependent (%)</t>
  </si>
  <si>
    <t>Penetration Transfusion-independent (%)</t>
  </si>
  <si>
    <t>Luspatercept - Beta-Thalassemia</t>
  </si>
  <si>
    <t>1Q15A</t>
  </si>
  <si>
    <t>USD</t>
  </si>
  <si>
    <t>XLRN.O</t>
  </si>
  <si>
    <t>Acceleron Pharma Inc</t>
  </si>
  <si>
    <t>ModelWare required tags</t>
  </si>
  <si>
    <t>Statutory Tax rate</t>
  </si>
  <si>
    <t>Period end shares</t>
  </si>
  <si>
    <t>Unrecorded goodwill</t>
  </si>
  <si>
    <t>Inventory</t>
  </si>
  <si>
    <t>ND</t>
  </si>
  <si>
    <t>Net Income reported</t>
  </si>
  <si>
    <t>Net Issuance</t>
  </si>
  <si>
    <t>Currency</t>
  </si>
  <si>
    <t>Current Stock Price</t>
  </si>
  <si>
    <t>Count</t>
  </si>
  <si>
    <t>XLRN.O,mscalc:closePriceCurrencyCalc</t>
  </si>
  <si>
    <t>XLRN.O,mscalc:sedolCodeCalc</t>
  </si>
  <si>
    <t>XLRN.O,mscalc:targetPrice,,,,USD</t>
  </si>
  <si>
    <t>$F$2</t>
  </si>
  <si>
    <t>GAAP Net Income (Loss)</t>
  </si>
  <si>
    <t>Net Income (Loss) Applicable to Common</t>
  </si>
  <si>
    <t>Basic Avg. Shares Outstanding</t>
  </si>
  <si>
    <t>Diluted Avg. Shares Outstanding</t>
  </si>
  <si>
    <t>Bull</t>
  </si>
  <si>
    <t>Bear</t>
  </si>
  <si>
    <t>Base</t>
  </si>
  <si>
    <t>Operating Profit (Loss)</t>
  </si>
  <si>
    <t>Diluted EPS Applicable to Common</t>
  </si>
  <si>
    <t>Operating Expenses</t>
  </si>
  <si>
    <t>NI</t>
  </si>
  <si>
    <t>Operating CF</t>
  </si>
  <si>
    <t>Capex</t>
  </si>
  <si>
    <t>% of Revenues</t>
  </si>
  <si>
    <t>Prepaid Expenses &amp; Other</t>
  </si>
  <si>
    <t>Inventories</t>
  </si>
  <si>
    <t>NM</t>
  </si>
  <si>
    <t>% of Operating Expenses</t>
  </si>
  <si>
    <t>Luspatercept (Beta Thalassemia) Royalties</t>
  </si>
  <si>
    <t>Sotatercept (CKD) Royalties</t>
  </si>
  <si>
    <t>Dalantercept Revenues - RCC</t>
  </si>
  <si>
    <t>Dalantercept Revenues - HCC</t>
  </si>
  <si>
    <t>Property, Plant &amp; Equipment, Net</t>
  </si>
  <si>
    <t>Beginning Balance</t>
  </si>
  <si>
    <t>Capital expenditures, net</t>
  </si>
  <si>
    <t>% of revenue</t>
  </si>
  <si>
    <t>Others</t>
  </si>
  <si>
    <t>Ending Balance</t>
  </si>
  <si>
    <t xml:space="preserve">  2013 capital expenditures</t>
  </si>
  <si>
    <t xml:space="preserve">  2014 capital expenditures</t>
  </si>
  <si>
    <t xml:space="preserve">  2015 capital expenditures</t>
  </si>
  <si>
    <t xml:space="preserve">  2016 capital expenditures</t>
  </si>
  <si>
    <t xml:space="preserve">  2017 capital expenditures</t>
  </si>
  <si>
    <t xml:space="preserve">  2018 capital expenditures</t>
  </si>
  <si>
    <t xml:space="preserve">  2019 capital expenditures</t>
  </si>
  <si>
    <t xml:space="preserve">  2020 capital expenditures</t>
  </si>
  <si>
    <t xml:space="preserve">  2021 capital expenditures</t>
  </si>
  <si>
    <t xml:space="preserve">  2022 capital expenditures</t>
  </si>
  <si>
    <t xml:space="preserve">  2023 capital expenditures</t>
  </si>
  <si>
    <t xml:space="preserve">  2024 capital expenditures</t>
  </si>
  <si>
    <t xml:space="preserve">  2025 capital expenditures</t>
  </si>
  <si>
    <t xml:space="preserve">  2026 capital expenditures</t>
  </si>
  <si>
    <t xml:space="preserve">  2027 capital expenditures</t>
  </si>
  <si>
    <t xml:space="preserve">  2028 capital expenditures</t>
  </si>
  <si>
    <t xml:space="preserve">  2029 capital expenditures</t>
  </si>
  <si>
    <t xml:space="preserve">  2030 capital expenditures</t>
  </si>
  <si>
    <t xml:space="preserve"> Total depreciation</t>
  </si>
  <si>
    <t xml:space="preserve">  2011 capital expenditures</t>
  </si>
  <si>
    <t xml:space="preserve">  2012 capital expenditures</t>
  </si>
  <si>
    <t>Existing PP&amp;E</t>
  </si>
  <si>
    <t>Stock Options and Share Count</t>
  </si>
  <si>
    <t>Stock Price (average)</t>
  </si>
  <si>
    <t>Option Balance (Beginning Year)</t>
  </si>
  <si>
    <t>Average Options Exercisable</t>
  </si>
  <si>
    <t>% Exercisable</t>
  </si>
  <si>
    <t>Weighted Average Exercise Price of Exercisable</t>
  </si>
  <si>
    <t>Options Cancelled</t>
  </si>
  <si>
    <t>% Cancelled</t>
  </si>
  <si>
    <t>Options Exercised</t>
  </si>
  <si>
    <t>% of Outstanding Options</t>
  </si>
  <si>
    <t>Statutory Tax Rate</t>
  </si>
  <si>
    <t>Proceeds from Options</t>
  </si>
  <si>
    <t>Tax Benefit from Options</t>
  </si>
  <si>
    <t>Options Granted</t>
  </si>
  <si>
    <t>Shares Issued</t>
  </si>
  <si>
    <t>Proceeds from Share Issuance</t>
  </si>
  <si>
    <t>Stock Option Exercises</t>
  </si>
  <si>
    <t>Warrant Exercises</t>
  </si>
  <si>
    <t>Shares Repurchased (mn)</t>
  </si>
  <si>
    <t>Share Repurchase Cost</t>
  </si>
  <si>
    <t>Stock Options Expense</t>
  </si>
  <si>
    <t>Total Changes in APIC</t>
  </si>
  <si>
    <t>% Outstanding Options</t>
  </si>
  <si>
    <t>Beginning Period Shares</t>
  </si>
  <si>
    <t>End of Period Shares</t>
  </si>
  <si>
    <t>Average Shares Outstanding - Basic</t>
  </si>
  <si>
    <t>Average Shares Outstanding - Diluted</t>
  </si>
  <si>
    <t>Proceeds from Issuance of Common Stock via IPO/Secondary</t>
  </si>
  <si>
    <t>Accumulated Other Comprehensive Income (Loss)</t>
  </si>
  <si>
    <t>2014A</t>
  </si>
  <si>
    <t>2021E</t>
  </si>
  <si>
    <t>2022E</t>
  </si>
  <si>
    <t>2023E</t>
  </si>
  <si>
    <t>2024E</t>
  </si>
  <si>
    <t>2025E</t>
  </si>
  <si>
    <t>2026E</t>
  </si>
  <si>
    <t>2027E</t>
  </si>
  <si>
    <t>2028E</t>
  </si>
  <si>
    <t>2029E</t>
  </si>
  <si>
    <t>2030E</t>
  </si>
  <si>
    <t>Probability of Success Scenarios</t>
  </si>
  <si>
    <t>2009A</t>
  </si>
  <si>
    <t>2010A</t>
  </si>
  <si>
    <t>Operating</t>
  </si>
  <si>
    <t>Operating Cash Flows</t>
  </si>
  <si>
    <t>Litigation Settlement</t>
  </si>
  <si>
    <t>Dalantercept Cost Assumptions</t>
  </si>
  <si>
    <t>Sotatercept Cost Assumptions</t>
  </si>
  <si>
    <t>Clinical/Regulatory Risk Adjustment</t>
  </si>
  <si>
    <t>Risk-Unadjusted NPV Total</t>
  </si>
  <si>
    <t>Risk Adjusted NPV Total</t>
  </si>
  <si>
    <t>Risk-Adjusted Technology Value</t>
  </si>
  <si>
    <t>Residual Cash*</t>
  </si>
  <si>
    <t>* Residual Cash = Non-Depleted Cash Until Profitability</t>
  </si>
  <si>
    <t>Peak Sales ($000's)</t>
  </si>
  <si>
    <t>NPV to XLRN ($000s)</t>
  </si>
  <si>
    <t>Celgene Collaborative Products (Royalties to XLRN)</t>
  </si>
  <si>
    <t>Wholly-Owned Assets (Revenues to XLRN)</t>
  </si>
  <si>
    <t>After-Tax Milestones</t>
  </si>
  <si>
    <t>Net Cash Flows</t>
  </si>
  <si>
    <t>EPS CAGR</t>
  </si>
  <si>
    <t>PEG</t>
  </si>
  <si>
    <t>Implied P/E</t>
  </si>
  <si>
    <t>XLRN Implied Discount Rate Analysis</t>
  </si>
  <si>
    <t>Dalantercept (HCC) Valuation Implied Discount Rate</t>
  </si>
  <si>
    <t>Dalantercept (RCC) Valuation Implied Discount Rate</t>
  </si>
  <si>
    <t>Sotatercept (CKD) Valuation Implied Discount Rate</t>
  </si>
  <si>
    <t>Luspatercept (Beta-Thal) Valuation Implied Discount Rate</t>
  </si>
  <si>
    <t>Luspatercept (MDS) Valuation Implied Discount Rate</t>
  </si>
  <si>
    <t>Unadjusted</t>
  </si>
  <si>
    <t>Clinical &amp; Regulatory</t>
  </si>
  <si>
    <t>Risk Adjustment</t>
  </si>
  <si>
    <t>Risk-Adjusted NPV</t>
  </si>
  <si>
    <t>NPV (No Risk Adjustment)</t>
  </si>
  <si>
    <t>Weighted Average Exercise Price of Exercised</t>
  </si>
  <si>
    <t>Probability 
of Success</t>
  </si>
  <si>
    <t>Scenario</t>
  </si>
  <si>
    <t>2Q15A</t>
  </si>
  <si>
    <t>Acceleron Pharma Inc. Income Statement</t>
  </si>
  <si>
    <t>($ in 000s except per-share data)</t>
  </si>
  <si>
    <t>SOP Implied Discount Rate</t>
  </si>
  <si>
    <t>Acceleron Pharma Inc. Balance Sheet</t>
  </si>
  <si>
    <t>Acceleron Pharma Inc. Cash Flow</t>
  </si>
  <si>
    <t>Payments to Repurchase Conv Preferred, Common Stock, Warrants</t>
  </si>
  <si>
    <t>Proceeds from Exercise of Stock Options and Warrants</t>
  </si>
  <si>
    <t>Sotatercept Milestones Valuation Implied Discount Rate</t>
  </si>
  <si>
    <t>Luspatercept Milestones Valuation Implied Discount Rate</t>
  </si>
  <si>
    <t>Acceleron Pharma Inc. - Risk-Adjusted Sum of the Parts</t>
  </si>
  <si>
    <t xml:space="preserve">      Milestones - Luspatercept</t>
  </si>
  <si>
    <t>Risk-Adjusted Asset Value</t>
  </si>
  <si>
    <t>Discounted</t>
  </si>
  <si>
    <t>Cash Burn</t>
  </si>
  <si>
    <t>CFO</t>
  </si>
  <si>
    <t>BDGTXQ8</t>
  </si>
  <si>
    <t>3Q15A</t>
  </si>
  <si>
    <t>Muscle Franchise</t>
  </si>
  <si>
    <t>4Q15A</t>
  </si>
  <si>
    <t>2015A</t>
  </si>
  <si>
    <t>1Q16A</t>
  </si>
  <si>
    <t>2Q16A</t>
  </si>
  <si>
    <t>3Q16A</t>
  </si>
  <si>
    <t>TGF in MF</t>
  </si>
  <si>
    <t>4Q16A</t>
  </si>
  <si>
    <t>2016A</t>
  </si>
  <si>
    <t>Total Equity Value (2017E)</t>
  </si>
  <si>
    <t>1Q17A</t>
  </si>
  <si>
    <t>TGF-beta Development in MF</t>
  </si>
  <si>
    <t>TGF-beta in MF</t>
  </si>
  <si>
    <t>2Q17A</t>
  </si>
  <si>
    <t>3Q17A</t>
  </si>
  <si>
    <t>700 or 800mn @ peak in RS-</t>
  </si>
  <si>
    <t>4yrs later</t>
  </si>
  <si>
    <t>smaller penetration</t>
  </si>
  <si>
    <t>slower ramp</t>
  </si>
  <si>
    <t>probably worth 1/3 of RS+</t>
  </si>
  <si>
    <t>Luspatercept (MDS - RS+) Royalties</t>
  </si>
  <si>
    <t>Luspatercept (MDS - RS-) Royalties</t>
  </si>
  <si>
    <t>Luspatercept - MDS (RS+)</t>
  </si>
  <si>
    <t>Luspatercept - MDS (RS-)</t>
  </si>
  <si>
    <t>1Q18E</t>
  </si>
  <si>
    <t>2Q18E</t>
  </si>
  <si>
    <t>3Q18E</t>
  </si>
  <si>
    <t>4Q18E</t>
  </si>
  <si>
    <t>4Q17A</t>
  </si>
  <si>
    <t>2017A</t>
  </si>
  <si>
    <t>50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</si>
  <si>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</si>
  <si>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</si>
  <si>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</si>
  <si>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</si>
  <si>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</si>
  <si>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</si>
  <si>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</si>
  <si>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Andrew Berens, Thomas Smith, Benjamin Adler</t>
  </si>
  <si>
    <t>Date: 16 Mar 2018</t>
  </si>
  <si>
    <t>Ticker: XLRN.O</t>
  </si>
  <si>
    <t>Stock Rating: Overweight</t>
  </si>
  <si>
    <t>Industry: Biotechnology</t>
  </si>
  <si>
    <t>Industry View: In-Line</t>
  </si>
  <si>
    <t>Price as of 16 Mar 2018: 44.15</t>
  </si>
  <si>
    <t>Target Price: 50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</si>
  <si>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</si>
  <si>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</si>
  <si>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</si>
  <si>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</si>
  <si>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Acceleron Pharma Inc.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</si>
  <si>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</si>
  <si>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</si>
  <si>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</si>
  <si>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</si>
  <si>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</si>
  <si>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</si>
  <si>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</si>
  <si>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</si>
  <si>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</si>
  <si>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</si>
  <si>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</si>
  <si>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</si>
  <si>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</si>
  <si>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</si>
  <si>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</si>
  <si>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</si>
  <si>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</si>
  <si>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</si>
  <si>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</si>
  <si>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</si>
  <si>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</si>
  <si>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</si>
  <si>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</si>
  <si>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</si>
  <si>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</si>
  <si>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</si>
  <si>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</si>
  <si>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</si>
  <si>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</si>
  <si>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</si>
  <si>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</si>
  <si>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</si>
  <si>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</si>
  <si>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</si>
  <si>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</si>
  <si>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</si>
  <si>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</si>
  <si>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</si>
  <si>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</si>
  <si>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</si>
  <si>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</si>
  <si>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</si>
  <si>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</si>
  <si>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</si>
  <si>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</si>
  <si>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</si>
  <si>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</si>
  <si>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</si>
  <si>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</si>
  <si>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</si>
  <si>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</si>
  <si>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</si>
  <si>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</si>
  <si>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</si>
  <si>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</si>
  <si>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</si>
  <si>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</si>
  <si>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</si>
  <si>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</si>
  <si>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</si>
  <si>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</si>
  <si>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</si>
  <si>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</si>
  <si>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</si>
  <si>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</si>
  <si>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</si>
  <si>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</si>
  <si>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</si>
  <si>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</si>
  <si>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</si>
  <si>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</si>
  <si>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</si>
  <si>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</si>
  <si>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</si>
  <si>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</si>
  <si>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</si>
  <si>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</si>
  <si>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</si>
  <si>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</si>
  <si>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</si>
  <si>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</si>
  <si>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</si>
  <si>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</si>
  <si>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</si>
  <si>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</si>
  <si>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</si>
  <si>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</si>
  <si>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</si>
  <si>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</si>
  <si>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</si>
  <si>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</si>
  <si>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</si>
  <si>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</si>
  <si>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</si>
  <si>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</si>
  <si>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</si>
  <si>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</si>
  <si>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</si>
  <si>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</si>
  <si>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</si>
  <si>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</si>
  <si>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</si>
  <si>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</si>
  <si>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</si>
  <si>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</si>
  <si>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</si>
  <si>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</si>
  <si>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</si>
  <si>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</si>
  <si>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</si>
  <si>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</si>
  <si>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</si>
  <si>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</si>
  <si>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</si>
  <si>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</si>
  <si>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</si>
  <si>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</si>
  <si>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</si>
  <si>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</si>
  <si>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</si>
  <si>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</si>
  <si>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</si>
  <si>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</si>
  <si>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</si>
  <si>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</si>
  <si>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</si>
  <si>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</si>
  <si>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</si>
  <si>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</si>
  <si>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</si>
  <si>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</si>
  <si>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</si>
  <si>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</si>
  <si>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</si>
  <si>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</si>
  <si>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</si>
  <si>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</si>
  <si>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</si>
  <si>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</si>
  <si>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</si>
  <si>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</si>
  <si>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</si>
  <si>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</si>
  <si>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</si>
  <si>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</si>
  <si>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</si>
  <si>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</si>
  <si>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</si>
  <si>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</si>
  <si>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</si>
  <si>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</si>
  <si>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</si>
  <si>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</si>
  <si>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</si>
  <si>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</si>
  <si>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</si>
  <si>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</si>
  <si>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</si>
  <si>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</si>
  <si>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</si>
  <si>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</si>
  <si>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</si>
  <si>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</si>
  <si>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</si>
  <si>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</si>
  <si>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</si>
  <si>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</si>
  <si>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</si>
  <si>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</si>
  <si>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</si>
  <si>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</si>
  <si>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</si>
  <si>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</si>
  <si>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</si>
  <si>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</si>
  <si>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</si>
  <si>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</si>
  <si>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</si>
  <si>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</si>
  <si>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</si>
  <si>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</si>
  <si>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</si>
  <si>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</si>
  <si>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</si>
  <si>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</si>
  <si>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</si>
  <si>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</si>
  <si>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</si>
  <si>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</si>
  <si>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</si>
  <si>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</si>
  <si>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</si>
  <si>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</si>
  <si>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</si>
  <si>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</si>
  <si>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</si>
  <si>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</si>
  <si>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</si>
  <si>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</si>
  <si>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</si>
  <si>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</si>
  <si>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</si>
  <si>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</si>
  <si>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</si>
  <si>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</si>
  <si>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</si>
  <si>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</si>
  <si>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</si>
  <si>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</si>
  <si>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</si>
  <si>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</si>
  <si>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</si>
  <si>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</si>
  <si>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</si>
  <si>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</si>
  <si>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</si>
  <si>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</si>
  <si>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</si>
  <si>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</si>
  <si>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</si>
  <si>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</si>
  <si>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</si>
  <si>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</si>
  <si>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</si>
  <si>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</si>
  <si>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</si>
  <si>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</si>
  <si>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</si>
  <si>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</si>
  <si>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</si>
  <si>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</si>
  <si>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</si>
  <si>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</si>
  <si>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</si>
  <si>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</si>
  <si>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</si>
  <si>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</si>
  <si>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</si>
  <si>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</si>
  <si>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</si>
  <si>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</si>
  <si>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</si>
  <si>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Acceleron Pharma Inc.</t>
  </si>
  <si>
    <t>In the next 3 months, Morgan Stanley expects to receive or intends to seek compensation for investment</t>
  </si>
  <si>
    <t>banking services from Acceleron Pharma Inc.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</si>
  <si>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</si>
  <si>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</si>
  <si>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</si>
  <si>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</si>
  <si>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</si>
  <si>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Andrew S Berens.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</si>
  <si>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</si>
  <si>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</si>
  <si>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</si>
  <si>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</si>
  <si>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</si>
  <si>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</si>
  <si>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</si>
  <si>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</si>
  <si>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</si>
  <si>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</si>
  <si>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</si>
  <si>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</si>
  <si>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</si>
  <si>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</si>
  <si>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</si>
  <si>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</si>
  <si>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</si>
  <si>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</si>
  <si>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</si>
  <si>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</si>
  <si>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</si>
  <si>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</si>
  <si>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</si>
  <si>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</si>
  <si>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</si>
  <si>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</si>
  <si>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</si>
  <si>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</si>
  <si>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</si>
  <si>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</si>
  <si>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</si>
  <si>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</si>
  <si>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</si>
  <si>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</si>
  <si>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</si>
  <si>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</si>
  <si>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</si>
  <si>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</si>
  <si>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</si>
  <si>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</si>
  <si>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</si>
  <si>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</si>
  <si>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</si>
  <si>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</si>
  <si>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</si>
  <si>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</si>
  <si>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</si>
  <si>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</si>
  <si>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</si>
  <si>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</si>
  <si>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</si>
  <si>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</si>
  <si>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</si>
  <si>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</si>
  <si>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</si>
  <si>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</si>
  <si>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</si>
  <si>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</si>
  <si>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</si>
  <si>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</si>
  <si>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</si>
  <si>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</si>
  <si>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</si>
  <si>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</si>
  <si>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</si>
  <si>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</si>
  <si>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</si>
  <si>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</si>
  <si>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</si>
  <si>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</si>
  <si>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</si>
  <si>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</si>
  <si>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smithtj</t>
  </si>
  <si>
    <t>MSA43LKG, MSA45LMK, MSA05NML</t>
  </si>
  <si>
    <t>00434H108</t>
  </si>
  <si>
    <t>L:\HEALTH\Biotech\Berens\Working Models\XLRN_AB - 4Q17 earnings.xlsm</t>
  </si>
  <si>
    <t>[BRO MSA]</t>
  </si>
  <si>
    <t>[PRODUCT MODEL]</t>
  </si>
  <si>
    <t>[EMAIL_ALERT YES]</t>
  </si>
  <si>
    <t>[DISCIPLINE Company]</t>
  </si>
  <si>
    <t>[SUPPRESSED NO]</t>
  </si>
  <si>
    <t>[DOCDAT 2018-03-16]</t>
  </si>
  <si>
    <t>[DOCTIME 09:42]</t>
  </si>
  <si>
    <t>[PSYM XLRN.O(S&amp;P) (None)]</t>
  </si>
  <si>
    <t>[COU 1]</t>
  </si>
  <si>
    <t>[ANA MSA05NML]</t>
  </si>
  <si>
    <t>[HL XLRN.O Model]</t>
  </si>
  <si>
    <t>[IND BIOTEC]</t>
  </si>
  <si>
    <t>[PANA MSA43LKG MSA45LMK]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</si>
</sst>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General_)"/>
    <numFmt numFmtId="168" formatCode="_(* #,##0_);_(* \(#,##0\);_(* &quot;-&quot;??_);_(@_)"/>
    <numFmt numFmtId="169" formatCode="0.0%"/>
    <numFmt numFmtId="170" formatCode="_(&quot;$&quot;* #,##0_);_(&quot;$&quot;* \(#,##0\);_(&quot;$&quot;* &quot;-&quot;??_);_(@_)"/>
    <numFmt numFmtId="171" formatCode="0_);\(0\)"/>
    <numFmt numFmtId="172" formatCode="#,##0.0_);\(#,##0.0\)"/>
    <numFmt numFmtId="173" formatCode="0.00_);\(0.00\)"/>
    <numFmt numFmtId="174" formatCode="0.0_);\(0.0\)"/>
    <numFmt numFmtId="175" formatCode="0.0"/>
    <numFmt numFmtId="176" formatCode="0_)"/>
    <numFmt numFmtId="177" formatCode="_(&quot;$&quot;#,##0_)&quot;millions&quot;;\(&quot;$&quot;#,##0\)&quot; millions&quot;"/>
    <numFmt numFmtId="178" formatCode="&quot;$&quot;#,##0.00_)\ \ \ ;\(&quot;$&quot;#,##0.00\)\ \ \ "/>
    <numFmt numFmtId="179" formatCode="&quot;$&quot;#,##0.00&quot;*&quot;\ \ ;\(&quot;$&quot;#,##0.00\)&quot;*&quot;\ \ "/>
    <numFmt numFmtId="180" formatCode="&quot;$&quot;#,##0.00\A_)\ ;\(&quot;$&quot;#,##0.00\A\)\ \ "/>
    <numFmt numFmtId="181" formatCode="&quot;$&quot;@\ "/>
    <numFmt numFmtId="182" formatCode="#,##0.00_);\(#,##0.00\);\-_)"/>
    <numFmt numFmtId="183" formatCode="0.00_);\(0.00\);0.00"/>
    <numFmt numFmtId="184" formatCode="&quot;0&quot;#,##0.00_)"/>
    <numFmt numFmtId="185" formatCode="@\ \ \ \ \ "/>
    <numFmt numFmtId="186" formatCode="m/d/yy_%_)"/>
    <numFmt numFmtId="187" formatCode="#,##0&quot; years&quot;"/>
    <numFmt numFmtId="188" formatCode="0.0000000000"/>
    <numFmt numFmtId="189" formatCode="#,##0.00_)\ \ \ \ \ ;\(#,##0.00\)\ \ \ \ \ "/>
    <numFmt numFmtId="190" formatCode="&quot;$&quot;#,##0.00_)\ \ \ \ \ ;\(&quot;$&quot;#,##0.00\)\ \ \ \ \ "/>
    <numFmt numFmtId="191" formatCode="&quot;$&quot;#,##0.00\A\ \ \ \ ;\(&quot;$&quot;#,##0.00\A\)\ \ \ \ "/>
    <numFmt numFmtId="192" formatCode="&quot;$&quot;#,##0.00&quot;E&quot;\ \ \ \ ;\(&quot;$&quot;#,##0.00&quot;E&quot;\)\ \ \ \ "/>
    <numFmt numFmtId="193" formatCode="#,##0.00\A\ \ \ \ ;\(#,##0.00\A\)\ \ \ \ "/>
    <numFmt numFmtId="194" formatCode="#,##0.00&quot;E&quot;\ \ \ \ ;\(#,##0.00&quot;E&quot;\)\ \ \ \ "/>
    <numFmt numFmtId="195" formatCode="\€#,##0_);\(\€#,##0\)"/>
    <numFmt numFmtId="196" formatCode="#,##0%_);\(#,##0%\);\-_)"/>
    <numFmt numFmtId="197" formatCode="_(* #,##0.00000_);_(* \(#,##0.00000\);_(* &quot;-&quot;??_);_(@_)"/>
    <numFmt numFmtId="198" formatCode="0%\ \ \ \ \ \ \ "/>
    <numFmt numFmtId="199" formatCode="0.000_);\(0.000\)"/>
    <numFmt numFmtId="200" formatCode="#,##0.0;\-#,##0.0"/>
    <numFmt numFmtId="201" formatCode="_(&quot;$&quot;* #,##0_)\ &quot;millions&quot;;_(&quot;$&quot;* \(#,##0\)&quot; millions&quot;"/>
    <numFmt numFmtId="202" formatCode="&quot;$&quot;#\-?/8"/>
    <numFmt numFmtId="203" formatCode="&quot;$&quot;#,##0.0_);\(&quot;$&quot;#,##0.0\)"/>
    <numFmt numFmtId="204" formatCode="\€#,##0.0_);\(\€#,##0.0\)"/>
    <numFmt numFmtId="205" formatCode="#,##0\x_);\(#,##0\x\)"/>
    <numFmt numFmtId="206" formatCode="#,##0%_);\(#,##0%\)"/>
    <numFmt numFmtId="207" formatCode="\£#,##0.0_);\(\£#,##0.0\)"/>
    <numFmt numFmtId="208" formatCode="\¥#,##0.0_);\(\¥#,##0.0\)"/>
    <numFmt numFmtId="209" formatCode="@&quot; MM&quot;"/>
    <numFmt numFmtId="210" formatCode="#,##0.0\x_)_);\(#,##0.0\x\)_);#,##0.0\x_)_);@_%_)"/>
    <numFmt numFmtId="211" formatCode="#,##0.00\x_);\(#,##0.00\x\);\-_)"/>
    <numFmt numFmtId="212" formatCode="#,##0_)"/>
    <numFmt numFmtId="213" formatCode="0.0\ \ \ \ \ \ "/>
    <numFmt numFmtId="214" formatCode="0.0%\ \ \ \ \ "/>
    <numFmt numFmtId="215" formatCode="#,##0.0\%_);\(#,##0.0\%\);#,##0.0\%_);@_%_)"/>
    <numFmt numFmtId="216" formatCode="#,##0.00%_);\(#,##0.00%\);\-_)"/>
    <numFmt numFmtId="217" formatCode="0.00\%;\-0.00\%;0.00\%"/>
    <numFmt numFmtId="218" formatCode="0.00\ \ \ \ "/>
    <numFmt numFmtId="219" formatCode="@\ "/>
    <numFmt numFmtId="220" formatCode="&quot;$&quot;@"/>
    <numFmt numFmtId="221" formatCode="0.00\x;\-0.00\x;0.00\x"/>
    <numFmt numFmtId="222" formatCode="##0.00000"/>
    <numFmt numFmtId="223" formatCode="&quot;$&quot;#,##0.0_);\(&quot;$&quot;#,##0.00\)"/>
    <numFmt numFmtId="224" formatCode="&quot;Table &quot;0"/>
    <numFmt numFmtId="225" formatCode="#,##0.0\ ;\(#,##0.0\)"/>
    <numFmt numFmtId="226" formatCode="0_%_);\(0\)_%;0_%_);@_%_)"/>
    <numFmt numFmtId="227" formatCode="&quot;$&quot;#\-?/?"/>
    <numFmt numFmtId="228" formatCode="_([$€-2]* #,##0.00_);_([$€-2]* \(#,##0.00\);_([$€-2]* &quot;-&quot;??_)"/>
    <numFmt numFmtId="229" formatCode="#,##0\ ;\(#,##0\)"/>
    <numFmt numFmtId="230" formatCode="0.0000%"/>
    <numFmt numFmtId="231" formatCode="_-* #,##0_-;\-* #,##0_-;_-* &quot;-&quot;??_-;_-@_-"/>
    <numFmt numFmtId="232" formatCode="0.0000"/>
    <numFmt numFmtId="233" formatCode="0.00000"/>
    <numFmt numFmtId="234" formatCode="0.000%"/>
    <numFmt numFmtId="235" formatCode="_(&quot;$&quot;* #,##0_);_(&quot;$&quot;* \(#,##0\);_(&quot;$&quot;* &quot;-&quot;?_);_(@_)"/>
    <numFmt numFmtId="236" formatCode="&quot;$&quot;#,##0"/>
    <numFmt numFmtId="237" formatCode="&quot;$&quot;#,##0.00"/>
    <numFmt numFmtId="240" formatCode="#,##0.0_);[Red]\(#,##0.0\)"/>
    <numFmt numFmtId="241" formatCode="&quot;$&quot;#,##0.00;\(&quot;$&quot;#,##0.00\)"/>
    <numFmt numFmtId="242" formatCode="0.0%_);\(0.0%\)"/>
    <numFmt numFmtId="243" formatCode="#,##0;\-#,##0;&quot;-&quot;"/>
    <numFmt numFmtId="244" formatCode="0.000_)"/>
    <numFmt numFmtId="245" formatCode="#,##0\ ;\(#,##0.0\)"/>
    <numFmt numFmtId="246" formatCode="_(* #,##0.0_);_(* \(#,##0.0\);_(* &quot;-&quot;??_);_(@_)"/>
    <numFmt numFmtId="247" formatCode="&quot;$&quot;0.00_)"/>
    <numFmt numFmtId="248" formatCode="_(&quot;$&quot;* #,##0.0_);_(&quot;$&quot;* \(#,##0.0\);_(&quot;$&quot;* &quot;-&quot;_);_(@_)"/>
    <numFmt numFmtId="249" formatCode="&quot;$&quot;#,##0\ ;\(&quot;$&quot;#,##0\)"/>
    <numFmt numFmtId="250" formatCode="#,##0.00;\(#,##0.00"/>
    <numFmt numFmtId="251" formatCode="m/yy"/>
    <numFmt numFmtId="252" formatCode="_(* #,##0.000_);_(* \(#,##0.000\);_(* &quot;-&quot;??_);_(@_)"/>
    <numFmt numFmtId="253" formatCode="#,##0.0"/>
    <numFmt numFmtId="254" formatCode="0.000"/>
    <numFmt numFmtId="255" formatCode="0.0_);[Red]\(0.0\)"/>
    <numFmt numFmtId="256" formatCode="0.00_);[Red]\(0.00\)"/>
    <numFmt numFmtId="257" formatCode="#0.0\x"/>
    <numFmt numFmtId="258" formatCode="0.0%;\ \(0.0%\)"/>
    <numFmt numFmtId="259" formatCode="&quot;$&quot;#,##0.000_);[Red]\(&quot;$&quot;#,##0.000\)"/>
    <numFmt numFmtId="260" formatCode="0_);[Red]\(0\)"/>
    <numFmt numFmtId="261" formatCode="_(&quot;$&quot;* #,##0.000_);_(&quot;$&quot;* \(#,##0.000\);_(&quot;$&quot;* &quot;-&quot;??_);_(@_)"/>
    <numFmt numFmtId="262" formatCode="&quot;$&quot;#,##0.000_);\(&quot;$&quot;#,##0.000\)"/>
    <numFmt numFmtId="263" formatCode="0.0%;\(0.0%\)"/>
    <numFmt numFmtId="264" formatCode="#,##0.000_);\(#,##0.000\)"/>
    <numFmt numFmtId="265" formatCode="0.0\x"/>
    <numFmt numFmtId="266" formatCode="&quot;$&quot;#,##0.00;[Red]&quot;$&quot;#,##0.00"/>
    <numFmt numFmtId="267" formatCode="_(* &quot;$&quot;#,##0.00_);_(* &quot;$&quot;\(#,##0.00\);_(* &quot;$&quot;&quot;-&quot;??_);_(@_)"/>
    <numFmt numFmtId="268" formatCode="_(* &quot;$&quot;#,##0.00_);_(* \(&quot;$&quot;#,##0.00\);@_)"/>
    <numFmt numFmtId="269" formatCode="&quot;$&quot;#,##0;[Red]&quot;$&quot;#,##0"/>
    <numFmt numFmtId="270" formatCode="#,##0.0000_);[Red]\(#,##0.0000\)"/>
    <numFmt numFmtId="271" formatCode="_(&quot;$&quot;\ #,##0.0_);_(&quot;$&quot;\(#,##0.0\);_(\ &quot;-&quot;??_);_(@_)"/>
    <numFmt numFmtId="272" formatCode="#,##0.000_);[Red]\(#,##0.000\)"/>
    <numFmt numFmtId="273" formatCode="_-* #,##0\ &quot;F&quot;_-;\-* #,##0\ &quot;F&quot;_-;_-* &quot;-&quot;\ &quot;F&quot;_-;_-@_-"/>
    <numFmt numFmtId="274" formatCode="_(* #,##0.00\ ___);_(* \(#,##0.00\ __\);_(* &quot;-&quot;??_);_(@_)"/>
    <numFmt numFmtId="275" formatCode="_(* #,##0.0\ \x_);_(* \(#,##0.0\ \x\);_(* &quot;-&quot;??_);_(@_)"/>
    <numFmt numFmtId="276" formatCode="_(* #,##0.0\ ___);_(* \(#,##0.0\ __\);_(* &quot;-&quot;??_);_(@_)"/>
    <numFmt numFmtId="277" formatCode="#,##0.0\ \ \ ;\(#,##0.0\)\ \ "/>
    <numFmt numFmtId="278" formatCode="\(#,##0.0\);\(#,##0.0\)"/>
    <numFmt numFmtId="279" formatCode="#,##0.0;\(#,##0.0"/>
    <numFmt numFmtId="280" formatCode="#,##0___);\(#,##0.00\)"/>
    <numFmt numFmtId="281" formatCode="_-* #,##0.0_-;\-* #,##0.0_-;_-* &quot;-&quot;??_-;_-@_-"/>
    <numFmt numFmtId="282" formatCode="#,##0.0_);\(#,##0.0"/>
    <numFmt numFmtId="283" formatCode="#,##0&quot; $&quot;;\-#,##0&quot; $&quot;"/>
    <numFmt numFmtId="284" formatCode="#,##0\x;\(#,##0\x\)"/>
    <numFmt numFmtId="285" formatCode=";;;"/>
    <numFmt numFmtId="296" formatCode="mm/dd/yy\ hh:mm"/>
  </numFmts>
  <fonts count="19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u val="singleAccounting"/>
      <sz val="8"/>
      <name val="Arial"/>
      <family val="2"/>
    </font>
    <font>
      <b/>
      <u val="singleAccounting"/>
      <sz val="8"/>
      <name val="Arial"/>
      <family val="2"/>
    </font>
    <font>
      <b/>
      <sz val="8"/>
      <color indexed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b/>
      <sz val="10"/>
      <name val="Tms Rmn"/>
    </font>
    <font>
      <sz val="9"/>
      <name val="Arial"/>
      <family val="2"/>
    </font>
    <font>
      <sz val="10"/>
      <name val="Tms Rmn"/>
    </font>
    <font>
      <sz val="10"/>
      <name val="GillSans"/>
    </font>
    <font>
      <sz val="10"/>
      <color indexed="14"/>
      <name val="Baskerville MT"/>
    </font>
    <font>
      <sz val="10"/>
      <name val="MS Sans Serif"/>
      <family val="2"/>
    </font>
    <font>
      <sz val="12"/>
      <name val="Arial MT"/>
    </font>
    <font>
      <sz val="10"/>
      <name val="Arial Narrow"/>
      <family val="2"/>
    </font>
    <font>
      <sz val="8"/>
      <color indexed="12"/>
      <name val="Tms Rmn"/>
    </font>
    <font>
      <sz val="8"/>
      <name val="Times New Roman"/>
      <family val="1"/>
    </font>
    <font>
      <sz val="8"/>
      <name val="Franklin Gothic Book"/>
      <family val="2"/>
    </font>
    <font>
      <b/>
      <sz val="9"/>
      <name val="HelveticaNeue Condensed"/>
      <family val="2"/>
    </font>
    <font>
      <b/>
      <sz val="12"/>
      <name val="Times New Roman"/>
      <family val="1"/>
    </font>
    <font>
      <sz val="24"/>
      <name val="Arial"/>
      <family val="2"/>
    </font>
    <font>
      <b/>
      <sz val="11"/>
      <name val="Times New Roman"/>
      <family val="1"/>
    </font>
    <font>
      <sz val="10"/>
      <name val="Times New Roman"/>
      <family val="1"/>
    </font>
    <font>
      <b/>
      <sz val="9"/>
      <name val="LucidaT"/>
    </font>
    <font>
      <sz val="10.5"/>
      <name val="Times New Roman"/>
      <family val="1"/>
    </font>
    <font>
      <b/>
      <sz val="12"/>
      <name val="Arial"/>
      <family val="2"/>
    </font>
    <font>
      <sz val="9"/>
      <name val="Franklin Gothic Heavy"/>
      <family val="2"/>
    </font>
    <font>
      <b/>
      <sz val="10"/>
      <name val="MS Sans Serif"/>
      <family val="2"/>
    </font>
    <font>
      <sz val="10"/>
      <name val="GillSans Light"/>
    </font>
    <font>
      <b/>
      <sz val="14"/>
      <name val="Book Antiqua"/>
      <family val="1"/>
    </font>
    <font>
      <sz val="8"/>
      <name val="Palatino"/>
      <family val="1"/>
    </font>
    <font>
      <sz val="10"/>
      <name val="HelveticaNeue Condensed"/>
      <family val="2"/>
    </font>
    <font>
      <b/>
      <sz val="13.5"/>
      <name val="MS Sans Serif"/>
      <family val="2"/>
    </font>
    <font>
      <b/>
      <sz val="26"/>
      <name val="Times New Roman"/>
      <family val="1"/>
    </font>
    <font>
      <i/>
      <sz val="14"/>
      <name val="Times New Roman"/>
      <family val="1"/>
    </font>
    <font>
      <b/>
      <sz val="22"/>
      <name val="Book Antiqua"/>
      <family val="1"/>
    </font>
    <font>
      <sz val="10"/>
      <name val="Palatino"/>
    </font>
    <font>
      <sz val="9"/>
      <name val="LucidaT"/>
    </font>
    <font>
      <u/>
      <sz val="10"/>
      <name val="GillSans"/>
      <family val="2"/>
    </font>
    <font>
      <sz val="12"/>
      <name val="Times New Roman"/>
      <family val="1"/>
    </font>
    <font>
      <sz val="10"/>
      <color indexed="23"/>
      <name val="MS Sans Serif"/>
      <family val="2"/>
    </font>
    <font>
      <sz val="7"/>
      <name val="Times New Roman"/>
      <family val="1"/>
    </font>
    <font>
      <sz val="8"/>
      <name val="Helvetica-Narrow"/>
      <family val="2"/>
    </font>
    <font>
      <b/>
      <sz val="7"/>
      <name val="Helvetica-Narrow"/>
      <family val="2"/>
    </font>
    <font>
      <b/>
      <sz val="12"/>
      <name val="GillSans"/>
      <family val="2"/>
    </font>
    <font>
      <b/>
      <sz val="14"/>
      <name val="Times New Roman"/>
      <family val="1"/>
    </font>
    <font>
      <b/>
      <sz val="14"/>
      <color indexed="9"/>
      <name val="Times New Roman"/>
      <family val="1"/>
    </font>
    <font>
      <u/>
      <sz val="11"/>
      <name val="GillSans"/>
      <family val="2"/>
    </font>
    <font>
      <sz val="8"/>
      <color indexed="16"/>
      <name val="Helv"/>
    </font>
    <font>
      <u/>
      <sz val="11"/>
      <color theme="10"/>
      <name val="Calibri"/>
      <family val="2"/>
    </font>
    <font>
      <sz val="10"/>
      <color theme="1"/>
      <name val="Arial"/>
      <family val="2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2"/>
      <name val="Tms Rmn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9"/>
      <name val="Geneva"/>
    </font>
    <font>
      <b/>
      <i/>
      <sz val="14"/>
      <name val="Arial"/>
      <family val="2"/>
    </font>
    <font>
      <sz val="14"/>
      <name val="Arial"/>
      <family val="2"/>
    </font>
    <font>
      <b/>
      <i/>
      <sz val="24"/>
      <color theme="4"/>
      <name val="Arial"/>
      <family val="2"/>
    </font>
    <font>
      <sz val="24"/>
      <color theme="4"/>
      <name val="Arial"/>
      <family val="2"/>
    </font>
    <font>
      <b/>
      <sz val="10"/>
      <name val="Arial Narrow"/>
      <family val="2"/>
    </font>
    <font>
      <sz val="10"/>
      <color indexed="10"/>
      <name val="Arial Narrow"/>
      <family val="2"/>
    </font>
    <font>
      <sz val="10"/>
      <color indexed="8"/>
      <name val="Arial Narrow"/>
      <family val="2"/>
    </font>
    <font>
      <b/>
      <sz val="10"/>
      <color indexed="9"/>
      <name val="Arial Narrow"/>
      <family val="2"/>
    </font>
    <font>
      <sz val="10"/>
      <color indexed="12"/>
      <name val="Arial Narrow"/>
      <family val="2"/>
    </font>
    <font>
      <b/>
      <sz val="10"/>
      <color indexed="8"/>
      <name val="Arial Narrow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i/>
      <sz val="11"/>
      <color rgb="FF000000"/>
      <name val="Calibri"/>
      <family val="2"/>
    </font>
    <font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Arial"/>
      <family val="2"/>
    </font>
    <font>
      <u/>
      <sz val="9"/>
      <name val="Arial"/>
      <family val="2"/>
    </font>
    <font>
      <i/>
      <sz val="9"/>
      <name val="Arial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 Narrow MT"/>
      <family val="2"/>
    </font>
    <font>
      <b/>
      <i/>
      <sz val="12"/>
      <name val="Arial Narrow MT"/>
      <family val="2"/>
    </font>
    <font>
      <b/>
      <sz val="10"/>
      <color theme="1"/>
      <name val="Arial"/>
      <family val="2"/>
    </font>
    <font>
      <b/>
      <u/>
      <sz val="10"/>
      <name val="Arial"/>
      <family val="2"/>
    </font>
    <font>
      <b/>
      <u/>
      <sz val="14"/>
      <color theme="1"/>
      <name val="Calibri"/>
      <family val="2"/>
      <scheme val="minor"/>
    </font>
    <font>
      <sz val="8.5"/>
      <name val="Arial Narrow"/>
      <family val="2"/>
    </font>
    <font>
      <u/>
      <sz val="8.5"/>
      <color indexed="12"/>
      <name val="Arial Narrow"/>
      <family val="2"/>
    </font>
    <font>
      <sz val="8"/>
      <color indexed="49"/>
      <name val="Times New Roman"/>
      <family val="1"/>
    </font>
    <font>
      <sz val="11"/>
      <color rgb="FF9C0006"/>
      <name val="Calibri"/>
      <family val="2"/>
    </font>
    <font>
      <b/>
      <sz val="10"/>
      <color indexed="9"/>
      <name val="Arial"/>
      <family val="2"/>
    </font>
    <font>
      <b/>
      <sz val="12"/>
      <name val="Times"/>
      <family val="1"/>
    </font>
    <font>
      <b/>
      <i/>
      <sz val="12"/>
      <name val="Times"/>
      <family val="1"/>
    </font>
    <font>
      <sz val="10"/>
      <color indexed="18"/>
      <name val="Times New Roman"/>
      <family val="1"/>
    </font>
    <font>
      <sz val="10"/>
      <name val="Book Antiqua"/>
      <family val="1"/>
    </font>
    <font>
      <sz val="10"/>
      <name val="Helv"/>
    </font>
    <font>
      <sz val="11"/>
      <name val="Tms Rmn"/>
      <family val="1"/>
    </font>
    <font>
      <sz val="8"/>
      <color indexed="12"/>
      <name val="Times New Roman"/>
      <family val="1"/>
    </font>
    <font>
      <sz val="10"/>
      <name val="MS Serif"/>
      <family val="1"/>
    </font>
    <font>
      <sz val="10"/>
      <color indexed="12"/>
      <name val="Helv"/>
    </font>
    <font>
      <sz val="8"/>
      <color indexed="8"/>
      <name val="Times New Roman"/>
      <family val="1"/>
    </font>
    <font>
      <sz val="8"/>
      <color indexed="24"/>
      <name val="Arial"/>
      <family val="2"/>
    </font>
    <font>
      <sz val="8"/>
      <name val="Tms Rmn"/>
    </font>
    <font>
      <b/>
      <sz val="8"/>
      <name val="Times New Roman"/>
      <family val="1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u val="doubleAccounting"/>
      <sz val="9"/>
      <name val="Geneva"/>
    </font>
    <font>
      <b/>
      <sz val="9"/>
      <name val="Geneva"/>
    </font>
    <font>
      <sz val="10"/>
      <color indexed="24"/>
      <name val="Arial"/>
      <family val="2"/>
    </font>
    <font>
      <b/>
      <sz val="10"/>
      <color indexed="24"/>
      <name val="Arial"/>
      <family val="2"/>
    </font>
    <font>
      <sz val="7"/>
      <name val="Arial"/>
      <family val="2"/>
    </font>
    <font>
      <sz val="11"/>
      <color rgb="FF006100"/>
      <name val="Calibri"/>
      <family val="2"/>
    </font>
    <font>
      <b/>
      <sz val="8"/>
      <name val="MS Sans Serif"/>
      <family val="2"/>
    </font>
    <font>
      <sz val="10"/>
      <name val="Courier"/>
      <family val="3"/>
    </font>
    <font>
      <u/>
      <sz val="8.5"/>
      <color indexed="12"/>
      <name val="Arial"/>
      <family val="2"/>
    </font>
    <font>
      <sz val="8"/>
      <color indexed="12"/>
      <name val="Helv"/>
    </font>
    <font>
      <sz val="10"/>
      <color indexed="14"/>
      <name val="Arial"/>
      <family val="2"/>
    </font>
    <font>
      <sz val="8"/>
      <color indexed="18"/>
      <name val="Times New Roman"/>
      <family val="1"/>
    </font>
    <font>
      <sz val="8"/>
      <name val="Helv"/>
    </font>
    <font>
      <sz val="11"/>
      <color rgb="FF9C6500"/>
      <name val="Calibri"/>
      <family val="2"/>
    </font>
    <font>
      <sz val="8"/>
      <name val="Book Antiqua"/>
      <family val="1"/>
    </font>
    <font>
      <b/>
      <sz val="10"/>
      <color indexed="72"/>
      <name val="Arial"/>
      <family val="2"/>
    </font>
    <font>
      <sz val="10"/>
      <color indexed="12"/>
      <name val="MS Sans Serif"/>
      <family val="2"/>
    </font>
    <font>
      <sz val="8"/>
      <name val="Wingdings"/>
      <charset val="2"/>
    </font>
    <font>
      <sz val="10"/>
      <name val="Times"/>
      <family val="1"/>
    </font>
    <font>
      <sz val="8"/>
      <name val="MS Sans Serif"/>
      <family val="2"/>
    </font>
    <font>
      <b/>
      <sz val="10"/>
      <color indexed="12"/>
      <name val="MS Sans Serif"/>
      <family val="2"/>
    </font>
    <font>
      <b/>
      <sz val="8"/>
      <color indexed="8"/>
      <name val="Helv"/>
    </font>
    <font>
      <u/>
      <sz val="10"/>
      <name val="Helv"/>
    </font>
    <font>
      <sz val="11"/>
      <name val="Times New Roman"/>
      <family val="1"/>
    </font>
    <font>
      <sz val="11"/>
      <color rgb="FF0070C0"/>
      <name val="Calibri"/>
      <family val="2"/>
      <scheme val="minor"/>
    </font>
    <font>
      <sz val="11"/>
      <color indexed="12"/>
      <name val="Calibri"/>
      <family val="2"/>
      <scheme val="minor"/>
    </font>
    <font>
      <i/>
      <sz val="11"/>
      <color indexed="12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0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0070C0"/>
      <name val="Calibri"/>
      <family val="2"/>
      <scheme val="minor"/>
    </font>
    <font>
      <sz val="8"/>
      <color rgb="FF0000FF"/>
      <name val="Calibri"/>
      <family val="2"/>
      <scheme val="minor"/>
    </font>
    <font>
      <b/>
      <i/>
      <sz val="9"/>
      <name val="Arial"/>
      <family val="2"/>
    </font>
    <font>
      <sz val="11"/>
      <color rgb="FF0000FF"/>
      <name val="Calibri"/>
      <family val="2"/>
      <scheme val="minor"/>
    </font>
    <font>
      <sz val="11"/>
      <color theme="1"/>
      <name val="Arial"/>
      <family val="2"/>
    </font>
    <font>
      <sz val="11"/>
      <color indexed="8"/>
      <name val="Arial"/>
      <family val="2"/>
    </font>
    <font>
      <b/>
      <i/>
      <sz val="13"/>
      <name val="Arial"/>
      <family val="2"/>
    </font>
    <font>
      <u/>
      <sz val="10"/>
      <name val="Arial"/>
      <family val="2"/>
    </font>
    <font>
      <b/>
      <u val="singleAccounting"/>
      <sz val="10"/>
      <name val="Arial"/>
      <family val="2"/>
    </font>
    <font>
      <sz val="10"/>
      <color rgb="FF0000FF"/>
      <name val="Arial"/>
      <family val="2"/>
    </font>
    <font>
      <u val="singleAccounting"/>
      <sz val="10"/>
      <name val="Arial"/>
      <family val="2"/>
    </font>
    <font>
      <i/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10"/>
      <color indexed="2"/>
      <name val="Segoe UI"/>
      <family val="2"/>
    </font>
    <font>
      <b/>
      <sz val="10"/>
      <color indexed="0"/>
      <name val="Segoe UI"/>
      <family val="2"/>
    </font>
    <font>
      <sz val="10"/>
      <name val="Segoe UI"/>
      <family val="2"/>
    </font>
    <font>
      <b/>
      <i/>
      <sz val="10"/>
      <color indexed="4"/>
      <name val="Segoe UI"/>
      <family val="2"/>
    </font>
    <font>
      <sz val="10"/>
      <color indexed="4"/>
      <name val="Segoe UI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lightGray">
        <fgColor indexed="12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8"/>
        <bgColor indexed="64"/>
      </patternFill>
    </fill>
    <fill>
      <patternFill patternType="darkTrellis">
        <fgColor indexed="13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</patternFill>
    </fill>
    <fill>
      <patternFill patternType="solid">
        <fgColor indexed="9"/>
        <bgColor indexed="64"/>
      </patternFill>
    </fill>
    <fill>
      <patternFill patternType="gray125">
        <fgColor indexed="8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gray0625">
        <fgColor indexed="22"/>
        <bgColor indexed="9"/>
      </patternFill>
    </fill>
    <fill>
      <patternFill patternType="solid">
        <fgColor theme="4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indexed="48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4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double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1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 style="dotted">
        <color indexed="12"/>
      </bottom>
      <diagonal/>
    </border>
    <border>
      <left style="thick">
        <color indexed="12"/>
      </left>
      <right style="thick">
        <color indexed="12"/>
      </right>
      <top style="thick">
        <color indexed="12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377">
    <xf numFmtId="0" fontId="0" fillId="0" borderId="0"/>
    <xf numFmtId="9" fontId="1" fillId="0" borderId="0" applyFont="0" applyFill="0" applyBorder="0" applyAlignment="0" applyProtection="0"/>
    <xf numFmtId="0" fontId="17" fillId="0" borderId="0">
      <alignment vertical="center"/>
    </xf>
    <xf numFmtId="0" fontId="33" fillId="0" borderId="0"/>
    <xf numFmtId="177" fontId="33" fillId="0" borderId="0">
      <alignment horizontal="right"/>
    </xf>
    <xf numFmtId="178" fontId="33" fillId="33" borderId="0"/>
    <xf numFmtId="179" fontId="33" fillId="33" borderId="0"/>
    <xf numFmtId="180" fontId="33" fillId="33" borderId="0"/>
    <xf numFmtId="181" fontId="33" fillId="33" borderId="0">
      <alignment horizontal="right"/>
    </xf>
    <xf numFmtId="7" fontId="34" fillId="0" borderId="0">
      <alignment horizontal="right"/>
    </xf>
    <xf numFmtId="0" fontId="29" fillId="0" borderId="0"/>
    <xf numFmtId="0" fontId="29" fillId="0" borderId="0"/>
    <xf numFmtId="176" fontId="35" fillId="0" borderId="0"/>
    <xf numFmtId="9" fontId="17" fillId="0" borderId="0"/>
    <xf numFmtId="175" fontId="35" fillId="0" borderId="0"/>
    <xf numFmtId="169" fontId="35" fillId="0" borderId="0"/>
    <xf numFmtId="2" fontId="35" fillId="0" borderId="0"/>
    <xf numFmtId="10" fontId="35" fillId="0" borderId="0"/>
    <xf numFmtId="37" fontId="36" fillId="0" borderId="0">
      <alignment horizontal="center"/>
    </xf>
    <xf numFmtId="171" fontId="37" fillId="34" borderId="0" applyProtection="0">
      <alignment horizontal="right"/>
    </xf>
    <xf numFmtId="0" fontId="29" fillId="0" borderId="0"/>
    <xf numFmtId="0" fontId="38" fillId="0" borderId="0" applyNumberFormat="0" applyFill="0" applyBorder="0" applyAlignment="0" applyProtection="0"/>
    <xf numFmtId="0" fontId="39" fillId="0" borderId="10" applyNumberFormat="0" applyFont="0" applyFill="0" applyAlignment="0" applyProtection="0"/>
    <xf numFmtId="0" fontId="39" fillId="0" borderId="11" applyNumberFormat="0" applyFont="0" applyFill="0" applyAlignment="0" applyProtection="0"/>
    <xf numFmtId="172" fontId="40" fillId="0" borderId="12" applyNumberFormat="0" applyFont="0" applyFill="0" applyAlignment="0" applyProtection="0">
      <alignment horizontal="left" vertical="center"/>
    </xf>
    <xf numFmtId="37" fontId="41" fillId="0" borderId="0" applyNumberFormat="0" applyFill="0" applyBorder="0" applyProtection="0">
      <alignment horizontal="centerContinuous" vertical="center"/>
    </xf>
    <xf numFmtId="0" fontId="42" fillId="0" borderId="12" applyNumberFormat="0" applyFill="0" applyProtection="0">
      <alignment horizontal="left" vertical="center"/>
    </xf>
    <xf numFmtId="0" fontId="17" fillId="0" borderId="0">
      <alignment horizontal="center" wrapText="1"/>
      <protection hidden="1"/>
    </xf>
    <xf numFmtId="43" fontId="17" fillId="0" borderId="0" applyFont="0" applyFill="0" applyBorder="0" applyAlignment="0" applyProtection="0"/>
    <xf numFmtId="182" fontId="31" fillId="0" borderId="0" applyFont="0" applyFill="0" applyBorder="0" applyAlignment="0" applyProtection="0"/>
    <xf numFmtId="0" fontId="43" fillId="35" borderId="0">
      <alignment horizontal="center" vertical="center" wrapText="1"/>
    </xf>
    <xf numFmtId="167" fontId="44" fillId="0" borderId="0" applyFill="0" applyBorder="0">
      <alignment horizontal="left"/>
    </xf>
    <xf numFmtId="183" fontId="17" fillId="0" borderId="0" applyFill="0" applyBorder="0">
      <alignment horizontal="right"/>
      <protection locked="0"/>
    </xf>
    <xf numFmtId="44" fontId="17" fillId="0" borderId="0" applyFont="0" applyFill="0" applyBorder="0" applyAlignment="0" applyProtection="0"/>
    <xf numFmtId="184" fontId="45" fillId="0" borderId="0" applyProtection="0">
      <alignment horizontal="right"/>
    </xf>
    <xf numFmtId="185" fontId="33" fillId="33" borderId="13">
      <alignment horizontal="right"/>
    </xf>
    <xf numFmtId="2" fontId="17" fillId="0" borderId="0" applyNumberFormat="0" applyFill="0" applyBorder="0" applyAlignment="0" applyProtection="0">
      <protection locked="0"/>
    </xf>
    <xf numFmtId="2" fontId="17" fillId="0" borderId="0" applyNumberFormat="0" applyFill="0" applyBorder="0" applyProtection="0">
      <alignment horizontal="left"/>
    </xf>
    <xf numFmtId="186" fontId="39" fillId="0" borderId="0" applyFont="0" applyFill="0" applyBorder="0" applyProtection="0">
      <alignment horizontal="right"/>
    </xf>
    <xf numFmtId="16" fontId="17" fillId="36" borderId="0" applyProtection="0"/>
    <xf numFmtId="187" fontId="17" fillId="0" borderId="0"/>
    <xf numFmtId="171" fontId="17" fillId="37" borderId="0"/>
    <xf numFmtId="188" fontId="17" fillId="0" borderId="0"/>
    <xf numFmtId="5" fontId="28" fillId="0" borderId="0" applyFont="0" applyFill="0" applyBorder="0" applyAlignment="0" applyProtection="0">
      <protection locked="0"/>
    </xf>
    <xf numFmtId="0" fontId="45" fillId="0" borderId="14" applyProtection="0">
      <alignment vertical="top"/>
    </xf>
    <xf numFmtId="189" fontId="33" fillId="38" borderId="0"/>
    <xf numFmtId="190" fontId="33" fillId="38" borderId="0"/>
    <xf numFmtId="191" fontId="33" fillId="38" borderId="0"/>
    <xf numFmtId="192" fontId="33" fillId="0" borderId="0"/>
    <xf numFmtId="193" fontId="33" fillId="0" borderId="0"/>
    <xf numFmtId="194" fontId="33" fillId="0" borderId="0"/>
    <xf numFmtId="195" fontId="31" fillId="0" borderId="0"/>
    <xf numFmtId="169" fontId="17" fillId="40" borderId="0"/>
    <xf numFmtId="171" fontId="17" fillId="37" borderId="0"/>
    <xf numFmtId="173" fontId="17" fillId="37" borderId="0"/>
    <xf numFmtId="196" fontId="17" fillId="0" borderId="0"/>
    <xf numFmtId="37" fontId="45" fillId="0" borderId="0" applyProtection="0">
      <alignment horizontal="right"/>
    </xf>
    <xf numFmtId="39" fontId="45" fillId="0" borderId="0" applyProtection="0">
      <alignment horizontal="right"/>
    </xf>
    <xf numFmtId="197" fontId="17" fillId="0" borderId="0"/>
    <xf numFmtId="0" fontId="45" fillId="0" borderId="0" applyNumberFormat="0" applyFill="0" applyBorder="0" applyProtection="0">
      <alignment horizontal="left" vertical="center"/>
    </xf>
    <xf numFmtId="190" fontId="33" fillId="0" borderId="15"/>
    <xf numFmtId="198" fontId="33" fillId="33" borderId="13">
      <alignment horizontal="right"/>
    </xf>
    <xf numFmtId="38" fontId="21" fillId="33" borderId="0" applyNumberFormat="0" applyBorder="0" applyAlignment="0" applyProtection="0"/>
    <xf numFmtId="0" fontId="47" fillId="0" borderId="0" applyProtection="0">
      <alignment horizontal="right" vertical="top"/>
    </xf>
    <xf numFmtId="0" fontId="48" fillId="0" borderId="16" applyNumberFormat="0" applyAlignment="0" applyProtection="0">
      <alignment horizontal="left" vertical="center"/>
    </xf>
    <xf numFmtId="0" fontId="48" fillId="0" borderId="17">
      <alignment horizontal="left" vertical="center"/>
    </xf>
    <xf numFmtId="172" fontId="49" fillId="39" borderId="0" applyBorder="0">
      <alignment horizontal="left" vertical="center"/>
    </xf>
    <xf numFmtId="171" fontId="17" fillId="41" borderId="0"/>
    <xf numFmtId="171" fontId="17" fillId="39" borderId="0"/>
    <xf numFmtId="1" fontId="17" fillId="37" borderId="0"/>
    <xf numFmtId="3" fontId="45" fillId="42" borderId="18" applyProtection="0">
      <alignment horizontal="right"/>
      <protection locked="0"/>
    </xf>
    <xf numFmtId="171" fontId="17" fillId="36" borderId="0"/>
    <xf numFmtId="173" fontId="17" fillId="36" borderId="0"/>
    <xf numFmtId="199" fontId="17" fillId="36" borderId="0"/>
    <xf numFmtId="10" fontId="21" fillId="43" borderId="18" applyNumberFormat="0" applyBorder="0" applyAlignment="0" applyProtection="0"/>
    <xf numFmtId="0" fontId="17" fillId="0" borderId="0" applyProtection="0"/>
    <xf numFmtId="9" fontId="45" fillId="42" borderId="18" applyProtection="0">
      <alignment horizontal="right"/>
      <protection locked="0"/>
    </xf>
    <xf numFmtId="171" fontId="17" fillId="36" borderId="0"/>
    <xf numFmtId="174" fontId="17" fillId="36" borderId="0"/>
    <xf numFmtId="173" fontId="17" fillId="36" borderId="0"/>
    <xf numFmtId="199" fontId="17" fillId="36" borderId="0"/>
    <xf numFmtId="200" fontId="17" fillId="0" borderId="0"/>
    <xf numFmtId="173" fontId="17" fillId="0" borderId="0" applyFill="0" applyBorder="0">
      <alignment horizontal="right"/>
      <protection locked="0"/>
    </xf>
    <xf numFmtId="0" fontId="50" fillId="44" borderId="19">
      <alignment horizontal="left" vertical="center" wrapText="1"/>
    </xf>
    <xf numFmtId="0" fontId="51" fillId="0" borderId="0" applyNumberFormat="0" applyFill="0" applyBorder="0" applyProtection="0">
      <alignment horizontal="left" vertical="center"/>
    </xf>
    <xf numFmtId="171" fontId="37" fillId="33" borderId="0" applyFont="0" applyProtection="0"/>
    <xf numFmtId="201" fontId="33" fillId="0" borderId="0">
      <alignment horizontal="right"/>
    </xf>
    <xf numFmtId="202" fontId="33" fillId="38" borderId="0">
      <alignment horizontal="right"/>
    </xf>
    <xf numFmtId="37" fontId="17" fillId="0" borderId="0" applyProtection="0"/>
    <xf numFmtId="203" fontId="45" fillId="0" borderId="0" applyFont="0" applyFill="0" applyBorder="0" applyAlignment="0" applyProtection="0"/>
    <xf numFmtId="204" fontId="45" fillId="0" borderId="0" applyFont="0" applyFill="0" applyBorder="0" applyAlignment="0" applyProtection="0"/>
    <xf numFmtId="0" fontId="52" fillId="45" borderId="20">
      <alignment horizontal="left" vertical="top"/>
    </xf>
    <xf numFmtId="205" fontId="17" fillId="0" borderId="0" applyProtection="0"/>
    <xf numFmtId="206" fontId="45" fillId="0" borderId="0" applyFont="0" applyFill="0" applyBorder="0" applyAlignment="0" applyProtection="0"/>
    <xf numFmtId="207" fontId="45" fillId="0" borderId="0" applyFont="0" applyFill="0" applyBorder="0" applyAlignment="0" applyProtection="0"/>
    <xf numFmtId="208" fontId="45" fillId="0" borderId="0" applyFont="0" applyFill="0" applyBorder="0" applyAlignment="0" applyProtection="0"/>
    <xf numFmtId="209" fontId="33" fillId="38" borderId="13">
      <alignment horizontal="right"/>
    </xf>
    <xf numFmtId="210" fontId="53" fillId="0" borderId="0" applyFont="0" applyFill="0" applyBorder="0" applyProtection="0">
      <alignment horizontal="right"/>
    </xf>
    <xf numFmtId="211" fontId="45" fillId="0" borderId="0" applyFont="0" applyFill="0" applyBorder="0" applyAlignment="0" applyProtection="0"/>
    <xf numFmtId="167" fontId="30" fillId="46" borderId="21"/>
    <xf numFmtId="37" fontId="54" fillId="0" borderId="0" applyProtection="0">
      <alignment horizontal="right" vertical="center"/>
    </xf>
    <xf numFmtId="0" fontId="21" fillId="0" borderId="0"/>
    <xf numFmtId="0" fontId="17" fillId="0" borderId="22"/>
    <xf numFmtId="0" fontId="55" fillId="0" borderId="0">
      <alignment horizontal="left"/>
    </xf>
    <xf numFmtId="212" fontId="45" fillId="0" borderId="0" applyProtection="0">
      <alignment horizontal="right"/>
    </xf>
    <xf numFmtId="0" fontId="45" fillId="0" borderId="0" applyProtection="0"/>
    <xf numFmtId="9" fontId="45" fillId="0" borderId="0" applyProtection="0">
      <alignment horizontal="right"/>
    </xf>
    <xf numFmtId="37" fontId="37" fillId="45" borderId="0" applyAlignment="0"/>
    <xf numFmtId="0" fontId="56" fillId="0" borderId="0" applyProtection="0">
      <alignment horizontal="left"/>
    </xf>
    <xf numFmtId="0" fontId="57" fillId="45" borderId="0"/>
    <xf numFmtId="0" fontId="58" fillId="45" borderId="10"/>
    <xf numFmtId="0" fontId="59" fillId="0" borderId="0" applyNumberFormat="0" applyFill="0" applyBorder="0" applyAlignment="0" applyProtection="0"/>
    <xf numFmtId="213" fontId="33" fillId="38" borderId="0"/>
    <xf numFmtId="214" fontId="33" fillId="0" borderId="0"/>
    <xf numFmtId="9" fontId="17" fillId="0" borderId="0" applyFont="0" applyFill="0" applyBorder="0" applyAlignment="0" applyProtection="0"/>
    <xf numFmtId="9" fontId="60" fillId="0" borderId="0" applyFont="0" applyFill="0" applyBorder="0" applyAlignment="0" applyProtection="0">
      <alignment horizontal="right" vertical="center"/>
    </xf>
    <xf numFmtId="169" fontId="60" fillId="0" borderId="0" applyFont="0" applyFill="0" applyBorder="0" applyAlignment="0" applyProtection="0">
      <alignment horizontal="right" vertical="center"/>
    </xf>
    <xf numFmtId="0" fontId="17" fillId="0" borderId="0"/>
    <xf numFmtId="10" fontId="45" fillId="0" borderId="0" applyProtection="0">
      <alignment horizontal="right"/>
    </xf>
    <xf numFmtId="215" fontId="39" fillId="0" borderId="0" applyFont="0" applyFill="0" applyBorder="0" applyProtection="0">
      <alignment horizontal="right"/>
    </xf>
    <xf numFmtId="216" fontId="31" fillId="0" borderId="0" applyFont="0" applyFill="0" applyBorder="0" applyAlignment="0" applyProtection="0"/>
    <xf numFmtId="217" fontId="17" fillId="0" borderId="0" applyFill="0" applyBorder="0">
      <alignment horizontal="right"/>
      <protection locked="0"/>
    </xf>
    <xf numFmtId="39" fontId="31" fillId="0" borderId="18">
      <alignment horizontal="center"/>
    </xf>
    <xf numFmtId="218" fontId="33" fillId="33" borderId="0"/>
    <xf numFmtId="0" fontId="61" fillId="0" borderId="0">
      <alignment horizontal="center"/>
    </xf>
    <xf numFmtId="0" fontId="33" fillId="0" borderId="12">
      <alignment horizontal="centerContinuous"/>
    </xf>
    <xf numFmtId="219" fontId="33" fillId="33" borderId="0">
      <alignment horizontal="right"/>
    </xf>
    <xf numFmtId="220" fontId="33" fillId="33" borderId="13">
      <alignment horizontal="right"/>
    </xf>
    <xf numFmtId="221" fontId="17" fillId="0" borderId="0">
      <alignment horizontal="right"/>
      <protection locked="0"/>
    </xf>
    <xf numFmtId="171" fontId="46" fillId="0" borderId="0" applyNumberFormat="0" applyFont="0" applyFill="0" applyAlignment="0" applyProtection="0">
      <alignment horizontal="right" vertical="center"/>
    </xf>
    <xf numFmtId="0" fontId="62" fillId="0" borderId="0" applyNumberFormat="0" applyFill="0" applyBorder="0" applyProtection="0">
      <alignment horizontal="right" vertical="center"/>
    </xf>
    <xf numFmtId="222" fontId="63" fillId="0" borderId="0" applyFill="0" applyBorder="0">
      <alignment horizontal="right"/>
      <protection hidden="1"/>
    </xf>
    <xf numFmtId="0" fontId="42" fillId="0" borderId="0" applyNumberFormat="0" applyFill="0" applyBorder="0" applyProtection="0">
      <alignment horizontal="left" vertical="center"/>
    </xf>
    <xf numFmtId="172" fontId="49" fillId="0" borderId="0" applyNumberFormat="0" applyProtection="0">
      <alignment horizontal="left" vertical="center"/>
    </xf>
    <xf numFmtId="0" fontId="26" fillId="0" borderId="0" applyFill="0" applyBorder="0" applyProtection="0">
      <alignment horizontal="left"/>
    </xf>
    <xf numFmtId="0" fontId="64" fillId="0" borderId="0" applyFill="0" applyBorder="0" applyProtection="0">
      <alignment horizontal="left" vertical="top"/>
    </xf>
    <xf numFmtId="223" fontId="65" fillId="0" borderId="0" applyNumberFormat="0" applyFill="0" applyBorder="0">
      <alignment horizontal="left"/>
    </xf>
    <xf numFmtId="223" fontId="66" fillId="0" borderId="0" applyNumberFormat="0" applyFill="0" applyBorder="0">
      <alignment horizontal="right"/>
    </xf>
    <xf numFmtId="49" fontId="67" fillId="0" borderId="0"/>
    <xf numFmtId="172" fontId="31" fillId="0" borderId="18">
      <alignment horizontal="center"/>
    </xf>
    <xf numFmtId="0" fontId="68" fillId="0" borderId="0" applyNumberFormat="0" applyFill="0" applyBorder="0" applyProtection="0">
      <alignment horizontal="centerContinuous" vertical="center"/>
    </xf>
    <xf numFmtId="224" fontId="69" fillId="47" borderId="0" applyNumberFormat="0" applyProtection="0">
      <alignment horizontal="left" vertical="center"/>
    </xf>
    <xf numFmtId="0" fontId="68" fillId="0" borderId="0" applyNumberFormat="0" applyProtection="0">
      <alignment horizontal="left" vertical="center"/>
    </xf>
    <xf numFmtId="0" fontId="17" fillId="0" borderId="0" applyBorder="0"/>
    <xf numFmtId="0" fontId="70" fillId="0" borderId="0"/>
    <xf numFmtId="171" fontId="41" fillId="0" borderId="12" applyProtection="0">
      <alignment horizontal="right" vertical="center"/>
    </xf>
    <xf numFmtId="0" fontId="45" fillId="0" borderId="23" applyProtection="0">
      <alignment vertical="top"/>
    </xf>
    <xf numFmtId="225" fontId="71" fillId="0" borderId="0" applyNumberFormat="0"/>
    <xf numFmtId="167" fontId="32" fillId="0" borderId="0"/>
    <xf numFmtId="226" fontId="39" fillId="0" borderId="0" applyFont="0" applyFill="0" applyBorder="0" applyProtection="0">
      <alignment horizontal="right"/>
    </xf>
    <xf numFmtId="0" fontId="17" fillId="0" borderId="0"/>
    <xf numFmtId="0" fontId="17" fillId="0" borderId="0">
      <alignment vertical="center"/>
    </xf>
    <xf numFmtId="9" fontId="17" fillId="0" borderId="0"/>
    <xf numFmtId="0" fontId="17" fillId="0" borderId="0">
      <alignment horizontal="center" wrapText="1"/>
      <protection hidden="1"/>
    </xf>
    <xf numFmtId="43" fontId="17" fillId="0" borderId="0" applyFont="0" applyFill="0" applyBorder="0" applyAlignment="0" applyProtection="0"/>
    <xf numFmtId="183" fontId="17" fillId="0" borderId="0" applyFill="0" applyBorder="0">
      <alignment horizontal="right"/>
      <protection locked="0"/>
    </xf>
    <xf numFmtId="44" fontId="17" fillId="0" borderId="0" applyFont="0" applyFill="0" applyBorder="0" applyAlignment="0" applyProtection="0"/>
    <xf numFmtId="2" fontId="17" fillId="0" borderId="0" applyNumberFormat="0" applyFill="0" applyBorder="0" applyAlignment="0" applyProtection="0">
      <protection locked="0"/>
    </xf>
    <xf numFmtId="2" fontId="17" fillId="0" borderId="0" applyNumberFormat="0" applyFill="0" applyBorder="0" applyProtection="0">
      <alignment horizontal="left"/>
    </xf>
    <xf numFmtId="16" fontId="17" fillId="36" borderId="0" applyProtection="0"/>
    <xf numFmtId="187" fontId="17" fillId="0" borderId="0"/>
    <xf numFmtId="171" fontId="17" fillId="37" borderId="0"/>
    <xf numFmtId="188" fontId="17" fillId="0" borderId="0"/>
    <xf numFmtId="169" fontId="17" fillId="40" borderId="0"/>
    <xf numFmtId="171" fontId="17" fillId="37" borderId="0"/>
    <xf numFmtId="173" fontId="17" fillId="37" borderId="0"/>
    <xf numFmtId="196" fontId="17" fillId="0" borderId="0"/>
    <xf numFmtId="44" fontId="17" fillId="0" borderId="0" applyFont="0" applyFill="0" applyBorder="0" applyAlignment="0" applyProtection="0"/>
    <xf numFmtId="0" fontId="17" fillId="0" borderId="0">
      <alignment vertical="center"/>
    </xf>
    <xf numFmtId="9" fontId="17" fillId="0" borderId="0" applyFont="0" applyFill="0" applyBorder="0" applyAlignment="0" applyProtection="0"/>
    <xf numFmtId="3" fontId="45" fillId="42" borderId="18" applyProtection="0">
      <alignment horizontal="right"/>
      <protection locked="0"/>
    </xf>
    <xf numFmtId="171" fontId="17" fillId="41" borderId="0"/>
    <xf numFmtId="171" fontId="17" fillId="39" borderId="0"/>
    <xf numFmtId="1" fontId="17" fillId="37" borderId="0"/>
    <xf numFmtId="3" fontId="45" fillId="42" borderId="18" applyProtection="0">
      <alignment horizontal="right"/>
      <protection locked="0"/>
    </xf>
    <xf numFmtId="171" fontId="17" fillId="36" borderId="0"/>
    <xf numFmtId="173" fontId="17" fillId="36" borderId="0"/>
    <xf numFmtId="199" fontId="17" fillId="36" borderId="0"/>
    <xf numFmtId="0" fontId="17" fillId="0" borderId="0" applyProtection="0"/>
    <xf numFmtId="171" fontId="17" fillId="36" borderId="0"/>
    <xf numFmtId="174" fontId="17" fillId="36" borderId="0"/>
    <xf numFmtId="173" fontId="17" fillId="36" borderId="0"/>
    <xf numFmtId="199" fontId="17" fillId="36" borderId="0"/>
    <xf numFmtId="200" fontId="17" fillId="0" borderId="0"/>
    <xf numFmtId="173" fontId="17" fillId="0" borderId="0" applyFill="0" applyBorder="0">
      <alignment horizontal="right"/>
      <protection locked="0"/>
    </xf>
    <xf numFmtId="37" fontId="17" fillId="0" borderId="0" applyProtection="0"/>
    <xf numFmtId="196" fontId="17" fillId="0" borderId="0"/>
    <xf numFmtId="205" fontId="17" fillId="0" borderId="0" applyProtection="0"/>
    <xf numFmtId="196" fontId="17" fillId="0" borderId="0"/>
    <xf numFmtId="0" fontId="17" fillId="0" borderId="22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3" fontId="45" fillId="42" borderId="18" applyProtection="0">
      <alignment horizontal="right"/>
      <protection locked="0"/>
    </xf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217" fontId="17" fillId="0" borderId="0" applyFill="0" applyBorder="0">
      <alignment horizontal="right"/>
      <protection locked="0"/>
    </xf>
    <xf numFmtId="221" fontId="17" fillId="0" borderId="0">
      <alignment horizontal="right"/>
      <protection locked="0"/>
    </xf>
    <xf numFmtId="3" fontId="45" fillId="42" borderId="18" applyProtection="0">
      <alignment horizontal="right"/>
      <protection locked="0"/>
    </xf>
    <xf numFmtId="196" fontId="17" fillId="0" borderId="0"/>
    <xf numFmtId="0" fontId="17" fillId="0" borderId="0" applyBorder="0"/>
    <xf numFmtId="196" fontId="17" fillId="0" borderId="0"/>
    <xf numFmtId="0" fontId="17" fillId="0" borderId="0">
      <alignment vertical="center"/>
    </xf>
    <xf numFmtId="9" fontId="17" fillId="0" borderId="0" applyFon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96" fontId="17" fillId="0" borderId="0"/>
    <xf numFmtId="0" fontId="17" fillId="0" borderId="0">
      <alignment vertical="center"/>
    </xf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96" fontId="17" fillId="0" borderId="0"/>
    <xf numFmtId="196" fontId="17" fillId="0" borderId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96" fontId="17" fillId="0" borderId="0"/>
    <xf numFmtId="3" fontId="45" fillId="42" borderId="18" applyProtection="0">
      <alignment horizontal="right"/>
      <protection locked="0"/>
    </xf>
    <xf numFmtId="44" fontId="17" fillId="0" borderId="0" applyFont="0" applyFill="0" applyBorder="0" applyAlignment="0" applyProtection="0"/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196" fontId="17" fillId="0" borderId="0"/>
    <xf numFmtId="0" fontId="17" fillId="0" borderId="0">
      <alignment vertical="center"/>
    </xf>
    <xf numFmtId="196" fontId="17" fillId="0" borderId="0"/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196" fontId="17" fillId="0" borderId="0"/>
    <xf numFmtId="196" fontId="17" fillId="0" borderId="0"/>
    <xf numFmtId="196" fontId="17" fillId="0" borderId="0"/>
    <xf numFmtId="196" fontId="17" fillId="0" borderId="0"/>
    <xf numFmtId="0" fontId="17" fillId="0" borderId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227" fontId="33" fillId="38" borderId="0">
      <alignment horizontal="right"/>
    </xf>
    <xf numFmtId="0" fontId="17" fillId="0" borderId="0">
      <alignment vertical="center"/>
    </xf>
    <xf numFmtId="0" fontId="17" fillId="0" borderId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96" fontId="17" fillId="0" borderId="0"/>
    <xf numFmtId="0" fontId="17" fillId="0" borderId="0"/>
    <xf numFmtId="3" fontId="45" fillId="42" borderId="18" applyProtection="0">
      <alignment horizontal="right"/>
      <protection locked="0"/>
    </xf>
    <xf numFmtId="0" fontId="17" fillId="0" borderId="0"/>
    <xf numFmtId="0" fontId="17" fillId="0" borderId="0"/>
    <xf numFmtId="0" fontId="17" fillId="0" borderId="0"/>
    <xf numFmtId="0" fontId="17" fillId="0" borderId="0">
      <alignment vertical="center"/>
    </xf>
    <xf numFmtId="3" fontId="45" fillId="42" borderId="18" applyProtection="0">
      <alignment horizontal="right"/>
      <protection locked="0"/>
    </xf>
    <xf numFmtId="196" fontId="17" fillId="0" borderId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>
      <alignment vertical="center"/>
    </xf>
    <xf numFmtId="0" fontId="73" fillId="0" borderId="0"/>
    <xf numFmtId="0" fontId="17" fillId="0" borderId="0"/>
    <xf numFmtId="44" fontId="17" fillId="0" borderId="0" applyFont="0" applyFill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16" fillId="9" borderId="0" applyNumberFormat="0" applyBorder="0" applyAlignment="0" applyProtection="0"/>
    <xf numFmtId="0" fontId="16" fillId="13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6" fillId="3" borderId="0" applyNumberFormat="0" applyBorder="0" applyAlignment="0" applyProtection="0"/>
    <xf numFmtId="0" fontId="10" fillId="6" borderId="4" applyNumberFormat="0" applyAlignment="0" applyProtection="0"/>
    <xf numFmtId="0" fontId="12" fillId="7" borderId="7" applyNumberFormat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75" fillId="0" borderId="0" applyFont="0" applyFill="0" applyBorder="0" applyAlignment="0" applyProtection="0"/>
    <xf numFmtId="44" fontId="75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5" fillId="0" borderId="0" applyFont="0" applyFill="0" applyBorder="0" applyAlignment="0" applyProtection="0"/>
    <xf numFmtId="44" fontId="17" fillId="0" borderId="0" applyFont="0" applyFill="0" applyBorder="0" applyAlignment="0" applyProtection="0"/>
    <xf numFmtId="228" fontId="17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8" fillId="5" borderId="4" applyNumberFormat="0" applyAlignment="0" applyProtection="0"/>
    <xf numFmtId="0" fontId="11" fillId="0" borderId="6" applyNumberFormat="0" applyFill="0" applyAlignment="0" applyProtection="0"/>
    <xf numFmtId="0" fontId="7" fillId="4" borderId="0" applyNumberFormat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5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8" borderId="8" applyNumberFormat="0" applyFont="0" applyAlignment="0" applyProtection="0"/>
    <xf numFmtId="0" fontId="9" fillId="6" borderId="5" applyNumberFormat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10" fontId="76" fillId="0" borderId="23">
      <alignment horizontal="center"/>
    </xf>
    <xf numFmtId="4" fontId="77" fillId="50" borderId="25" applyNumberFormat="0" applyProtection="0">
      <alignment vertical="center"/>
    </xf>
    <xf numFmtId="4" fontId="28" fillId="51" borderId="26" applyNumberFormat="0" applyProtection="0">
      <alignment vertical="center"/>
    </xf>
    <xf numFmtId="4" fontId="28" fillId="51" borderId="26" applyNumberFormat="0" applyProtection="0">
      <alignment vertical="center"/>
    </xf>
    <xf numFmtId="4" fontId="78" fillId="51" borderId="25" applyNumberFormat="0" applyProtection="0">
      <alignment vertical="center"/>
    </xf>
    <xf numFmtId="4" fontId="77" fillId="51" borderId="25" applyNumberFormat="0" applyProtection="0">
      <alignment horizontal="left" vertical="center" indent="1"/>
    </xf>
    <xf numFmtId="4" fontId="28" fillId="51" borderId="26" applyNumberFormat="0" applyProtection="0">
      <alignment horizontal="left" vertical="center" indent="1"/>
    </xf>
    <xf numFmtId="4" fontId="28" fillId="51" borderId="26" applyNumberFormat="0" applyProtection="0">
      <alignment horizontal="left" vertical="center" indent="1"/>
    </xf>
    <xf numFmtId="0" fontId="77" fillId="51" borderId="25" applyNumberFormat="0" applyProtection="0">
      <alignment horizontal="left" vertical="top" indent="1"/>
    </xf>
    <xf numFmtId="4" fontId="77" fillId="52" borderId="0" applyNumberFormat="0" applyProtection="0">
      <alignment horizontal="left" vertical="center" indent="1"/>
    </xf>
    <xf numFmtId="4" fontId="28" fillId="53" borderId="25" applyNumberFormat="0" applyProtection="0">
      <alignment horizontal="right" vertical="center"/>
    </xf>
    <xf numFmtId="4" fontId="28" fillId="54" borderId="25" applyNumberFormat="0" applyProtection="0">
      <alignment horizontal="right" vertical="center"/>
    </xf>
    <xf numFmtId="4" fontId="28" fillId="55" borderId="25" applyNumberFormat="0" applyProtection="0">
      <alignment horizontal="right" vertical="center"/>
    </xf>
    <xf numFmtId="4" fontId="28" fillId="56" borderId="25" applyNumberFormat="0" applyProtection="0">
      <alignment horizontal="right" vertical="center"/>
    </xf>
    <xf numFmtId="4" fontId="28" fillId="57" borderId="25" applyNumberFormat="0" applyProtection="0">
      <alignment horizontal="right" vertical="center"/>
    </xf>
    <xf numFmtId="4" fontId="28" fillId="58" borderId="25" applyNumberFormat="0" applyProtection="0">
      <alignment horizontal="right" vertical="center"/>
    </xf>
    <xf numFmtId="4" fontId="28" fillId="59" borderId="25" applyNumberFormat="0" applyProtection="0">
      <alignment horizontal="right" vertical="center"/>
    </xf>
    <xf numFmtId="4" fontId="28" fillId="60" borderId="25" applyNumberFormat="0" applyProtection="0">
      <alignment horizontal="right" vertical="center"/>
    </xf>
    <xf numFmtId="4" fontId="28" fillId="61" borderId="25" applyNumberFormat="0" applyProtection="0">
      <alignment horizontal="right" vertical="center"/>
    </xf>
    <xf numFmtId="4" fontId="77" fillId="62" borderId="27" applyNumberFormat="0" applyProtection="0">
      <alignment horizontal="left" vertical="center" indent="1"/>
    </xf>
    <xf numFmtId="4" fontId="28" fillId="63" borderId="0" applyNumberFormat="0" applyProtection="0">
      <alignment horizontal="left" vertical="center" indent="1"/>
    </xf>
    <xf numFmtId="4" fontId="74" fillId="64" borderId="0" applyNumberFormat="0" applyProtection="0">
      <alignment horizontal="left" vertical="center" indent="1"/>
    </xf>
    <xf numFmtId="4" fontId="28" fillId="65" borderId="25" applyNumberFormat="0" applyProtection="0">
      <alignment horizontal="right" vertical="center"/>
    </xf>
    <xf numFmtId="4" fontId="28" fillId="63" borderId="0" applyNumberFormat="0" applyProtection="0">
      <alignment horizontal="left" vertical="center" indent="1"/>
    </xf>
    <xf numFmtId="4" fontId="28" fillId="63" borderId="0" applyNumberFormat="0" applyProtection="0">
      <alignment horizontal="left" vertical="center" indent="1"/>
    </xf>
    <xf numFmtId="4" fontId="28" fillId="52" borderId="0" applyNumberFormat="0" applyProtection="0">
      <alignment horizontal="left" vertical="center" indent="1"/>
    </xf>
    <xf numFmtId="4" fontId="28" fillId="52" borderId="0" applyNumberFormat="0" applyProtection="0">
      <alignment horizontal="left" vertical="center" indent="1"/>
    </xf>
    <xf numFmtId="0" fontId="17" fillId="64" borderId="25" applyNumberFormat="0" applyProtection="0">
      <alignment horizontal="left" vertical="center" indent="1"/>
    </xf>
    <xf numFmtId="0" fontId="17" fillId="64" borderId="25" applyNumberFormat="0" applyProtection="0">
      <alignment horizontal="left" vertical="center" indent="1"/>
    </xf>
    <xf numFmtId="0" fontId="17" fillId="64" borderId="25" applyNumberFormat="0" applyProtection="0">
      <alignment horizontal="left" vertical="center" indent="1"/>
    </xf>
    <xf numFmtId="0" fontId="17" fillId="64" borderId="25" applyNumberFormat="0" applyProtection="0">
      <alignment horizontal="left" vertical="center" indent="1"/>
    </xf>
    <xf numFmtId="0" fontId="17" fillId="64" borderId="25" applyNumberFormat="0" applyProtection="0">
      <alignment horizontal="left" vertical="center" indent="1"/>
    </xf>
    <xf numFmtId="0" fontId="17" fillId="64" borderId="25" applyNumberFormat="0" applyProtection="0">
      <alignment horizontal="left" vertical="top" indent="1"/>
    </xf>
    <xf numFmtId="0" fontId="17" fillId="64" borderId="25" applyNumberFormat="0" applyProtection="0">
      <alignment horizontal="left" vertical="top" indent="1"/>
    </xf>
    <xf numFmtId="0" fontId="17" fillId="64" borderId="25" applyNumberFormat="0" applyProtection="0">
      <alignment horizontal="left" vertical="top" indent="1"/>
    </xf>
    <xf numFmtId="0" fontId="17" fillId="64" borderId="25" applyNumberFormat="0" applyProtection="0">
      <alignment horizontal="left" vertical="top" indent="1"/>
    </xf>
    <xf numFmtId="0" fontId="17" fillId="64" borderId="25" applyNumberFormat="0" applyProtection="0">
      <alignment horizontal="left" vertical="top" indent="1"/>
    </xf>
    <xf numFmtId="0" fontId="17" fillId="52" borderId="25" applyNumberFormat="0" applyProtection="0">
      <alignment horizontal="left" vertical="center" indent="1"/>
    </xf>
    <xf numFmtId="0" fontId="17" fillId="52" borderId="25" applyNumberFormat="0" applyProtection="0">
      <alignment horizontal="left" vertical="center" indent="1"/>
    </xf>
    <xf numFmtId="0" fontId="17" fillId="52" borderId="25" applyNumberFormat="0" applyProtection="0">
      <alignment horizontal="left" vertical="center" indent="1"/>
    </xf>
    <xf numFmtId="0" fontId="17" fillId="52" borderId="25" applyNumberFormat="0" applyProtection="0">
      <alignment horizontal="left" vertical="center" indent="1"/>
    </xf>
    <xf numFmtId="0" fontId="17" fillId="52" borderId="25" applyNumberFormat="0" applyProtection="0">
      <alignment horizontal="left" vertical="center" indent="1"/>
    </xf>
    <xf numFmtId="0" fontId="17" fillId="52" borderId="25" applyNumberFormat="0" applyProtection="0">
      <alignment horizontal="left" vertical="top" indent="1"/>
    </xf>
    <xf numFmtId="0" fontId="17" fillId="52" borderId="25" applyNumberFormat="0" applyProtection="0">
      <alignment horizontal="left" vertical="top" indent="1"/>
    </xf>
    <xf numFmtId="0" fontId="17" fillId="52" borderId="25" applyNumberFormat="0" applyProtection="0">
      <alignment horizontal="left" vertical="top" indent="1"/>
    </xf>
    <xf numFmtId="0" fontId="17" fillId="52" borderId="25" applyNumberFormat="0" applyProtection="0">
      <alignment horizontal="left" vertical="top" indent="1"/>
    </xf>
    <xf numFmtId="0" fontId="17" fillId="52" borderId="25" applyNumberFormat="0" applyProtection="0">
      <alignment horizontal="left" vertical="top" indent="1"/>
    </xf>
    <xf numFmtId="0" fontId="17" fillId="66" borderId="25" applyNumberFormat="0" applyProtection="0">
      <alignment horizontal="left" vertical="center" indent="1"/>
    </xf>
    <xf numFmtId="0" fontId="17" fillId="66" borderId="25" applyNumberFormat="0" applyProtection="0">
      <alignment horizontal="left" vertical="center" indent="1"/>
    </xf>
    <xf numFmtId="0" fontId="17" fillId="66" borderId="25" applyNumberFormat="0" applyProtection="0">
      <alignment horizontal="left" vertical="center" indent="1"/>
    </xf>
    <xf numFmtId="0" fontId="17" fillId="66" borderId="25" applyNumberFormat="0" applyProtection="0">
      <alignment horizontal="left" vertical="center" indent="1"/>
    </xf>
    <xf numFmtId="0" fontId="17" fillId="66" borderId="25" applyNumberFormat="0" applyProtection="0">
      <alignment horizontal="left" vertical="center" indent="1"/>
    </xf>
    <xf numFmtId="0" fontId="17" fillId="66" borderId="25" applyNumberFormat="0" applyProtection="0">
      <alignment horizontal="left" vertical="top" indent="1"/>
    </xf>
    <xf numFmtId="0" fontId="17" fillId="66" borderId="25" applyNumberFormat="0" applyProtection="0">
      <alignment horizontal="left" vertical="top" indent="1"/>
    </xf>
    <xf numFmtId="0" fontId="17" fillId="66" borderId="25" applyNumberFormat="0" applyProtection="0">
      <alignment horizontal="left" vertical="top" indent="1"/>
    </xf>
    <xf numFmtId="0" fontId="17" fillId="66" borderId="25" applyNumberFormat="0" applyProtection="0">
      <alignment horizontal="left" vertical="top" indent="1"/>
    </xf>
    <xf numFmtId="0" fontId="17" fillId="66" borderId="25" applyNumberFormat="0" applyProtection="0">
      <alignment horizontal="left" vertical="top" indent="1"/>
    </xf>
    <xf numFmtId="0" fontId="17" fillId="36" borderId="25" applyNumberFormat="0" applyProtection="0">
      <alignment horizontal="left" vertical="center" indent="1"/>
    </xf>
    <xf numFmtId="0" fontId="17" fillId="36" borderId="25" applyNumberFormat="0" applyProtection="0">
      <alignment horizontal="left" vertical="center" indent="1"/>
    </xf>
    <xf numFmtId="0" fontId="17" fillId="36" borderId="25" applyNumberFormat="0" applyProtection="0">
      <alignment horizontal="left" vertical="center" indent="1"/>
    </xf>
    <xf numFmtId="0" fontId="17" fillId="36" borderId="25" applyNumberFormat="0" applyProtection="0">
      <alignment horizontal="left" vertical="center" indent="1"/>
    </xf>
    <xf numFmtId="0" fontId="17" fillId="36" borderId="25" applyNumberFormat="0" applyProtection="0">
      <alignment horizontal="left" vertical="center" indent="1"/>
    </xf>
    <xf numFmtId="0" fontId="17" fillId="36" borderId="25" applyNumberFormat="0" applyProtection="0">
      <alignment horizontal="left" vertical="top" indent="1"/>
    </xf>
    <xf numFmtId="0" fontId="17" fillId="36" borderId="25" applyNumberFormat="0" applyProtection="0">
      <alignment horizontal="left" vertical="top" indent="1"/>
    </xf>
    <xf numFmtId="0" fontId="17" fillId="36" borderId="25" applyNumberFormat="0" applyProtection="0">
      <alignment horizontal="left" vertical="top" indent="1"/>
    </xf>
    <xf numFmtId="0" fontId="17" fillId="36" borderId="25" applyNumberFormat="0" applyProtection="0">
      <alignment horizontal="left" vertical="top" indent="1"/>
    </xf>
    <xf numFmtId="0" fontId="17" fillId="36" borderId="25" applyNumberFormat="0" applyProtection="0">
      <alignment horizontal="left" vertical="top" indent="1"/>
    </xf>
    <xf numFmtId="4" fontId="28" fillId="43" borderId="25" applyNumberFormat="0" applyProtection="0">
      <alignment vertical="center"/>
    </xf>
    <xf numFmtId="4" fontId="79" fillId="43" borderId="25" applyNumberFormat="0" applyProtection="0">
      <alignment vertical="center"/>
    </xf>
    <xf numFmtId="4" fontId="28" fillId="43" borderId="25" applyNumberFormat="0" applyProtection="0">
      <alignment horizontal="left" vertical="center" indent="1"/>
    </xf>
    <xf numFmtId="0" fontId="28" fillId="43" borderId="25" applyNumberFormat="0" applyProtection="0">
      <alignment horizontal="left" vertical="top" indent="1"/>
    </xf>
    <xf numFmtId="4" fontId="28" fillId="67" borderId="26" applyNumberFormat="0" applyProtection="0">
      <alignment horizontal="right" vertical="center"/>
    </xf>
    <xf numFmtId="4" fontId="79" fillId="63" borderId="25" applyNumberFormat="0" applyProtection="0">
      <alignment horizontal="right" vertical="center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0" fontId="17" fillId="68" borderId="26" applyNumberFormat="0" applyProtection="0">
      <alignment horizontal="left" vertical="center" indent="1"/>
    </xf>
    <xf numFmtId="4" fontId="28" fillId="65" borderId="25" applyNumberFormat="0" applyProtection="0">
      <alignment horizontal="left" vertical="center" indent="1"/>
    </xf>
    <xf numFmtId="0" fontId="28" fillId="52" borderId="25" applyNumberFormat="0" applyProtection="0">
      <alignment horizontal="left" vertical="top" indent="1"/>
    </xf>
    <xf numFmtId="4" fontId="80" fillId="69" borderId="0" applyNumberFormat="0" applyProtection="0">
      <alignment horizontal="left" vertical="center" indent="1"/>
    </xf>
    <xf numFmtId="4" fontId="81" fillId="63" borderId="25" applyNumberFormat="0" applyProtection="0">
      <alignment horizontal="right" vertical="center"/>
    </xf>
    <xf numFmtId="4" fontId="81" fillId="63" borderId="25" applyNumberFormat="0" applyProtection="0">
      <alignment horizontal="right" vertical="center"/>
    </xf>
    <xf numFmtId="4" fontId="81" fillId="67" borderId="26" applyNumberFormat="0" applyProtection="0">
      <alignment horizontal="right" vertical="center"/>
    </xf>
    <xf numFmtId="4" fontId="81" fillId="67" borderId="26" applyNumberFormat="0" applyProtection="0">
      <alignment horizontal="right" vertical="center"/>
    </xf>
    <xf numFmtId="229" fontId="82" fillId="0" borderId="0">
      <alignment horizontal="left"/>
    </xf>
    <xf numFmtId="0" fontId="15" fillId="0" borderId="9" applyNumberFormat="0" applyFill="0" applyAlignment="0" applyProtection="0"/>
    <xf numFmtId="0" fontId="13" fillId="0" borderId="0" applyNumberFormat="0" applyFill="0" applyBorder="0" applyAlignment="0" applyProtection="0"/>
    <xf numFmtId="0" fontId="1" fillId="0" borderId="0"/>
    <xf numFmtId="0" fontId="17" fillId="0" borderId="0"/>
    <xf numFmtId="0" fontId="17" fillId="0" borderId="0"/>
    <xf numFmtId="0" fontId="29" fillId="0" borderId="0"/>
    <xf numFmtId="0" fontId="17" fillId="0" borderId="0"/>
    <xf numFmtId="171" fontId="88" fillId="36" borderId="0"/>
    <xf numFmtId="174" fontId="88" fillId="36" borderId="0"/>
    <xf numFmtId="9" fontId="88" fillId="36" borderId="0"/>
    <xf numFmtId="171" fontId="37" fillId="43" borderId="0"/>
    <xf numFmtId="174" fontId="37" fillId="43" borderId="0"/>
    <xf numFmtId="173" fontId="37" fillId="43" borderId="0"/>
    <xf numFmtId="199" fontId="37" fillId="43" borderId="0"/>
    <xf numFmtId="171" fontId="37" fillId="48" borderId="0"/>
    <xf numFmtId="174" fontId="37" fillId="48" borderId="0"/>
    <xf numFmtId="173" fontId="37" fillId="48" borderId="0"/>
    <xf numFmtId="199" fontId="37" fillId="48" borderId="0"/>
    <xf numFmtId="44" fontId="17" fillId="0" borderId="0" applyFont="0" applyFill="0" applyBorder="0" applyAlignment="0" applyProtection="0"/>
    <xf numFmtId="2" fontId="17" fillId="0" borderId="0" applyNumberFormat="0" applyFill="0" applyBorder="0" applyAlignment="0" applyProtection="0">
      <protection locked="0"/>
    </xf>
    <xf numFmtId="199" fontId="89" fillId="37" borderId="0"/>
    <xf numFmtId="174" fontId="88" fillId="37" borderId="0"/>
    <xf numFmtId="199" fontId="88" fillId="37" borderId="0"/>
    <xf numFmtId="169" fontId="90" fillId="37" borderId="0"/>
    <xf numFmtId="3" fontId="45" fillId="42" borderId="18" applyProtection="0">
      <alignment horizontal="right"/>
      <protection locked="0"/>
    </xf>
    <xf numFmtId="174" fontId="91" fillId="36" borderId="0"/>
    <xf numFmtId="9" fontId="91" fillId="36" borderId="0"/>
    <xf numFmtId="0" fontId="17" fillId="0" borderId="0"/>
    <xf numFmtId="9" fontId="17" fillId="0" borderId="0" applyFont="0" applyFill="0" applyBorder="0" applyAlignment="0" applyProtection="0"/>
    <xf numFmtId="169" fontId="89" fillId="43" borderId="0"/>
    <xf numFmtId="9" fontId="88" fillId="37" borderId="0"/>
    <xf numFmtId="169" fontId="88" fillId="37" borderId="0"/>
    <xf numFmtId="10" fontId="88" fillId="37" borderId="0"/>
    <xf numFmtId="9" fontId="91" fillId="36" borderId="0"/>
    <xf numFmtId="9" fontId="92" fillId="51" borderId="0"/>
    <xf numFmtId="169" fontId="92" fillId="51" borderId="0"/>
    <xf numFmtId="169" fontId="89" fillId="43" borderId="0"/>
    <xf numFmtId="169" fontId="89" fillId="48" borderId="0"/>
    <xf numFmtId="169" fontId="88" fillId="37" borderId="0"/>
    <xf numFmtId="171" fontId="92" fillId="51" borderId="0"/>
    <xf numFmtId="174" fontId="92" fillId="51" borderId="0"/>
    <xf numFmtId="173" fontId="87" fillId="51" borderId="0"/>
    <xf numFmtId="199" fontId="92" fillId="51" borderId="0"/>
    <xf numFmtId="0" fontId="17" fillId="0" borderId="0">
      <alignment vertical="center"/>
    </xf>
    <xf numFmtId="44" fontId="17" fillId="0" borderId="0" applyFont="0" applyFill="0" applyBorder="0" applyAlignment="0" applyProtection="0"/>
    <xf numFmtId="3" fontId="45" fillId="42" borderId="18" applyProtection="0">
      <alignment horizontal="right"/>
      <protection locked="0"/>
    </xf>
    <xf numFmtId="9" fontId="17" fillId="0" borderId="0" applyFont="0" applyFill="0" applyBorder="0" applyAlignment="0" applyProtection="0"/>
    <xf numFmtId="0" fontId="29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7" fillId="0" borderId="0"/>
    <xf numFmtId="0" fontId="35" fillId="0" borderId="0"/>
    <xf numFmtId="0" fontId="35" fillId="0" borderId="0"/>
    <xf numFmtId="0" fontId="35" fillId="0" borderId="0"/>
    <xf numFmtId="0" fontId="100" fillId="0" borderId="0"/>
    <xf numFmtId="0" fontId="101" fillId="0" borderId="0">
      <alignment vertical="center"/>
    </xf>
    <xf numFmtId="0" fontId="102" fillId="0" borderId="0"/>
    <xf numFmtId="0" fontId="102" fillId="0" borderId="35">
      <alignment horizontal="centerContinuous"/>
    </xf>
    <xf numFmtId="0" fontId="103" fillId="0" borderId="35"/>
    <xf numFmtId="0" fontId="105" fillId="0" borderId="0"/>
    <xf numFmtId="43" fontId="108" fillId="0" borderId="0" applyFont="0" applyFill="0" applyBorder="0" applyAlignment="0" applyProtection="0"/>
    <xf numFmtId="0" fontId="108" fillId="0" borderId="0"/>
    <xf numFmtId="0" fontId="39" fillId="0" borderId="11" applyNumberFormat="0" applyFont="0" applyFill="0" applyAlignment="0" applyProtection="0"/>
    <xf numFmtId="172" fontId="40" fillId="0" borderId="12" applyNumberFormat="0" applyFont="0" applyFill="0" applyAlignment="0" applyProtection="0">
      <alignment horizontal="left" vertical="center"/>
    </xf>
    <xf numFmtId="0" fontId="33" fillId="0" borderId="12">
      <alignment horizontal="centerContinuous"/>
    </xf>
    <xf numFmtId="171" fontId="41" fillId="0" borderId="12" applyProtection="0">
      <alignment horizontal="right"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/>
    <xf numFmtId="0" fontId="17" fillId="0" borderId="0">
      <alignment horizontal="center" wrapText="1"/>
      <protection hidden="1"/>
    </xf>
    <xf numFmtId="183" fontId="17" fillId="0" borderId="0" applyFill="0" applyBorder="0">
      <alignment horizontal="right"/>
      <protection locked="0"/>
    </xf>
    <xf numFmtId="44" fontId="17" fillId="0" borderId="0" applyFont="0" applyFill="0" applyBorder="0" applyAlignment="0" applyProtection="0"/>
    <xf numFmtId="2" fontId="17" fillId="0" borderId="0" applyNumberFormat="0" applyFill="0" applyBorder="0" applyAlignment="0" applyProtection="0">
      <protection locked="0"/>
    </xf>
    <xf numFmtId="2" fontId="17" fillId="0" borderId="0" applyNumberFormat="0" applyFill="0" applyBorder="0" applyProtection="0">
      <alignment horizontal="left"/>
    </xf>
    <xf numFmtId="16" fontId="17" fillId="36" borderId="0" applyProtection="0"/>
    <xf numFmtId="187" fontId="17" fillId="0" borderId="0"/>
    <xf numFmtId="171" fontId="17" fillId="37" borderId="0"/>
    <xf numFmtId="188" fontId="17" fillId="0" borderId="0"/>
    <xf numFmtId="169" fontId="17" fillId="40" borderId="0"/>
    <xf numFmtId="171" fontId="17" fillId="37" borderId="0"/>
    <xf numFmtId="173" fontId="17" fillId="37" borderId="0"/>
    <xf numFmtId="196" fontId="17" fillId="0" borderId="0"/>
    <xf numFmtId="44" fontId="17" fillId="0" borderId="0" applyFont="0" applyFill="0" applyBorder="0" applyAlignment="0" applyProtection="0"/>
    <xf numFmtId="0" fontId="17" fillId="0" borderId="0">
      <alignment vertical="center"/>
    </xf>
    <xf numFmtId="9" fontId="17" fillId="0" borderId="0" applyFont="0" applyFill="0" applyBorder="0" applyAlignment="0" applyProtection="0"/>
    <xf numFmtId="171" fontId="17" fillId="41" borderId="0"/>
    <xf numFmtId="171" fontId="17" fillId="39" borderId="0"/>
    <xf numFmtId="1" fontId="17" fillId="37" borderId="0"/>
    <xf numFmtId="171" fontId="17" fillId="36" borderId="0"/>
    <xf numFmtId="173" fontId="17" fillId="36" borderId="0"/>
    <xf numFmtId="199" fontId="17" fillId="36" borderId="0"/>
    <xf numFmtId="0" fontId="17" fillId="0" borderId="0" applyProtection="0"/>
    <xf numFmtId="171" fontId="17" fillId="36" borderId="0"/>
    <xf numFmtId="174" fontId="17" fillId="36" borderId="0"/>
    <xf numFmtId="173" fontId="17" fillId="36" borderId="0"/>
    <xf numFmtId="199" fontId="17" fillId="36" borderId="0"/>
    <xf numFmtId="200" fontId="17" fillId="0" borderId="0"/>
    <xf numFmtId="173" fontId="17" fillId="0" borderId="0" applyFill="0" applyBorder="0">
      <alignment horizontal="right"/>
      <protection locked="0"/>
    </xf>
    <xf numFmtId="37" fontId="17" fillId="0" borderId="0" applyProtection="0"/>
    <xf numFmtId="196" fontId="17" fillId="0" borderId="0"/>
    <xf numFmtId="205" fontId="17" fillId="0" borderId="0" applyProtection="0"/>
    <xf numFmtId="196" fontId="17" fillId="0" borderId="0"/>
    <xf numFmtId="0" fontId="17" fillId="0" borderId="22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217" fontId="17" fillId="0" borderId="0" applyFill="0" applyBorder="0">
      <alignment horizontal="right"/>
      <protection locked="0"/>
    </xf>
    <xf numFmtId="221" fontId="17" fillId="0" borderId="0">
      <alignment horizontal="right"/>
      <protection locked="0"/>
    </xf>
    <xf numFmtId="196" fontId="17" fillId="0" borderId="0"/>
    <xf numFmtId="0" fontId="17" fillId="0" borderId="0" applyBorder="0"/>
    <xf numFmtId="196" fontId="17" fillId="0" borderId="0"/>
    <xf numFmtId="9" fontId="17" fillId="0" borderId="0" applyFont="0" applyFill="0" applyBorder="0" applyAlignment="0" applyProtection="0"/>
    <xf numFmtId="0" fontId="17" fillId="0" borderId="0">
      <alignment vertical="center"/>
    </xf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96" fontId="17" fillId="0" borderId="0"/>
    <xf numFmtId="0" fontId="17" fillId="0" borderId="0">
      <alignment vertical="center"/>
    </xf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96" fontId="17" fillId="0" borderId="0"/>
    <xf numFmtId="196" fontId="17" fillId="0" borderId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96" fontId="17" fillId="0" borderId="0"/>
    <xf numFmtId="44" fontId="17" fillId="0" borderId="0" applyFont="0" applyFill="0" applyBorder="0" applyAlignment="0" applyProtection="0"/>
    <xf numFmtId="196" fontId="17" fillId="0" borderId="0"/>
    <xf numFmtId="0" fontId="17" fillId="0" borderId="0">
      <alignment vertical="center"/>
    </xf>
    <xf numFmtId="196" fontId="17" fillId="0" borderId="0"/>
    <xf numFmtId="196" fontId="17" fillId="0" borderId="0"/>
    <xf numFmtId="196" fontId="17" fillId="0" borderId="0"/>
    <xf numFmtId="196" fontId="17" fillId="0" borderId="0"/>
    <xf numFmtId="196" fontId="17" fillId="0" borderId="0"/>
    <xf numFmtId="0" fontId="17" fillId="0" borderId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>
      <alignment vertical="center"/>
    </xf>
    <xf numFmtId="0" fontId="17" fillId="0" borderId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96" fontId="17" fillId="0" borderId="0"/>
    <xf numFmtId="196" fontId="17" fillId="0" borderId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>
      <alignment vertical="center"/>
    </xf>
    <xf numFmtId="0" fontId="126" fillId="0" borderId="0" applyNumberFormat="0" applyFill="0" applyBorder="0" applyAlignment="0" applyProtection="0">
      <alignment vertical="top"/>
      <protection locked="0"/>
    </xf>
    <xf numFmtId="241" fontId="39" fillId="0" borderId="0">
      <alignment horizontal="right"/>
    </xf>
    <xf numFmtId="242" fontId="12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29" fillId="0" borderId="0"/>
    <xf numFmtId="0" fontId="17" fillId="0" borderId="0"/>
    <xf numFmtId="0" fontId="17" fillId="0" borderId="0"/>
    <xf numFmtId="0" fontId="39" fillId="0" borderId="0">
      <alignment horizontal="center" wrapText="1"/>
      <protection locked="0"/>
    </xf>
    <xf numFmtId="0" fontId="6" fillId="3" borderId="0" applyNumberFormat="0" applyBorder="0" applyAlignment="0" applyProtection="0"/>
    <xf numFmtId="0" fontId="128" fillId="3" borderId="0" applyNumberFormat="0" applyBorder="0" applyAlignment="0" applyProtection="0"/>
    <xf numFmtId="0" fontId="129" fillId="47" borderId="0" applyNumberFormat="0" applyBorder="0" applyAlignment="0"/>
    <xf numFmtId="37" fontId="130" fillId="0" borderId="0"/>
    <xf numFmtId="37" fontId="130" fillId="0" borderId="0"/>
    <xf numFmtId="37" fontId="131" fillId="0" borderId="0"/>
    <xf numFmtId="37" fontId="131" fillId="0" borderId="0"/>
    <xf numFmtId="243" fontId="28" fillId="0" borderId="0" applyFill="0" applyBorder="0" applyAlignment="0"/>
    <xf numFmtId="0" fontId="28" fillId="0" borderId="0" applyFill="0" applyBorder="0" applyAlignment="0"/>
    <xf numFmtId="0" fontId="17" fillId="0" borderId="0" applyFill="0" applyBorder="0" applyAlignment="0"/>
    <xf numFmtId="0" fontId="17" fillId="0" borderId="0" applyFill="0" applyBorder="0" applyAlignment="0"/>
    <xf numFmtId="0" fontId="17" fillId="0" borderId="0" applyFill="0" applyBorder="0" applyAlignment="0"/>
    <xf numFmtId="0" fontId="28" fillId="0" borderId="0" applyFill="0" applyBorder="0" applyAlignment="0"/>
    <xf numFmtId="0" fontId="17" fillId="0" borderId="0" applyFill="0" applyBorder="0" applyAlignment="0"/>
    <xf numFmtId="0" fontId="28" fillId="0" borderId="0" applyFill="0" applyBorder="0" applyAlignment="0"/>
    <xf numFmtId="1" fontId="132" fillId="0" borderId="0"/>
    <xf numFmtId="0" fontId="21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34" fillId="0" borderId="0"/>
    <xf numFmtId="244" fontId="135" fillId="0" borderId="0"/>
    <xf numFmtId="244" fontId="135" fillId="0" borderId="0"/>
    <xf numFmtId="244" fontId="135" fillId="0" borderId="0"/>
    <xf numFmtId="244" fontId="135" fillId="0" borderId="0"/>
    <xf numFmtId="244" fontId="135" fillId="0" borderId="0"/>
    <xf numFmtId="244" fontId="135" fillId="0" borderId="0"/>
    <xf numFmtId="244" fontId="135" fillId="0" borderId="0"/>
    <xf numFmtId="244" fontId="135" fillId="0" borderId="0"/>
    <xf numFmtId="245" fontId="134" fillId="0" borderId="12"/>
    <xf numFmtId="0" fontId="17" fillId="0" borderId="0" applyFont="0" applyFill="0" applyBorder="0" applyAlignment="0" applyProtection="0"/>
    <xf numFmtId="246" fontId="136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37" fillId="0" borderId="0" applyNumberFormat="0" applyAlignment="0">
      <alignment horizontal="left"/>
    </xf>
    <xf numFmtId="247" fontId="138" fillId="0" borderId="10">
      <protection hidden="1"/>
    </xf>
    <xf numFmtId="0" fontId="17" fillId="0" borderId="0" applyFont="0" applyFill="0" applyBorder="0" applyAlignment="0" applyProtection="0"/>
    <xf numFmtId="248" fontId="139" fillId="0" borderId="0" applyFont="0" applyFill="0" applyBorder="0" applyAlignment="0" applyProtection="0"/>
    <xf numFmtId="44" fontId="17" fillId="0" borderId="0" applyFont="0" applyFill="0" applyBorder="0" applyAlignment="0" applyProtection="0"/>
    <xf numFmtId="166" fontId="108" fillId="0" borderId="0" applyFont="0" applyFill="0" applyBorder="0" applyAlignment="0" applyProtection="0"/>
    <xf numFmtId="249" fontId="140" fillId="0" borderId="0" applyFont="0" applyFill="0" applyBorder="0" applyAlignment="0" applyProtection="0"/>
    <xf numFmtId="250" fontId="17" fillId="0" borderId="0" applyFill="0" applyBorder="0">
      <alignment horizontal="right"/>
    </xf>
    <xf numFmtId="175" fontId="17" fillId="0" borderId="12" applyFill="0" applyBorder="0">
      <alignment horizontal="right"/>
    </xf>
    <xf numFmtId="0" fontId="35" fillId="0" borderId="0" applyFont="0" applyFill="0" applyBorder="0" applyAlignment="0" applyProtection="0"/>
    <xf numFmtId="251" fontId="17" fillId="0" borderId="0" applyFont="0" applyFill="0" applyBorder="0" applyAlignment="0" applyProtection="0"/>
    <xf numFmtId="1" fontId="17" fillId="0" borderId="0" applyFont="0" applyFill="0" applyBorder="0" applyAlignment="0" applyProtection="0"/>
    <xf numFmtId="7" fontId="141" fillId="0" borderId="0" applyFont="0" applyFill="0" applyBorder="0" applyAlignment="0" applyProtection="0"/>
    <xf numFmtId="240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237" fontId="17" fillId="0" borderId="0" applyFont="0" applyFill="0" applyBorder="0" applyAlignment="0" applyProtection="0"/>
    <xf numFmtId="175" fontId="141" fillId="0" borderId="0" applyFont="0" applyFill="0" applyBorder="0" applyAlignment="0" applyProtection="0"/>
    <xf numFmtId="252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253" fontId="17" fillId="0" borderId="0" applyFont="0" applyFill="0" applyBorder="0" applyAlignment="0" applyProtection="0"/>
    <xf numFmtId="167" fontId="141" fillId="0" borderId="0" applyFont="0" applyFill="0" applyBorder="0" applyAlignment="0" applyProtection="0"/>
    <xf numFmtId="38" fontId="17" fillId="0" borderId="0" applyFont="0" applyFill="0" applyBorder="0" applyAlignment="0" applyProtection="0"/>
    <xf numFmtId="40" fontId="17" fillId="0" borderId="0" applyFont="0" applyFill="0" applyBorder="0" applyAlignment="0" applyProtection="0"/>
    <xf numFmtId="6" fontId="17" fillId="0" borderId="0" applyFont="0" applyFill="0" applyBorder="0" applyAlignment="0" applyProtection="0"/>
    <xf numFmtId="3" fontId="17" fillId="0" borderId="0" applyFont="0" applyFill="0" applyBorder="0" applyAlignment="0" applyProtection="0"/>
    <xf numFmtId="254" fontId="17" fillId="0" borderId="0" applyFont="0" applyFill="0" applyBorder="0" applyAlignment="0" applyProtection="0"/>
    <xf numFmtId="255" fontId="17" fillId="0" borderId="0" applyFont="0" applyFill="0" applyBorder="0" applyAlignment="0" applyProtection="0"/>
    <xf numFmtId="37" fontId="141" fillId="0" borderId="0" applyFont="0" applyFill="0" applyBorder="0" applyAlignment="0" applyProtection="0"/>
    <xf numFmtId="25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246" fontId="17" fillId="0" borderId="0" applyFont="0" applyFill="0" applyBorder="0" applyAlignment="0" applyProtection="0"/>
    <xf numFmtId="169" fontId="17" fillId="0" borderId="0" applyFont="0" applyFill="0" applyBorder="0" applyAlignment="0" applyProtection="0"/>
    <xf numFmtId="240" fontId="17" fillId="0" borderId="0" applyFont="0" applyFill="0" applyBorder="0" applyAlignment="0" applyProtection="0"/>
    <xf numFmtId="256" fontId="17" fillId="0" borderId="0" applyFont="0" applyFill="0" applyBorder="0" applyAlignment="0" applyProtection="0"/>
    <xf numFmtId="39" fontId="141" fillId="0" borderId="0" applyFont="0" applyFill="0" applyBorder="0" applyAlignment="0" applyProtection="0"/>
    <xf numFmtId="203" fontId="141" fillId="0" borderId="0" applyFont="0" applyFill="0" applyBorder="0" applyAlignment="0" applyProtection="0"/>
    <xf numFmtId="257" fontId="141" fillId="0" borderId="0" applyFont="0" applyFill="0" applyBorder="0" applyAlignment="0" applyProtection="0"/>
    <xf numFmtId="258" fontId="141" fillId="0" borderId="0" applyFont="0" applyFill="0" applyBorder="0" applyAlignment="0" applyProtection="0"/>
    <xf numFmtId="203" fontId="17" fillId="0" borderId="0" applyFont="0" applyFill="0" applyBorder="0" applyAlignment="0" applyProtection="0"/>
    <xf numFmtId="259" fontId="17" fillId="0" borderId="0" applyFont="0" applyFill="0" applyBorder="0" applyAlignment="0" applyProtection="0"/>
    <xf numFmtId="260" fontId="141" fillId="0" borderId="0" applyFont="0" applyFill="0" applyBorder="0" applyAlignment="0" applyProtection="0"/>
    <xf numFmtId="26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6" fontId="141" fillId="0" borderId="0" applyFont="0" applyFill="0" applyBorder="0" applyAlignment="0" applyProtection="0"/>
    <xf numFmtId="176" fontId="17" fillId="0" borderId="0" applyFont="0" applyFill="0" applyBorder="0" applyAlignment="0" applyProtection="0"/>
    <xf numFmtId="262" fontId="17" fillId="0" borderId="0" applyFont="0" applyFill="0" applyBorder="0" applyAlignment="0" applyProtection="0"/>
    <xf numFmtId="260" fontId="17" fillId="0" borderId="0" applyFont="0" applyFill="0" applyBorder="0" applyAlignment="0" applyProtection="0"/>
    <xf numFmtId="263" fontId="17" fillId="0" borderId="0" applyFont="0" applyFill="0" applyBorder="0" applyAlignment="0" applyProtection="0"/>
    <xf numFmtId="6" fontId="17" fillId="0" borderId="0" applyFont="0" applyFill="0" applyBorder="0" applyAlignment="0" applyProtection="0"/>
    <xf numFmtId="260" fontId="17" fillId="0" borderId="0" applyFont="0" applyFill="0" applyBorder="0" applyAlignment="0" applyProtection="0"/>
    <xf numFmtId="38" fontId="17" fillId="0" borderId="0" applyFont="0" applyFill="0" applyBorder="0" applyAlignment="0" applyProtection="0"/>
    <xf numFmtId="264" fontId="17" fillId="0" borderId="0" applyFont="0" applyFill="0" applyBorder="0" applyAlignment="0" applyProtection="0"/>
    <xf numFmtId="237" fontId="17" fillId="0" borderId="0" applyFont="0" applyFill="0" applyBorder="0" applyAlignment="0" applyProtection="0"/>
    <xf numFmtId="240" fontId="141" fillId="0" borderId="0" applyFont="0" applyFill="0" applyBorder="0" applyAlignment="0" applyProtection="0"/>
    <xf numFmtId="252" fontId="17" fillId="0" borderId="0" applyFont="0" applyFill="0" applyBorder="0" applyAlignment="0" applyProtection="0"/>
    <xf numFmtId="265" fontId="17" fillId="0" borderId="0" applyFont="0" applyFill="0" applyBorder="0" applyAlignment="0" applyProtection="0"/>
    <xf numFmtId="266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173" fontId="17" fillId="0" borderId="0" applyFont="0" applyFill="0" applyBorder="0" applyAlignment="0" applyProtection="0"/>
    <xf numFmtId="257" fontId="17" fillId="0" borderId="0" applyFont="0" applyFill="0" applyBorder="0" applyAlignment="0" applyProtection="0"/>
    <xf numFmtId="258" fontId="17" fillId="0" borderId="0" applyFont="0" applyFill="0" applyBorder="0" applyAlignment="0" applyProtection="0"/>
    <xf numFmtId="40" fontId="141" fillId="0" borderId="0" applyFont="0" applyFill="0" applyBorder="0" applyAlignment="0" applyProtection="0"/>
    <xf numFmtId="10" fontId="141" fillId="0" borderId="0" applyFont="0" applyFill="0" applyBorder="0" applyAlignment="0" applyProtection="0"/>
    <xf numFmtId="169" fontId="141" fillId="0" borderId="0" applyFont="0" applyFill="0" applyBorder="0" applyAlignment="0" applyProtection="0"/>
    <xf numFmtId="172" fontId="141" fillId="0" borderId="0" applyFont="0" applyFill="0" applyBorder="0" applyAlignment="0" applyProtection="0"/>
    <xf numFmtId="14" fontId="28" fillId="0" borderId="0" applyFill="0" applyBorder="0" applyAlignment="0"/>
    <xf numFmtId="14" fontId="134" fillId="0" borderId="0"/>
    <xf numFmtId="14" fontId="142" fillId="0" borderId="0" applyFont="0" applyFill="0" applyBorder="0" applyAlignment="0" applyProtection="0">
      <alignment horizontal="center"/>
    </xf>
    <xf numFmtId="253" fontId="17" fillId="0" borderId="0" applyFont="0" applyFill="0" applyBorder="0" applyAlignment="0" applyProtection="0"/>
    <xf numFmtId="253" fontId="17" fillId="0" borderId="0" applyFont="0" applyFill="0" applyBorder="0" applyAlignment="0" applyProtection="0"/>
    <xf numFmtId="4" fontId="62" fillId="0" borderId="0" applyFont="0" applyFill="0" applyBorder="0" applyAlignment="0" applyProtection="0"/>
    <xf numFmtId="0" fontId="143" fillId="0" borderId="0" applyFill="0" applyBorder="0" applyAlignment="0"/>
    <xf numFmtId="0" fontId="143" fillId="0" borderId="0" applyFill="0" applyBorder="0" applyAlignment="0"/>
    <xf numFmtId="0" fontId="143" fillId="0" borderId="0" applyFill="0" applyBorder="0" applyAlignment="0"/>
    <xf numFmtId="0" fontId="17" fillId="0" borderId="0" applyFill="0" applyBorder="0" applyAlignment="0"/>
    <xf numFmtId="0" fontId="143" fillId="0" borderId="0" applyFill="0" applyBorder="0" applyAlignment="0"/>
    <xf numFmtId="0" fontId="144" fillId="0" borderId="0" applyNumberFormat="0" applyAlignment="0">
      <alignment horizontal="left"/>
    </xf>
    <xf numFmtId="267" fontId="145" fillId="0" borderId="0" applyFont="0" applyFill="0" applyBorder="0" applyProtection="0">
      <alignment horizontal="right"/>
    </xf>
    <xf numFmtId="268" fontId="146" fillId="0" borderId="18" applyFont="0" applyFill="0" applyBorder="0" applyProtection="0">
      <alignment horizontal="right"/>
    </xf>
    <xf numFmtId="0" fontId="147" fillId="0" borderId="0" applyNumberFormat="0" applyFont="0" applyFill="0" applyBorder="0" applyAlignment="0" applyProtection="0"/>
    <xf numFmtId="0" fontId="134" fillId="0" borderId="0"/>
    <xf numFmtId="0" fontId="148" fillId="0" borderId="0" applyFont="0" applyFill="0" applyBorder="0" applyAlignment="0" applyProtection="0"/>
    <xf numFmtId="0" fontId="147" fillId="0" borderId="0" applyNumberFormat="0" applyFont="0" applyFill="0" applyBorder="0" applyAlignment="0" applyProtection="0"/>
    <xf numFmtId="0" fontId="147" fillId="0" borderId="0" applyNumberFormat="0" applyFont="0" applyFill="0" applyBorder="0" applyAlignment="0" applyProtection="0"/>
    <xf numFmtId="0" fontId="147" fillId="0" borderId="0" applyNumberFormat="0" applyFont="0" applyFill="0" applyBorder="0" applyAlignment="0" applyProtection="0"/>
    <xf numFmtId="0" fontId="134" fillId="0" borderId="0"/>
    <xf numFmtId="0" fontId="148" fillId="0" borderId="0" applyFont="0" applyFill="0" applyBorder="0" applyAlignment="0" applyProtection="0"/>
    <xf numFmtId="0" fontId="147" fillId="0" borderId="0" applyNumberFormat="0" applyFont="0" applyFill="0" applyBorder="0" applyAlignment="0" applyProtection="0"/>
    <xf numFmtId="0" fontId="147" fillId="0" borderId="0" applyNumberFormat="0" applyFont="0" applyFill="0" applyBorder="0" applyAlignment="0" applyProtection="0"/>
    <xf numFmtId="0" fontId="147" fillId="0" borderId="0" applyNumberFormat="0" applyFont="0" applyFill="0" applyBorder="0" applyAlignment="0" applyProtection="0"/>
    <xf numFmtId="269" fontId="17" fillId="0" borderId="0" applyFill="0" applyBorder="0" applyAlignment="0" applyProtection="0"/>
    <xf numFmtId="269" fontId="17" fillId="0" borderId="0" applyFill="0" applyBorder="0" applyAlignment="0" applyProtection="0"/>
    <xf numFmtId="0" fontId="149" fillId="0" borderId="0" applyNumberFormat="0" applyFill="0" applyBorder="0" applyAlignment="0" applyProtection="0"/>
    <xf numFmtId="12" fontId="134" fillId="0" borderId="0"/>
    <xf numFmtId="198" fontId="33" fillId="33" borderId="13">
      <alignment horizontal="right"/>
    </xf>
    <xf numFmtId="270" fontId="134" fillId="0" borderId="0"/>
    <xf numFmtId="0" fontId="5" fillId="2" borderId="0" applyNumberFormat="0" applyBorder="0" applyAlignment="0" applyProtection="0"/>
    <xf numFmtId="0" fontId="150" fillId="2" borderId="0" applyNumberFormat="0" applyBorder="0" applyAlignment="0" applyProtection="0"/>
    <xf numFmtId="271" fontId="17" fillId="0" borderId="0" applyNumberFormat="0" applyFill="0" applyBorder="0" applyAlignment="0" applyProtection="0">
      <alignment horizontal="left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151" fillId="0" borderId="10">
      <alignment horizontal="center"/>
    </xf>
    <xf numFmtId="0" fontId="151" fillId="0" borderId="0">
      <alignment horizontal="center"/>
    </xf>
    <xf numFmtId="0" fontId="152" fillId="0" borderId="67" applyNumberFormat="0" applyFont="0" applyFill="0" applyAlignment="0" applyProtection="0"/>
    <xf numFmtId="0" fontId="153" fillId="0" borderId="0" applyNumberFormat="0" applyFill="0" applyBorder="0" applyAlignment="0" applyProtection="0">
      <alignment vertical="top"/>
      <protection locked="0"/>
    </xf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169" fontId="154" fillId="0" borderId="0"/>
    <xf numFmtId="0" fontId="133" fillId="0" borderId="0"/>
    <xf numFmtId="37" fontId="133" fillId="0" borderId="0" applyNumberFormat="0" applyFill="0" applyBorder="0" applyAlignment="0" applyProtection="0"/>
    <xf numFmtId="0" fontId="155" fillId="0" borderId="0" applyFill="0" applyBorder="0" applyAlignment="0"/>
    <xf numFmtId="0" fontId="155" fillId="0" borderId="0" applyFill="0" applyBorder="0" applyAlignment="0"/>
    <xf numFmtId="0" fontId="155" fillId="0" borderId="0" applyFill="0" applyBorder="0" applyAlignment="0"/>
    <xf numFmtId="0" fontId="17" fillId="0" borderId="0" applyFill="0" applyBorder="0" applyAlignment="0"/>
    <xf numFmtId="0" fontId="155" fillId="0" borderId="0" applyFill="0" applyBorder="0" applyAlignment="0"/>
    <xf numFmtId="201" fontId="33" fillId="0" borderId="0">
      <alignment horizontal="right"/>
    </xf>
    <xf numFmtId="242" fontId="156" fillId="0" borderId="0" applyFill="0" applyBorder="0" applyAlignment="0" applyProtection="0"/>
    <xf numFmtId="272" fontId="36" fillId="0" borderId="0" applyFont="0" applyFill="0" applyBorder="0" applyAlignment="0" applyProtection="0"/>
    <xf numFmtId="4" fontId="134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42" fontId="17" fillId="0" borderId="0" applyFont="0" applyFill="0" applyBorder="0" applyAlignment="0" applyProtection="0"/>
    <xf numFmtId="8" fontId="134" fillId="0" borderId="0" applyFont="0" applyFill="0" applyBorder="0" applyAlignment="0" applyProtection="0"/>
    <xf numFmtId="273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74" fontId="62" fillId="0" borderId="0" applyFont="0" applyFill="0" applyBorder="0" applyAlignment="0" applyProtection="0"/>
    <xf numFmtId="275" fontId="62" fillId="0" borderId="0" applyFont="0" applyFill="0" applyBorder="0" applyAlignment="0" applyProtection="0"/>
    <xf numFmtId="276" fontId="62" fillId="0" borderId="0" applyFont="0" applyFill="0" applyBorder="0" applyAlignment="0" applyProtection="0"/>
    <xf numFmtId="172" fontId="157" fillId="0" borderId="12"/>
    <xf numFmtId="0" fontId="7" fillId="4" borderId="0" applyNumberFormat="0" applyBorder="0" applyAlignment="0" applyProtection="0"/>
    <xf numFmtId="0" fontId="158" fillId="4" borderId="0" applyNumberFormat="0" applyBorder="0" applyAlignment="0" applyProtection="0"/>
    <xf numFmtId="225" fontId="134" fillId="0" borderId="0"/>
    <xf numFmtId="0" fontId="17" fillId="0" borderId="0">
      <alignment vertical="center"/>
    </xf>
    <xf numFmtId="0" fontId="17" fillId="0" borderId="0">
      <alignment vertical="center"/>
    </xf>
    <xf numFmtId="38" fontId="134" fillId="0" borderId="0"/>
    <xf numFmtId="0" fontId="35" fillId="0" borderId="0"/>
    <xf numFmtId="277" fontId="157" fillId="0" borderId="0"/>
    <xf numFmtId="278" fontId="17" fillId="0" borderId="0" applyFill="0" applyBorder="0">
      <alignment horizontal="right"/>
    </xf>
    <xf numFmtId="279" fontId="157" fillId="0" borderId="0" applyFill="0" applyBorder="0">
      <alignment horizontal="right"/>
    </xf>
    <xf numFmtId="250" fontId="157" fillId="0" borderId="0" applyFill="0" applyBorder="0">
      <alignment horizontal="right"/>
    </xf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43" fontId="45" fillId="0" borderId="0" applyFont="0" applyFill="0" applyBorder="0" applyAlignment="0" applyProtection="0"/>
    <xf numFmtId="41" fontId="45" fillId="0" borderId="0" applyFont="0" applyFill="0" applyBorder="0" applyAlignment="0" applyProtection="0"/>
    <xf numFmtId="0" fontId="160" fillId="0" borderId="0">
      <alignment horizontal="left" vertical="top"/>
      <protection locked="0"/>
    </xf>
    <xf numFmtId="280" fontId="35" fillId="0" borderId="0"/>
    <xf numFmtId="14" fontId="39" fillId="0" borderId="0">
      <alignment horizontal="center" wrapText="1"/>
      <protection locked="0"/>
    </xf>
    <xf numFmtId="281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08" fillId="0" borderId="0" applyFont="0" applyFill="0" applyBorder="0" applyAlignment="0" applyProtection="0"/>
    <xf numFmtId="169" fontId="134" fillId="0" borderId="0"/>
    <xf numFmtId="282" fontId="17" fillId="0" borderId="0"/>
    <xf numFmtId="10" fontId="76" fillId="0" borderId="23">
      <alignment horizontal="center"/>
    </xf>
    <xf numFmtId="172" fontId="157" fillId="0" borderId="0"/>
    <xf numFmtId="0" fontId="81" fillId="0" borderId="0" applyFill="0" applyBorder="0" applyAlignment="0"/>
    <xf numFmtId="0" fontId="81" fillId="0" borderId="0" applyFill="0" applyBorder="0" applyAlignment="0"/>
    <xf numFmtId="0" fontId="81" fillId="0" borderId="0" applyFill="0" applyBorder="0" applyAlignment="0"/>
    <xf numFmtId="0" fontId="17" fillId="0" borderId="0" applyFill="0" applyBorder="0" applyAlignment="0"/>
    <xf numFmtId="0" fontId="81" fillId="0" borderId="0" applyFill="0" applyBorder="0" applyAlignment="0"/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283" fontId="17" fillId="0" borderId="0"/>
    <xf numFmtId="0" fontId="35" fillId="0" borderId="0" applyNumberFormat="0" applyFont="0" applyFill="0" applyBorder="0" applyAlignment="0" applyProtection="0">
      <alignment horizontal="left"/>
    </xf>
    <xf numFmtId="15" fontId="35" fillId="0" borderId="0" applyFont="0" applyFill="0" applyBorder="0" applyAlignment="0" applyProtection="0"/>
    <xf numFmtId="4" fontId="35" fillId="0" borderId="0" applyFont="0" applyFill="0" applyBorder="0" applyAlignment="0" applyProtection="0"/>
    <xf numFmtId="0" fontId="50" fillId="0" borderId="10">
      <alignment horizontal="center"/>
    </xf>
    <xf numFmtId="3" fontId="35" fillId="0" borderId="0" applyFont="0" applyFill="0" applyBorder="0" applyAlignment="0" applyProtection="0"/>
    <xf numFmtId="0" fontId="35" fillId="75" borderId="0" applyNumberFormat="0" applyFont="0" applyBorder="0" applyAlignment="0" applyProtection="0"/>
    <xf numFmtId="0" fontId="45" fillId="0" borderId="0">
      <alignment vertical="top"/>
    </xf>
    <xf numFmtId="0" fontId="45" fillId="0" borderId="0">
      <alignment vertical="top"/>
    </xf>
    <xf numFmtId="172" fontId="45" fillId="0" borderId="0">
      <alignment vertical="top"/>
    </xf>
    <xf numFmtId="0" fontId="161" fillId="0" borderId="68"/>
    <xf numFmtId="0" fontId="162" fillId="76" borderId="0" applyNumberFormat="0" applyFont="0" applyBorder="0" applyAlignment="0">
      <alignment horizontal="center"/>
    </xf>
    <xf numFmtId="14" fontId="157" fillId="0" borderId="0" applyNumberFormat="0" applyFill="0" applyBorder="0" applyAlignment="0" applyProtection="0">
      <alignment horizontal="left"/>
    </xf>
    <xf numFmtId="0" fontId="20" fillId="77" borderId="0" applyNumberFormat="0" applyFont="0" applyAlignment="0">
      <alignment horizontal="center"/>
    </xf>
    <xf numFmtId="0" fontId="162" fillId="1" borderId="17" applyNumberFormat="0" applyFont="0" applyAlignment="0">
      <alignment horizontal="center"/>
    </xf>
    <xf numFmtId="37" fontId="163" fillId="0" borderId="28"/>
    <xf numFmtId="37" fontId="163" fillId="0" borderId="28"/>
    <xf numFmtId="37" fontId="31" fillId="0" borderId="0"/>
    <xf numFmtId="0" fontId="164" fillId="0" borderId="0" applyNumberFormat="0" applyFill="0" applyBorder="0" applyAlignment="0">
      <alignment horizontal="center"/>
    </xf>
    <xf numFmtId="0" fontId="165" fillId="0" borderId="69"/>
    <xf numFmtId="284" fontId="133" fillId="0" borderId="70" applyNumberFormat="0" applyFont="0"/>
    <xf numFmtId="40" fontId="166" fillId="0" borderId="0" applyBorder="0">
      <alignment horizontal="right"/>
    </xf>
    <xf numFmtId="284" fontId="133" fillId="0" borderId="0" applyNumberFormat="0">
      <alignment horizontal="centerContinuous"/>
    </xf>
    <xf numFmtId="284" fontId="133" fillId="0" borderId="0" applyNumberFormat="0" applyAlignment="0"/>
    <xf numFmtId="284" fontId="133" fillId="0" borderId="0">
      <alignment horizontal="centerContinuous"/>
    </xf>
    <xf numFmtId="172" fontId="31" fillId="0" borderId="18">
      <alignment horizontal="center"/>
    </xf>
    <xf numFmtId="172" fontId="31" fillId="0" borderId="18">
      <alignment horizontal="center"/>
    </xf>
    <xf numFmtId="49" fontId="28" fillId="0" borderId="0" applyFill="0" applyBorder="0" applyAlignment="0"/>
    <xf numFmtId="0" fontId="17" fillId="0" borderId="0" applyFill="0" applyBorder="0" applyAlignment="0"/>
    <xf numFmtId="0" fontId="17" fillId="0" borderId="0" applyFill="0" applyBorder="0" applyAlignment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52" fillId="0" borderId="71" applyNumberFormat="0" applyFont="0" applyFill="0" applyAlignment="0" applyProtection="0"/>
    <xf numFmtId="0" fontId="152" fillId="0" borderId="71" applyNumberFormat="0" applyFont="0" applyFill="0" applyAlignment="0" applyProtection="0"/>
    <xf numFmtId="40" fontId="134" fillId="0" borderId="0"/>
    <xf numFmtId="240" fontId="167" fillId="0" borderId="0"/>
    <xf numFmtId="37" fontId="163" fillId="0" borderId="12"/>
    <xf numFmtId="37" fontId="163" fillId="0" borderId="40"/>
    <xf numFmtId="37" fontId="163" fillId="0" borderId="40"/>
    <xf numFmtId="0" fontId="45" fillId="0" borderId="71" applyProtection="0">
      <alignment vertical="top"/>
    </xf>
    <xf numFmtId="0" fontId="20" fillId="0" borderId="0" applyNumberFormat="0" applyFont="0" applyAlignment="0">
      <alignment horizontal="center"/>
    </xf>
    <xf numFmtId="284" fontId="133" fillId="0" borderId="0" applyNumberFormat="0" applyFill="0" applyBorder="0" applyAlignment="0" applyProtection="0"/>
    <xf numFmtId="285" fontId="32" fillId="1" borderId="0" applyFont="0" applyFill="0" applyBorder="0" applyAlignment="0" applyProtection="0">
      <alignment horizontal="right"/>
      <protection hidden="1"/>
    </xf>
    <xf numFmtId="40" fontId="168" fillId="0" borderId="0" applyAlignment="0"/>
    <xf numFmtId="0" fontId="17" fillId="51" borderId="0" applyNumberFormat="0" applyFont="0" applyBorder="0" applyAlignment="0" applyProtection="0"/>
    <xf numFmtId="0" fontId="180" fillId="0" borderId="0"/>
    <xf numFmtId="9" fontId="181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 applyNumberFormat="0" applyFill="0" applyBorder="0" applyAlignment="0" applyProtection="0"/>
    <xf numFmtId="0" fontId="134" fillId="0" borderId="0"/>
    <xf numFmtId="0" fontId="35" fillId="0" borderId="0"/>
    <xf numFmtId="0" fontId="180" fillId="0" borderId="0"/>
    <xf numFmtId="0" fontId="17" fillId="0" borderId="0" applyNumberFormat="0" applyFill="0" applyBorder="0" applyAlignment="0" applyProtection="0"/>
    <xf numFmtId="0" fontId="108" fillId="0" borderId="0"/>
    <xf numFmtId="9" fontId="75" fillId="0" borderId="0" applyFont="0" applyFill="0" applyBorder="0" applyAlignment="0" applyProtection="0"/>
    <xf numFmtId="0" fontId="108" fillId="0" borderId="0"/>
    <xf numFmtId="0" fontId="39" fillId="0" borderId="11" applyNumberFormat="0" applyFont="0" applyFill="0" applyAlignment="0" applyProtection="0"/>
    <xf numFmtId="0" fontId="39" fillId="0" borderId="11" applyNumberFormat="0" applyFont="0" applyFill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91" fillId="0" borderId="0"/>
    <xf numFmtId="0" fontId="192" fillId="80" borderId="0"/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48" fillId="0" borderId="17">
      <alignment horizontal="left" vertical="center"/>
    </xf>
    <xf numFmtId="0" fontId="193" fillId="0" borderId="0">
      <alignment wrapText="1"/>
    </xf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10" fontId="21" fillId="43" borderId="18" applyNumberFormat="0" applyBorder="0" applyAlignment="0" applyProtection="0"/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3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9" fontId="45" fillId="42" borderId="18" applyProtection="0">
      <alignment horizontal="right"/>
      <protection locked="0"/>
    </xf>
    <xf numFmtId="0" fontId="50" fillId="44" borderId="74">
      <alignment horizontal="left" vertical="center" wrapText="1"/>
    </xf>
    <xf numFmtId="0" fontId="50" fillId="44" borderId="74">
      <alignment horizontal="left" vertical="center" wrapText="1"/>
    </xf>
    <xf numFmtId="0" fontId="50" fillId="44" borderId="74">
      <alignment horizontal="left" vertical="center" wrapText="1"/>
    </xf>
    <xf numFmtId="0" fontId="50" fillId="44" borderId="74">
      <alignment horizontal="left" vertical="center" wrapText="1"/>
    </xf>
    <xf numFmtId="0" fontId="50" fillId="44" borderId="74">
      <alignment horizontal="left" vertical="center" wrapText="1"/>
    </xf>
    <xf numFmtId="0" fontId="50" fillId="44" borderId="74">
      <alignment horizontal="left" vertical="center" wrapText="1"/>
    </xf>
    <xf numFmtId="0" fontId="50" fillId="44" borderId="74">
      <alignment horizontal="left" vertical="center" wrapText="1"/>
    </xf>
    <xf numFmtId="0" fontId="50" fillId="44" borderId="74">
      <alignment horizontal="left" vertical="center" wrapText="1"/>
    </xf>
    <xf numFmtId="0" fontId="50" fillId="44" borderId="74">
      <alignment horizontal="left" vertical="center" wrapText="1"/>
    </xf>
    <xf numFmtId="0" fontId="192" fillId="0" borderId="0"/>
    <xf numFmtId="0" fontId="194" fillId="0" borderId="0"/>
    <xf numFmtId="0" fontId="195" fillId="0" borderId="0"/>
    <xf numFmtId="167" fontId="30" fillId="46" borderId="75"/>
    <xf numFmtId="167" fontId="30" fillId="46" borderId="75"/>
    <xf numFmtId="167" fontId="30" fillId="46" borderId="75"/>
    <xf numFmtId="167" fontId="30" fillId="46" borderId="75"/>
    <xf numFmtId="167" fontId="30" fillId="46" borderId="75"/>
    <xf numFmtId="167" fontId="30" fillId="46" borderId="75"/>
    <xf numFmtId="167" fontId="30" fillId="46" borderId="75"/>
    <xf numFmtId="167" fontId="30" fillId="46" borderId="75"/>
    <xf numFmtId="167" fontId="30" fillId="46" borderId="75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93" fillId="0" borderId="0"/>
    <xf numFmtId="0" fontId="17" fillId="0" borderId="0"/>
    <xf numFmtId="0" fontId="195" fillId="0" borderId="0"/>
    <xf numFmtId="10" fontId="76" fillId="0" borderId="71">
      <alignment horizontal="center"/>
    </xf>
    <xf numFmtId="10" fontId="76" fillId="0" borderId="71">
      <alignment horizontal="center"/>
    </xf>
    <xf numFmtId="10" fontId="76" fillId="0" borderId="71">
      <alignment horizontal="center"/>
    </xf>
    <xf numFmtId="10" fontId="76" fillId="0" borderId="71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39" fontId="31" fillId="0" borderId="18">
      <alignment horizontal="center"/>
    </xf>
    <xf numFmtId="0" fontId="102" fillId="0" borderId="76">
      <alignment horizontal="centerContinuous"/>
    </xf>
    <xf numFmtId="4" fontId="77" fillId="50" borderId="77" applyNumberFormat="0" applyProtection="0">
      <alignment vertical="center"/>
    </xf>
    <xf numFmtId="4" fontId="77" fillId="50" borderId="77" applyNumberFormat="0" applyProtection="0">
      <alignment vertical="center"/>
    </xf>
    <xf numFmtId="4" fontId="77" fillId="50" borderId="77" applyNumberFormat="0" applyProtection="0">
      <alignment vertical="center"/>
    </xf>
    <xf numFmtId="4" fontId="77" fillId="50" borderId="77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28" fillId="51" borderId="78" applyNumberFormat="0" applyProtection="0">
      <alignment vertical="center"/>
    </xf>
    <xf numFmtId="4" fontId="77" fillId="50" borderId="77" applyNumberFormat="0" applyProtection="0">
      <alignment vertical="center"/>
    </xf>
    <xf numFmtId="4" fontId="77" fillId="50" borderId="77" applyNumberFormat="0" applyProtection="0">
      <alignment vertical="center"/>
    </xf>
    <xf numFmtId="4" fontId="77" fillId="50" borderId="77" applyNumberFormat="0" applyProtection="0">
      <alignment vertical="center"/>
    </xf>
    <xf numFmtId="4" fontId="77" fillId="50" borderId="77" applyNumberFormat="0" applyProtection="0">
      <alignment vertical="center"/>
    </xf>
    <xf numFmtId="4" fontId="77" fillId="50" borderId="77" applyNumberFormat="0" applyProtection="0">
      <alignment vertical="center"/>
    </xf>
    <xf numFmtId="4" fontId="77" fillId="50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8" fillId="51" borderId="77" applyNumberFormat="0" applyProtection="0">
      <alignment vertical="center"/>
    </xf>
    <xf numFmtId="4" fontId="77" fillId="51" borderId="77" applyNumberFormat="0" applyProtection="0">
      <alignment horizontal="left" vertical="center" indent="1"/>
    </xf>
    <xf numFmtId="4" fontId="77" fillId="51" borderId="77" applyNumberFormat="0" applyProtection="0">
      <alignment horizontal="left" vertical="center" indent="1"/>
    </xf>
    <xf numFmtId="4" fontId="77" fillId="51" borderId="77" applyNumberFormat="0" applyProtection="0">
      <alignment horizontal="left" vertical="center" indent="1"/>
    </xf>
    <xf numFmtId="4" fontId="77" fillId="51" borderId="77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28" fillId="51" borderId="78" applyNumberFormat="0" applyProtection="0">
      <alignment horizontal="left" vertical="center" indent="1"/>
    </xf>
    <xf numFmtId="4" fontId="77" fillId="51" borderId="77" applyNumberFormat="0" applyProtection="0">
      <alignment horizontal="left" vertical="center" indent="1"/>
    </xf>
    <xf numFmtId="4" fontId="77" fillId="51" borderId="77" applyNumberFormat="0" applyProtection="0">
      <alignment horizontal="left" vertical="center" indent="1"/>
    </xf>
    <xf numFmtId="4" fontId="77" fillId="51" borderId="77" applyNumberFormat="0" applyProtection="0">
      <alignment horizontal="left" vertical="center" indent="1"/>
    </xf>
    <xf numFmtId="4" fontId="77" fillId="51" borderId="77" applyNumberFormat="0" applyProtection="0">
      <alignment horizontal="left" vertical="center" indent="1"/>
    </xf>
    <xf numFmtId="4" fontId="77" fillId="51" borderId="77" applyNumberFormat="0" applyProtection="0">
      <alignment horizontal="left" vertical="center" indent="1"/>
    </xf>
    <xf numFmtId="4" fontId="77" fillId="51" borderId="77" applyNumberFormat="0" applyProtection="0">
      <alignment horizontal="left" vertical="center" indent="1"/>
    </xf>
    <xf numFmtId="0" fontId="77" fillId="51" borderId="77" applyNumberFormat="0" applyProtection="0">
      <alignment horizontal="left" vertical="top" indent="1"/>
    </xf>
    <xf numFmtId="0" fontId="77" fillId="51" borderId="77" applyNumberFormat="0" applyProtection="0">
      <alignment horizontal="left" vertical="top" indent="1"/>
    </xf>
    <xf numFmtId="0" fontId="77" fillId="51" borderId="77" applyNumberFormat="0" applyProtection="0">
      <alignment horizontal="left" vertical="top" indent="1"/>
    </xf>
    <xf numFmtId="0" fontId="77" fillId="51" borderId="77" applyNumberFormat="0" applyProtection="0">
      <alignment horizontal="left" vertical="top" indent="1"/>
    </xf>
    <xf numFmtId="0" fontId="77" fillId="51" borderId="77" applyNumberFormat="0" applyProtection="0">
      <alignment horizontal="left" vertical="top" indent="1"/>
    </xf>
    <xf numFmtId="0" fontId="77" fillId="51" borderId="77" applyNumberFormat="0" applyProtection="0">
      <alignment horizontal="left" vertical="top" indent="1"/>
    </xf>
    <xf numFmtId="0" fontId="77" fillId="51" borderId="77" applyNumberFormat="0" applyProtection="0">
      <alignment horizontal="left" vertical="top" indent="1"/>
    </xf>
    <xf numFmtId="0" fontId="77" fillId="51" borderId="77" applyNumberFormat="0" applyProtection="0">
      <alignment horizontal="left" vertical="top" indent="1"/>
    </xf>
    <xf numFmtId="0" fontId="77" fillId="51" borderId="77" applyNumberFormat="0" applyProtection="0">
      <alignment horizontal="left" vertical="top" indent="1"/>
    </xf>
    <xf numFmtId="0" fontId="77" fillId="51" borderId="77" applyNumberFormat="0" applyProtection="0">
      <alignment horizontal="left" vertical="top" indent="1"/>
    </xf>
    <xf numFmtId="4" fontId="28" fillId="53" borderId="77" applyNumberFormat="0" applyProtection="0">
      <alignment horizontal="right" vertical="center"/>
    </xf>
    <xf numFmtId="4" fontId="28" fillId="53" borderId="77" applyNumberFormat="0" applyProtection="0">
      <alignment horizontal="right" vertical="center"/>
    </xf>
    <xf numFmtId="4" fontId="28" fillId="53" borderId="77" applyNumberFormat="0" applyProtection="0">
      <alignment horizontal="right" vertical="center"/>
    </xf>
    <xf numFmtId="4" fontId="28" fillId="53" borderId="77" applyNumberFormat="0" applyProtection="0">
      <alignment horizontal="right" vertical="center"/>
    </xf>
    <xf numFmtId="4" fontId="28" fillId="53" borderId="77" applyNumberFormat="0" applyProtection="0">
      <alignment horizontal="right" vertical="center"/>
    </xf>
    <xf numFmtId="4" fontId="28" fillId="53" borderId="77" applyNumberFormat="0" applyProtection="0">
      <alignment horizontal="right" vertical="center"/>
    </xf>
    <xf numFmtId="4" fontId="28" fillId="53" borderId="77" applyNumberFormat="0" applyProtection="0">
      <alignment horizontal="right" vertical="center"/>
    </xf>
    <xf numFmtId="4" fontId="28" fillId="53" borderId="77" applyNumberFormat="0" applyProtection="0">
      <alignment horizontal="right" vertical="center"/>
    </xf>
    <xf numFmtId="4" fontId="28" fillId="53" borderId="77" applyNumberFormat="0" applyProtection="0">
      <alignment horizontal="right" vertical="center"/>
    </xf>
    <xf numFmtId="4" fontId="28" fillId="53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4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5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6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7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8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59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0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1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4" fontId="28" fillId="65" borderId="77" applyNumberFormat="0" applyProtection="0">
      <alignment horizontal="right" vertical="center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center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64" borderId="77" applyNumberFormat="0" applyProtection="0">
      <alignment horizontal="left" vertical="top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center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52" borderId="77" applyNumberFormat="0" applyProtection="0">
      <alignment horizontal="left" vertical="top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center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6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center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0" fontId="17" fillId="36" borderId="77" applyNumberFormat="0" applyProtection="0">
      <alignment horizontal="left" vertical="top" indent="1"/>
    </xf>
    <xf numFmtId="4" fontId="28" fillId="43" borderId="77" applyNumberFormat="0" applyProtection="0">
      <alignment vertical="center"/>
    </xf>
    <xf numFmtId="4" fontId="28" fillId="43" borderId="77" applyNumberFormat="0" applyProtection="0">
      <alignment vertical="center"/>
    </xf>
    <xf numFmtId="4" fontId="28" fillId="43" borderId="77" applyNumberFormat="0" applyProtection="0">
      <alignment vertical="center"/>
    </xf>
    <xf numFmtId="4" fontId="28" fillId="43" borderId="77" applyNumberFormat="0" applyProtection="0">
      <alignment vertical="center"/>
    </xf>
    <xf numFmtId="4" fontId="28" fillId="43" borderId="77" applyNumberFormat="0" applyProtection="0">
      <alignment vertical="center"/>
    </xf>
    <xf numFmtId="4" fontId="28" fillId="43" borderId="77" applyNumberFormat="0" applyProtection="0">
      <alignment vertical="center"/>
    </xf>
    <xf numFmtId="4" fontId="28" fillId="43" borderId="77" applyNumberFormat="0" applyProtection="0">
      <alignment vertical="center"/>
    </xf>
    <xf numFmtId="4" fontId="28" fillId="43" borderId="77" applyNumberFormat="0" applyProtection="0">
      <alignment vertical="center"/>
    </xf>
    <xf numFmtId="4" fontId="28" fillId="43" borderId="77" applyNumberFormat="0" applyProtection="0">
      <alignment vertical="center"/>
    </xf>
    <xf numFmtId="4" fontId="28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79" fillId="43" borderId="77" applyNumberFormat="0" applyProtection="0">
      <alignment vertical="center"/>
    </xf>
    <xf numFmtId="4" fontId="28" fillId="43" borderId="77" applyNumberFormat="0" applyProtection="0">
      <alignment horizontal="left" vertical="center" indent="1"/>
    </xf>
    <xf numFmtId="4" fontId="28" fillId="43" borderId="77" applyNumberFormat="0" applyProtection="0">
      <alignment horizontal="left" vertical="center" indent="1"/>
    </xf>
    <xf numFmtId="4" fontId="28" fillId="43" borderId="77" applyNumberFormat="0" applyProtection="0">
      <alignment horizontal="left" vertical="center" indent="1"/>
    </xf>
    <xf numFmtId="4" fontId="28" fillId="43" borderId="77" applyNumberFormat="0" applyProtection="0">
      <alignment horizontal="left" vertical="center" indent="1"/>
    </xf>
    <xf numFmtId="4" fontId="28" fillId="43" borderId="77" applyNumberFormat="0" applyProtection="0">
      <alignment horizontal="left" vertical="center" indent="1"/>
    </xf>
    <xf numFmtId="4" fontId="28" fillId="43" borderId="77" applyNumberFormat="0" applyProtection="0">
      <alignment horizontal="left" vertical="center" indent="1"/>
    </xf>
    <xf numFmtId="4" fontId="28" fillId="43" borderId="77" applyNumberFormat="0" applyProtection="0">
      <alignment horizontal="left" vertical="center" indent="1"/>
    </xf>
    <xf numFmtId="4" fontId="28" fillId="43" borderId="77" applyNumberFormat="0" applyProtection="0">
      <alignment horizontal="left" vertical="center" indent="1"/>
    </xf>
    <xf numFmtId="4" fontId="28" fillId="43" borderId="77" applyNumberFormat="0" applyProtection="0">
      <alignment horizontal="left" vertical="center" indent="1"/>
    </xf>
    <xf numFmtId="4" fontId="28" fillId="43" borderId="77" applyNumberFormat="0" applyProtection="0">
      <alignment horizontal="left" vertical="center" indent="1"/>
    </xf>
    <xf numFmtId="0" fontId="28" fillId="43" borderId="77" applyNumberFormat="0" applyProtection="0">
      <alignment horizontal="left" vertical="top" indent="1"/>
    </xf>
    <xf numFmtId="0" fontId="28" fillId="43" borderId="77" applyNumberFormat="0" applyProtection="0">
      <alignment horizontal="left" vertical="top" indent="1"/>
    </xf>
    <xf numFmtId="0" fontId="28" fillId="43" borderId="77" applyNumberFormat="0" applyProtection="0">
      <alignment horizontal="left" vertical="top" indent="1"/>
    </xf>
    <xf numFmtId="0" fontId="28" fillId="43" borderId="77" applyNumberFormat="0" applyProtection="0">
      <alignment horizontal="left" vertical="top" indent="1"/>
    </xf>
    <xf numFmtId="0" fontId="28" fillId="43" borderId="77" applyNumberFormat="0" applyProtection="0">
      <alignment horizontal="left" vertical="top" indent="1"/>
    </xf>
    <xf numFmtId="0" fontId="28" fillId="43" borderId="77" applyNumberFormat="0" applyProtection="0">
      <alignment horizontal="left" vertical="top" indent="1"/>
    </xf>
    <xf numFmtId="0" fontId="28" fillId="43" borderId="77" applyNumberFormat="0" applyProtection="0">
      <alignment horizontal="left" vertical="top" indent="1"/>
    </xf>
    <xf numFmtId="0" fontId="28" fillId="43" borderId="77" applyNumberFormat="0" applyProtection="0">
      <alignment horizontal="left" vertical="top" indent="1"/>
    </xf>
    <xf numFmtId="0" fontId="28" fillId="43" borderId="77" applyNumberFormat="0" applyProtection="0">
      <alignment horizontal="left" vertical="top" indent="1"/>
    </xf>
    <xf numFmtId="0" fontId="28" fillId="43" borderId="77" applyNumberFormat="0" applyProtection="0">
      <alignment horizontal="left" vertical="top" indent="1"/>
    </xf>
    <xf numFmtId="4" fontId="28" fillId="67" borderId="78" applyNumberFormat="0" applyProtection="0">
      <alignment horizontal="right" vertical="center"/>
    </xf>
    <xf numFmtId="4" fontId="28" fillId="67" borderId="78" applyNumberFormat="0" applyProtection="0">
      <alignment horizontal="right" vertical="center"/>
    </xf>
    <xf numFmtId="4" fontId="28" fillId="67" borderId="78" applyNumberFormat="0" applyProtection="0">
      <alignment horizontal="right" vertical="center"/>
    </xf>
    <xf numFmtId="4" fontId="28" fillId="67" borderId="78" applyNumberFormat="0" applyProtection="0">
      <alignment horizontal="right" vertical="center"/>
    </xf>
    <xf numFmtId="4" fontId="28" fillId="67" borderId="78" applyNumberFormat="0" applyProtection="0">
      <alignment horizontal="right" vertical="center"/>
    </xf>
    <xf numFmtId="4" fontId="28" fillId="67" borderId="78" applyNumberFormat="0" applyProtection="0">
      <alignment horizontal="right" vertical="center"/>
    </xf>
    <xf numFmtId="4" fontId="28" fillId="67" borderId="78" applyNumberFormat="0" applyProtection="0">
      <alignment horizontal="right" vertical="center"/>
    </xf>
    <xf numFmtId="4" fontId="28" fillId="67" borderId="78" applyNumberFormat="0" applyProtection="0">
      <alignment horizontal="right" vertical="center"/>
    </xf>
    <xf numFmtId="4" fontId="28" fillId="67" borderId="78" applyNumberFormat="0" applyProtection="0">
      <alignment horizontal="right" vertical="center"/>
    </xf>
    <xf numFmtId="4" fontId="28" fillId="67" borderId="78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4" fontId="79" fillId="63" borderId="77" applyNumberFormat="0" applyProtection="0">
      <alignment horizontal="right" vertical="center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17" fillId="68" borderId="78" applyNumberFormat="0" applyProtection="0">
      <alignment horizontal="left" vertical="center" indent="1"/>
    </xf>
    <xf numFmtId="0" fontId="28" fillId="52" borderId="77" applyNumberFormat="0" applyProtection="0">
      <alignment horizontal="left" vertical="top" indent="1"/>
    </xf>
    <xf numFmtId="0" fontId="28" fillId="52" borderId="77" applyNumberFormat="0" applyProtection="0">
      <alignment horizontal="left" vertical="top" indent="1"/>
    </xf>
    <xf numFmtId="0" fontId="28" fillId="52" borderId="77" applyNumberFormat="0" applyProtection="0">
      <alignment horizontal="left" vertical="top" indent="1"/>
    </xf>
    <xf numFmtId="0" fontId="28" fillId="52" borderId="77" applyNumberFormat="0" applyProtection="0">
      <alignment horizontal="left" vertical="top" indent="1"/>
    </xf>
    <xf numFmtId="0" fontId="28" fillId="52" borderId="77" applyNumberFormat="0" applyProtection="0">
      <alignment horizontal="left" vertical="top" indent="1"/>
    </xf>
    <xf numFmtId="0" fontId="28" fillId="52" borderId="77" applyNumberFormat="0" applyProtection="0">
      <alignment horizontal="left" vertical="top" indent="1"/>
    </xf>
    <xf numFmtId="0" fontId="28" fillId="52" borderId="77" applyNumberFormat="0" applyProtection="0">
      <alignment horizontal="left" vertical="top" indent="1"/>
    </xf>
    <xf numFmtId="0" fontId="28" fillId="52" borderId="77" applyNumberFormat="0" applyProtection="0">
      <alignment horizontal="left" vertical="top" indent="1"/>
    </xf>
    <xf numFmtId="0" fontId="28" fillId="52" borderId="77" applyNumberFormat="0" applyProtection="0">
      <alignment horizontal="left" vertical="top" indent="1"/>
    </xf>
    <xf numFmtId="0" fontId="28" fillId="52" borderId="77" applyNumberFormat="0" applyProtection="0">
      <alignment horizontal="left" vertical="top" indent="1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7" borderId="78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4" fontId="81" fillId="63" borderId="77" applyNumberFormat="0" applyProtection="0">
      <alignment horizontal="right" vertical="center"/>
    </xf>
    <xf numFmtId="0" fontId="162" fillId="1" borderId="17" applyNumberFormat="0" applyFont="0" applyAlignment="0">
      <alignment horizontal="center"/>
    </xf>
    <xf numFmtId="0" fontId="162" fillId="1" borderId="17" applyNumberFormat="0" applyFont="0" applyAlignment="0">
      <alignment horizontal="center"/>
    </xf>
    <xf numFmtId="0" fontId="162" fillId="1" borderId="17" applyNumberFormat="0" applyFont="0" applyAlignment="0">
      <alignment horizontal="center"/>
    </xf>
    <xf numFmtId="0" fontId="162" fillId="1" borderId="17" applyNumberFormat="0" applyFont="0" applyAlignment="0">
      <alignment horizontal="center"/>
    </xf>
    <xf numFmtId="0" fontId="162" fillId="1" borderId="17" applyNumberFormat="0" applyFont="0" applyAlignment="0">
      <alignment horizontal="center"/>
    </xf>
    <xf numFmtId="0" fontId="162" fillId="1" borderId="17" applyNumberFormat="0" applyFont="0" applyAlignment="0">
      <alignment horizontal="center"/>
    </xf>
    <xf numFmtId="0" fontId="162" fillId="1" borderId="17" applyNumberFormat="0" applyFont="0" applyAlignment="0">
      <alignment horizontal="center"/>
    </xf>
    <xf numFmtId="0" fontId="162" fillId="1" borderId="17" applyNumberFormat="0" applyFont="0" applyAlignment="0">
      <alignment horizontal="center"/>
    </xf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37" fontId="163" fillId="0" borderId="79"/>
    <xf numFmtId="0" fontId="103" fillId="0" borderId="76"/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172" fontId="31" fillId="0" borderId="18">
      <alignment horizontal="center"/>
    </xf>
    <xf numFmtId="0" fontId="152" fillId="0" borderId="71" applyNumberFormat="0" applyFont="0" applyFill="0" applyAlignment="0" applyProtection="0"/>
    <xf numFmtId="0" fontId="152" fillId="0" borderId="71" applyNumberFormat="0" applyFont="0" applyFill="0" applyAlignment="0" applyProtection="0"/>
    <xf numFmtId="0" fontId="45" fillId="0" borderId="71" applyProtection="0">
      <alignment vertical="top"/>
    </xf>
    <xf numFmtId="0" fontId="45" fillId="0" borderId="71" applyProtection="0">
      <alignment vertical="top"/>
    </xf>
    <xf numFmtId="0" fontId="45" fillId="0" borderId="71" applyProtection="0">
      <alignment vertical="top"/>
    </xf>
    <xf numFmtId="0" fontId="45" fillId="0" borderId="71" applyProtection="0">
      <alignment vertical="top"/>
    </xf>
    <xf numFmtId="0" fontId="152" fillId="0" borderId="0"/>
  </cellStyleXfs>
  <cellXfs count="749">
    <xf numFmtId="0" fontId="0" fillId="0" borderId="0" xfId="0"/>
    <xf numFmtId="167" fontId="18" fillId="33" borderId="0" xfId="151" applyNumberFormat="1" applyFont="1" applyFill="1" applyBorder="1" applyAlignment="1" applyProtection="1">
      <alignment vertical="center"/>
    </xf>
    <xf numFmtId="168" fontId="18" fillId="33" borderId="0" xfId="154" applyNumberFormat="1" applyFont="1" applyFill="1" applyBorder="1" applyAlignment="1" applyProtection="1"/>
    <xf numFmtId="167" fontId="18" fillId="33" borderId="0" xfId="202" applyNumberFormat="1" applyFont="1" applyFill="1" applyBorder="1" applyAlignment="1" applyProtection="1">
      <alignment vertical="center"/>
    </xf>
    <xf numFmtId="168" fontId="21" fillId="33" borderId="0" xfId="154" applyNumberFormat="1" applyFont="1" applyFill="1" applyBorder="1" applyAlignment="1" applyProtection="1">
      <alignment horizontal="right"/>
    </xf>
    <xf numFmtId="168" fontId="0" fillId="0" borderId="0" xfId="0" applyNumberFormat="1"/>
    <xf numFmtId="167" fontId="18" fillId="33" borderId="0" xfId="168" applyNumberFormat="1" applyFont="1" applyFill="1" applyBorder="1" applyAlignment="1" applyProtection="1">
      <alignment vertical="center"/>
    </xf>
    <xf numFmtId="3" fontId="21" fillId="33" borderId="0" xfId="168" applyNumberFormat="1" applyFont="1" applyFill="1" applyBorder="1" applyAlignment="1" applyProtection="1">
      <alignment horizontal="right"/>
    </xf>
    <xf numFmtId="13" fontId="19" fillId="33" borderId="0" xfId="190" applyNumberFormat="1" applyFont="1" applyFill="1" applyBorder="1" applyAlignment="1" applyProtection="1">
      <alignment horizontal="right"/>
    </xf>
    <xf numFmtId="44" fontId="19" fillId="33" borderId="0" xfId="190" applyFont="1" applyFill="1" applyBorder="1" applyAlignment="1" applyProtection="1">
      <alignment horizontal="right"/>
    </xf>
    <xf numFmtId="0" fontId="94" fillId="0" borderId="0" xfId="0" applyFont="1"/>
    <xf numFmtId="0" fontId="15" fillId="0" borderId="0" xfId="0" applyFont="1"/>
    <xf numFmtId="167" fontId="18" fillId="33" borderId="0" xfId="151" applyNumberFormat="1" applyFont="1" applyFill="1" applyBorder="1" applyAlignment="1" applyProtection="1">
      <alignment vertical="center"/>
    </xf>
    <xf numFmtId="0" fontId="0" fillId="0" borderId="0" xfId="0"/>
    <xf numFmtId="167" fontId="18" fillId="33" borderId="0" xfId="151" applyNumberFormat="1" applyFont="1" applyFill="1" applyBorder="1" applyAlignment="1" applyProtection="1">
      <alignment vertical="center"/>
    </xf>
    <xf numFmtId="167" fontId="18" fillId="33" borderId="0" xfId="151" applyNumberFormat="1" applyFont="1" applyFill="1" applyBorder="1" applyAlignment="1" applyProtection="1"/>
    <xf numFmtId="168" fontId="18" fillId="33" borderId="0" xfId="350" applyNumberFormat="1" applyFont="1" applyFill="1" applyBorder="1" applyAlignment="1" applyProtection="1"/>
    <xf numFmtId="9" fontId="0" fillId="0" borderId="0" xfId="1" applyFont="1"/>
    <xf numFmtId="0" fontId="93" fillId="0" borderId="0" xfId="0" applyFont="1"/>
    <xf numFmtId="168" fontId="0" fillId="0" borderId="0" xfId="1083" applyNumberFormat="1" applyFont="1"/>
    <xf numFmtId="9" fontId="93" fillId="0" borderId="0" xfId="0" applyNumberFormat="1" applyFont="1"/>
    <xf numFmtId="0" fontId="15" fillId="0" borderId="12" xfId="0" applyFont="1" applyBorder="1"/>
    <xf numFmtId="0" fontId="0" fillId="0" borderId="13" xfId="0" applyBorder="1"/>
    <xf numFmtId="168" fontId="0" fillId="0" borderId="36" xfId="0" applyNumberFormat="1" applyBorder="1"/>
    <xf numFmtId="0" fontId="0" fillId="0" borderId="24" xfId="0" applyBorder="1"/>
    <xf numFmtId="168" fontId="0" fillId="0" borderId="37" xfId="1083" applyNumberFormat="1" applyFont="1" applyBorder="1"/>
    <xf numFmtId="3" fontId="0" fillId="0" borderId="0" xfId="0" applyNumberFormat="1"/>
    <xf numFmtId="230" fontId="0" fillId="0" borderId="0" xfId="1" applyNumberFormat="1" applyFont="1"/>
    <xf numFmtId="9" fontId="93" fillId="0" borderId="0" xfId="1" applyFont="1"/>
    <xf numFmtId="3" fontId="104" fillId="0" borderId="0" xfId="0" applyNumberFormat="1" applyFont="1" applyBorder="1" applyAlignment="1">
      <alignment horizontal="right"/>
    </xf>
    <xf numFmtId="0" fontId="0" fillId="0" borderId="0" xfId="0" applyFill="1"/>
    <xf numFmtId="0" fontId="15" fillId="71" borderId="36" xfId="0" applyFont="1" applyFill="1" applyBorder="1"/>
    <xf numFmtId="0" fontId="15" fillId="71" borderId="16" xfId="0" applyFont="1" applyFill="1" applyBorder="1"/>
    <xf numFmtId="0" fontId="0" fillId="71" borderId="24" xfId="0" applyFill="1" applyBorder="1"/>
    <xf numFmtId="0" fontId="93" fillId="0" borderId="0" xfId="0" applyFont="1" applyFill="1"/>
    <xf numFmtId="0" fontId="15" fillId="0" borderId="0" xfId="0" applyFont="1" applyFill="1"/>
    <xf numFmtId="0" fontId="0" fillId="0" borderId="13" xfId="0" applyFill="1" applyBorder="1"/>
    <xf numFmtId="168" fontId="15" fillId="0" borderId="0" xfId="0" applyNumberFormat="1" applyFont="1" applyFill="1"/>
    <xf numFmtId="0" fontId="15" fillId="0" borderId="13" xfId="0" applyFont="1" applyFill="1" applyBorder="1"/>
    <xf numFmtId="0" fontId="106" fillId="0" borderId="0" xfId="1094" applyFont="1" applyFill="1" applyBorder="1" applyAlignment="1">
      <alignment horizontal="left" indent="1"/>
    </xf>
    <xf numFmtId="0" fontId="107" fillId="0" borderId="0" xfId="1094" applyFont="1" applyFill="1" applyBorder="1" applyAlignment="1">
      <alignment horizontal="left" indent="1"/>
    </xf>
    <xf numFmtId="168" fontId="0" fillId="0" borderId="0" xfId="1083" applyNumberFormat="1" applyFont="1" applyBorder="1"/>
    <xf numFmtId="164" fontId="107" fillId="0" borderId="0" xfId="1094" applyNumberFormat="1" applyFont="1" applyFill="1" applyBorder="1"/>
    <xf numFmtId="231" fontId="107" fillId="0" borderId="0" xfId="1095" applyNumberFormat="1" applyFont="1" applyFill="1" applyBorder="1"/>
    <xf numFmtId="231" fontId="107" fillId="0" borderId="0" xfId="1095" applyNumberFormat="1" applyFont="1" applyFill="1" applyBorder="1" applyAlignment="1">
      <alignment horizontal="center" vertical="center"/>
    </xf>
    <xf numFmtId="232" fontId="0" fillId="0" borderId="0" xfId="1" applyNumberFormat="1" applyFont="1"/>
    <xf numFmtId="233" fontId="0" fillId="0" borderId="0" xfId="1" applyNumberFormat="1" applyFont="1"/>
    <xf numFmtId="197" fontId="0" fillId="0" borderId="0" xfId="0" applyNumberFormat="1"/>
    <xf numFmtId="234" fontId="0" fillId="0" borderId="0" xfId="1" applyNumberFormat="1" applyFont="1"/>
    <xf numFmtId="169" fontId="109" fillId="0" borderId="0" xfId="1" applyNumberFormat="1" applyFont="1" applyFill="1" applyBorder="1"/>
    <xf numFmtId="0" fontId="15" fillId="0" borderId="0" xfId="0" applyFont="1" applyFill="1" applyBorder="1"/>
    <xf numFmtId="0" fontId="109" fillId="0" borderId="0" xfId="0" applyFont="1" applyFill="1" applyBorder="1" applyAlignment="1">
      <alignment horizontal="center"/>
    </xf>
    <xf numFmtId="170" fontId="0" fillId="0" borderId="0" xfId="1084" applyNumberFormat="1" applyFont="1"/>
    <xf numFmtId="235" fontId="0" fillId="0" borderId="0" xfId="0" applyNumberFormat="1"/>
    <xf numFmtId="236" fontId="0" fillId="72" borderId="0" xfId="0" applyNumberFormat="1" applyFill="1"/>
    <xf numFmtId="236" fontId="15" fillId="0" borderId="0" xfId="0" applyNumberFormat="1" applyFont="1" applyFill="1" applyBorder="1"/>
    <xf numFmtId="9" fontId="109" fillId="0" borderId="0" xfId="1" applyFont="1"/>
    <xf numFmtId="0" fontId="94" fillId="0" borderId="0" xfId="0" applyFont="1"/>
    <xf numFmtId="236" fontId="15" fillId="0" borderId="0" xfId="0" applyNumberFormat="1" applyFont="1" applyFill="1" applyBorder="1" applyAlignment="1">
      <alignment horizontal="center"/>
    </xf>
    <xf numFmtId="236" fontId="15" fillId="0" borderId="18" xfId="0" applyNumberFormat="1" applyFont="1" applyFill="1" applyBorder="1" applyAlignment="1">
      <alignment horizontal="center"/>
    </xf>
    <xf numFmtId="9" fontId="15" fillId="0" borderId="18" xfId="0" applyNumberFormat="1" applyFont="1" applyBorder="1" applyAlignment="1">
      <alignment horizontal="center"/>
    </xf>
    <xf numFmtId="0" fontId="15" fillId="49" borderId="18" xfId="0" applyFont="1" applyFill="1" applyBorder="1" applyAlignment="1">
      <alignment horizontal="center"/>
    </xf>
    <xf numFmtId="0" fontId="15" fillId="70" borderId="24" xfId="0" applyFont="1" applyFill="1" applyBorder="1"/>
    <xf numFmtId="8" fontId="0" fillId="70" borderId="36" xfId="0" applyNumberFormat="1" applyFill="1" applyBorder="1"/>
    <xf numFmtId="37" fontId="0" fillId="70" borderId="43" xfId="0" applyNumberFormat="1" applyFill="1" applyBorder="1"/>
    <xf numFmtId="0" fontId="16" fillId="70" borderId="0" xfId="0" applyFont="1" applyFill="1" applyBorder="1" applyAlignment="1">
      <alignment horizontal="center"/>
    </xf>
    <xf numFmtId="0" fontId="0" fillId="70" borderId="44" xfId="0" applyFill="1" applyBorder="1"/>
    <xf numFmtId="37" fontId="0" fillId="70" borderId="44" xfId="0" applyNumberFormat="1" applyFill="1" applyBorder="1"/>
    <xf numFmtId="9" fontId="0" fillId="70" borderId="0" xfId="0" applyNumberFormat="1" applyFill="1" applyAlignment="1">
      <alignment horizontal="center"/>
    </xf>
    <xf numFmtId="169" fontId="0" fillId="70" borderId="0" xfId="1" applyNumberFormat="1" applyFont="1" applyFill="1"/>
    <xf numFmtId="169" fontId="112" fillId="0" borderId="0" xfId="1" applyNumberFormat="1" applyFont="1"/>
    <xf numFmtId="9" fontId="0" fillId="70" borderId="0" xfId="0" applyNumberFormat="1" applyFill="1"/>
    <xf numFmtId="0" fontId="111" fillId="0" borderId="0" xfId="0" applyFont="1" applyFill="1" applyBorder="1"/>
    <xf numFmtId="8" fontId="0" fillId="70" borderId="0" xfId="0" applyNumberFormat="1" applyFill="1" applyBorder="1"/>
    <xf numFmtId="0" fontId="0" fillId="0" borderId="39" xfId="0" applyBorder="1"/>
    <xf numFmtId="0" fontId="17" fillId="0" borderId="0" xfId="240"/>
    <xf numFmtId="168" fontId="0" fillId="70" borderId="53" xfId="1083" applyNumberFormat="1" applyFont="1" applyFill="1" applyBorder="1"/>
    <xf numFmtId="0" fontId="15" fillId="73" borderId="41" xfId="0" applyFont="1" applyFill="1" applyBorder="1"/>
    <xf numFmtId="168" fontId="21" fillId="0" borderId="0" xfId="154" applyNumberFormat="1" applyFont="1" applyFill="1" applyBorder="1" applyAlignment="1" applyProtection="1">
      <alignment horizontal="right"/>
    </xf>
    <xf numFmtId="0" fontId="15" fillId="0" borderId="0" xfId="0" applyFont="1"/>
    <xf numFmtId="168" fontId="0" fillId="0" borderId="0" xfId="1083" applyNumberFormat="1" applyFont="1"/>
    <xf numFmtId="0" fontId="93" fillId="0" borderId="0" xfId="0" applyFont="1"/>
    <xf numFmtId="236" fontId="0" fillId="0" borderId="0" xfId="0" applyNumberFormat="1"/>
    <xf numFmtId="237" fontId="0" fillId="0" borderId="0" xfId="0" applyNumberFormat="1"/>
    <xf numFmtId="0" fontId="0" fillId="0" borderId="0" xfId="0" applyBorder="1"/>
    <xf numFmtId="0" fontId="0" fillId="70" borderId="46" xfId="0" applyFill="1" applyBorder="1"/>
    <xf numFmtId="8" fontId="0" fillId="70" borderId="45" xfId="0" applyNumberFormat="1" applyFill="1" applyBorder="1"/>
    <xf numFmtId="6" fontId="0" fillId="70" borderId="44" xfId="0" applyNumberFormat="1" applyFill="1" applyBorder="1"/>
    <xf numFmtId="168" fontId="0" fillId="70" borderId="43" xfId="1083" applyNumberFormat="1" applyFont="1" applyFill="1" applyBorder="1"/>
    <xf numFmtId="168" fontId="0" fillId="70" borderId="43" xfId="0" applyNumberFormat="1" applyFill="1" applyBorder="1"/>
    <xf numFmtId="5" fontId="0" fillId="70" borderId="42" xfId="0" applyNumberFormat="1" applyFill="1" applyBorder="1"/>
    <xf numFmtId="7" fontId="0" fillId="70" borderId="30" xfId="0" applyNumberFormat="1" applyFill="1" applyBorder="1"/>
    <xf numFmtId="5" fontId="0" fillId="70" borderId="22" xfId="0" applyNumberFormat="1" applyFill="1" applyBorder="1"/>
    <xf numFmtId="5" fontId="0" fillId="70" borderId="13" xfId="0" applyNumberFormat="1" applyFill="1" applyBorder="1"/>
    <xf numFmtId="237" fontId="0" fillId="70" borderId="45" xfId="0" applyNumberFormat="1" applyFill="1" applyBorder="1"/>
    <xf numFmtId="0" fontId="0" fillId="70" borderId="49" xfId="0" applyFill="1" applyBorder="1"/>
    <xf numFmtId="236" fontId="0" fillId="70" borderId="44" xfId="0" applyNumberFormat="1" applyFill="1" applyBorder="1"/>
    <xf numFmtId="0" fontId="0" fillId="70" borderId="48" xfId="0" applyFill="1" applyBorder="1"/>
    <xf numFmtId="236" fontId="0" fillId="70" borderId="50" xfId="0" applyNumberFormat="1" applyFill="1" applyBorder="1"/>
    <xf numFmtId="0" fontId="0" fillId="70" borderId="47" xfId="0" applyFill="1" applyBorder="1"/>
    <xf numFmtId="236" fontId="0" fillId="70" borderId="37" xfId="0" applyNumberFormat="1" applyFill="1" applyBorder="1"/>
    <xf numFmtId="0" fontId="93" fillId="70" borderId="42" xfId="0" applyFont="1" applyFill="1" applyBorder="1"/>
    <xf numFmtId="0" fontId="0" fillId="70" borderId="30" xfId="0" applyFill="1" applyBorder="1"/>
    <xf numFmtId="0" fontId="15" fillId="70" borderId="22" xfId="0" applyFont="1" applyFill="1" applyBorder="1"/>
    <xf numFmtId="0" fontId="93" fillId="70" borderId="30" xfId="0" applyFont="1" applyFill="1" applyBorder="1"/>
    <xf numFmtId="0" fontId="93" fillId="70" borderId="22" xfId="0" applyFont="1" applyFill="1" applyBorder="1"/>
    <xf numFmtId="5" fontId="0" fillId="70" borderId="13" xfId="1083" applyNumberFormat="1" applyFont="1" applyFill="1" applyBorder="1"/>
    <xf numFmtId="0" fontId="15" fillId="70" borderId="31" xfId="0" applyFont="1" applyFill="1" applyBorder="1"/>
    <xf numFmtId="0" fontId="15" fillId="70" borderId="0" xfId="0" applyFont="1" applyFill="1"/>
    <xf numFmtId="9" fontId="0" fillId="70" borderId="0" xfId="0" applyNumberFormat="1" applyFill="1" applyBorder="1"/>
    <xf numFmtId="168" fontId="0" fillId="70" borderId="36" xfId="1083" applyNumberFormat="1" applyFont="1" applyFill="1" applyBorder="1"/>
    <xf numFmtId="0" fontId="0" fillId="0" borderId="0" xfId="0" applyFill="1" applyBorder="1"/>
    <xf numFmtId="0" fontId="15" fillId="0" borderId="31" xfId="0" applyFont="1" applyBorder="1"/>
    <xf numFmtId="0" fontId="0" fillId="72" borderId="0" xfId="0" applyFill="1"/>
    <xf numFmtId="0" fontId="0" fillId="70" borderId="0" xfId="0" applyFill="1"/>
    <xf numFmtId="0" fontId="0" fillId="70" borderId="29" xfId="0" applyFill="1" applyBorder="1"/>
    <xf numFmtId="0" fontId="0" fillId="70" borderId="0" xfId="0" applyFill="1" applyBorder="1"/>
    <xf numFmtId="237" fontId="0" fillId="70" borderId="0" xfId="0" applyNumberFormat="1" applyFill="1" applyBorder="1"/>
    <xf numFmtId="0" fontId="15" fillId="70" borderId="32" xfId="0" applyFont="1" applyFill="1" applyBorder="1"/>
    <xf numFmtId="237" fontId="0" fillId="70" borderId="55" xfId="0" applyNumberFormat="1" applyFill="1" applyBorder="1"/>
    <xf numFmtId="5" fontId="0" fillId="70" borderId="56" xfId="1083" applyNumberFormat="1" applyFont="1" applyFill="1" applyBorder="1"/>
    <xf numFmtId="5" fontId="0" fillId="70" borderId="57" xfId="1083" applyNumberFormat="1" applyFont="1" applyFill="1" applyBorder="1"/>
    <xf numFmtId="0" fontId="15" fillId="70" borderId="58" xfId="0" applyFont="1" applyFill="1" applyBorder="1"/>
    <xf numFmtId="0" fontId="93" fillId="70" borderId="59" xfId="0" applyFont="1" applyFill="1" applyBorder="1"/>
    <xf numFmtId="0" fontId="93" fillId="70" borderId="60" xfId="0" applyFont="1" applyFill="1" applyBorder="1"/>
    <xf numFmtId="5" fontId="0" fillId="70" borderId="61" xfId="1083" applyNumberFormat="1" applyFont="1" applyFill="1" applyBorder="1"/>
    <xf numFmtId="0" fontId="0" fillId="70" borderId="0" xfId="0" applyFill="1" applyAlignment="1">
      <alignment horizontal="center"/>
    </xf>
    <xf numFmtId="5" fontId="0" fillId="70" borderId="0" xfId="1083" applyNumberFormat="1" applyFont="1" applyFill="1" applyBorder="1"/>
    <xf numFmtId="0" fontId="93" fillId="70" borderId="54" xfId="0" applyFont="1" applyFill="1" applyBorder="1"/>
    <xf numFmtId="0" fontId="93" fillId="70" borderId="33" xfId="0" applyFont="1" applyFill="1" applyBorder="1"/>
    <xf numFmtId="0" fontId="15" fillId="70" borderId="31" xfId="0" applyFont="1" applyFill="1" applyBorder="1" applyAlignment="1">
      <alignment horizontal="center"/>
    </xf>
    <xf numFmtId="0" fontId="0" fillId="70" borderId="31" xfId="0" applyFill="1" applyBorder="1"/>
    <xf numFmtId="0" fontId="0" fillId="70" borderId="22" xfId="0" applyFill="1" applyBorder="1" applyAlignment="1">
      <alignment horizontal="center" vertical="center" wrapText="1"/>
    </xf>
    <xf numFmtId="0" fontId="0" fillId="70" borderId="30" xfId="0" applyFill="1" applyBorder="1" applyAlignment="1">
      <alignment horizontal="center" vertical="center" wrapText="1"/>
    </xf>
    <xf numFmtId="9" fontId="0" fillId="70" borderId="22" xfId="1" applyFont="1" applyFill="1" applyBorder="1" applyAlignment="1">
      <alignment horizontal="center" vertical="center" wrapText="1"/>
    </xf>
    <xf numFmtId="9" fontId="0" fillId="70" borderId="30" xfId="1" applyFont="1" applyFill="1" applyBorder="1" applyAlignment="1">
      <alignment horizontal="center" vertical="center" wrapText="1"/>
    </xf>
    <xf numFmtId="9" fontId="0" fillId="70" borderId="31" xfId="1" applyFont="1" applyFill="1" applyBorder="1" applyAlignment="1">
      <alignment horizontal="center" vertical="center" wrapText="1"/>
    </xf>
    <xf numFmtId="9" fontId="0" fillId="70" borderId="30" xfId="0" applyNumberFormat="1" applyFill="1" applyBorder="1" applyAlignment="1">
      <alignment horizontal="center" vertical="center" wrapText="1"/>
    </xf>
    <xf numFmtId="9" fontId="0" fillId="70" borderId="22" xfId="0" applyNumberFormat="1" applyFill="1" applyBorder="1" applyAlignment="1">
      <alignment horizontal="center" vertical="center" wrapText="1"/>
    </xf>
    <xf numFmtId="9" fontId="0" fillId="70" borderId="22" xfId="0" applyNumberFormat="1" applyFill="1" applyBorder="1" applyAlignment="1">
      <alignment horizontal="center"/>
    </xf>
    <xf numFmtId="9" fontId="0" fillId="70" borderId="30" xfId="0" applyNumberFormat="1" applyFill="1" applyBorder="1" applyAlignment="1">
      <alignment horizontal="center"/>
    </xf>
    <xf numFmtId="236" fontId="0" fillId="70" borderId="22" xfId="0" applyNumberFormat="1" applyFill="1" applyBorder="1" applyAlignment="1">
      <alignment horizontal="center"/>
    </xf>
    <xf numFmtId="236" fontId="0" fillId="70" borderId="30" xfId="0" applyNumberFormat="1" applyFill="1" applyBorder="1" applyAlignment="1">
      <alignment horizontal="center"/>
    </xf>
    <xf numFmtId="237" fontId="0" fillId="70" borderId="31" xfId="0" applyNumberFormat="1" applyFill="1" applyBorder="1" applyAlignment="1">
      <alignment horizontal="center"/>
    </xf>
    <xf numFmtId="0" fontId="0" fillId="70" borderId="31" xfId="0" applyFill="1" applyBorder="1" applyAlignment="1">
      <alignment horizontal="center"/>
    </xf>
    <xf numFmtId="236" fontId="0" fillId="70" borderId="31" xfId="0" applyNumberFormat="1" applyFill="1" applyBorder="1" applyAlignment="1">
      <alignment horizontal="center"/>
    </xf>
    <xf numFmtId="0" fontId="0" fillId="70" borderId="22" xfId="0" applyFill="1" applyBorder="1" applyAlignment="1">
      <alignment horizontal="center"/>
    </xf>
    <xf numFmtId="0" fontId="0" fillId="70" borderId="30" xfId="0" applyFill="1" applyBorder="1" applyAlignment="1">
      <alignment horizontal="center"/>
    </xf>
    <xf numFmtId="6" fontId="0" fillId="70" borderId="43" xfId="0" applyNumberFormat="1" applyFill="1" applyBorder="1"/>
    <xf numFmtId="0" fontId="15" fillId="0" borderId="0" xfId="0" applyFont="1" applyBorder="1"/>
    <xf numFmtId="5" fontId="0" fillId="70" borderId="0" xfId="0" applyNumberFormat="1" applyFill="1"/>
    <xf numFmtId="5" fontId="0" fillId="70" borderId="0" xfId="0" applyNumberFormat="1" applyFill="1" applyAlignment="1">
      <alignment horizontal="center" vertical="center" wrapText="1"/>
    </xf>
    <xf numFmtId="5" fontId="0" fillId="70" borderId="62" xfId="0" applyNumberFormat="1" applyFill="1" applyBorder="1" applyAlignment="1">
      <alignment horizontal="center" vertical="center" wrapText="1"/>
    </xf>
    <xf numFmtId="5" fontId="0" fillId="70" borderId="22" xfId="0" applyNumberFormat="1" applyFill="1" applyBorder="1" applyAlignment="1">
      <alignment horizontal="center" vertical="center" wrapText="1"/>
    </xf>
    <xf numFmtId="5" fontId="0" fillId="70" borderId="30" xfId="0" applyNumberFormat="1" applyFill="1" applyBorder="1" applyAlignment="1">
      <alignment horizontal="center" vertical="center" wrapText="1"/>
    </xf>
    <xf numFmtId="0" fontId="15" fillId="70" borderId="18" xfId="0" applyFont="1" applyFill="1" applyBorder="1" applyAlignment="1">
      <alignment horizontal="center"/>
    </xf>
    <xf numFmtId="5" fontId="0" fillId="70" borderId="30" xfId="1083" applyNumberFormat="1" applyFont="1" applyFill="1" applyBorder="1"/>
    <xf numFmtId="5" fontId="0" fillId="70" borderId="29" xfId="1083" applyNumberFormat="1" applyFont="1" applyFill="1" applyBorder="1"/>
    <xf numFmtId="5" fontId="0" fillId="70" borderId="29" xfId="0" applyNumberFormat="1" applyFill="1" applyBorder="1"/>
    <xf numFmtId="43" fontId="0" fillId="70" borderId="0" xfId="0" applyNumberFormat="1" applyFill="1"/>
    <xf numFmtId="6" fontId="0" fillId="70" borderId="0" xfId="0" applyNumberFormat="1" applyFill="1"/>
    <xf numFmtId="237" fontId="0" fillId="70" borderId="0" xfId="0" applyNumberFormat="1" applyFill="1"/>
    <xf numFmtId="0" fontId="0" fillId="49" borderId="0" xfId="0" applyFill="1"/>
    <xf numFmtId="0" fontId="0" fillId="70" borderId="0" xfId="0" applyFill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70" borderId="0" xfId="0" applyFill="1"/>
    <xf numFmtId="6" fontId="0" fillId="70" borderId="22" xfId="0" applyNumberFormat="1" applyFill="1" applyBorder="1" applyAlignment="1">
      <alignment horizontal="center" vertical="center" wrapText="1"/>
    </xf>
    <xf numFmtId="6" fontId="0" fillId="70" borderId="30" xfId="0" applyNumberFormat="1" applyFill="1" applyBorder="1" applyAlignment="1">
      <alignment horizontal="center" vertical="center" wrapText="1"/>
    </xf>
    <xf numFmtId="6" fontId="0" fillId="70" borderId="31" xfId="0" applyNumberFormat="1" applyFill="1" applyBorder="1" applyAlignment="1">
      <alignment horizontal="center"/>
    </xf>
    <xf numFmtId="6" fontId="0" fillId="70" borderId="22" xfId="0" applyNumberFormat="1" applyFill="1" applyBorder="1" applyAlignment="1">
      <alignment horizontal="center"/>
    </xf>
    <xf numFmtId="6" fontId="0" fillId="70" borderId="30" xfId="0" applyNumberFormat="1" applyFill="1" applyBorder="1" applyAlignment="1">
      <alignment horizontal="center"/>
    </xf>
    <xf numFmtId="8" fontId="0" fillId="70" borderId="0" xfId="0" applyNumberFormat="1" applyFill="1"/>
    <xf numFmtId="167" fontId="20" fillId="70" borderId="0" xfId="101" applyNumberFormat="1" applyFont="1" applyFill="1" applyBorder="1" applyAlignment="1" applyProtection="1">
      <alignment horizontal="right"/>
    </xf>
    <xf numFmtId="167" fontId="19" fillId="70" borderId="0" xfId="101" applyNumberFormat="1" applyFont="1" applyFill="1" applyBorder="1" applyAlignment="1" applyProtection="1"/>
    <xf numFmtId="168" fontId="21" fillId="70" borderId="0" xfId="154" applyNumberFormat="1" applyFont="1" applyFill="1" applyBorder="1" applyAlignment="1" applyProtection="1">
      <alignment horizontal="right"/>
    </xf>
    <xf numFmtId="0" fontId="27" fillId="70" borderId="0" xfId="202" applyFont="1" applyFill="1" applyBorder="1" applyAlignment="1"/>
    <xf numFmtId="0" fontId="17" fillId="70" borderId="0" xfId="202" applyFill="1" applyBorder="1" applyAlignment="1"/>
    <xf numFmtId="0" fontId="22" fillId="70" borderId="0" xfId="202" applyFont="1" applyFill="1" applyBorder="1" applyAlignment="1"/>
    <xf numFmtId="167" fontId="19" fillId="70" borderId="0" xfId="101" applyNumberFormat="1" applyFont="1" applyFill="1" applyBorder="1" applyAlignment="1" applyProtection="1">
      <alignment horizontal="left" indent="1"/>
    </xf>
    <xf numFmtId="168" fontId="24" fillId="70" borderId="0" xfId="154" applyNumberFormat="1" applyFont="1" applyFill="1" applyBorder="1" applyAlignment="1" applyProtection="1">
      <alignment horizontal="right"/>
    </xf>
    <xf numFmtId="167" fontId="21" fillId="70" borderId="0" xfId="101" applyNumberFormat="1" applyFont="1" applyFill="1" applyBorder="1" applyAlignment="1" applyProtection="1">
      <alignment horizontal="left" indent="1"/>
    </xf>
    <xf numFmtId="167" fontId="19" fillId="70" borderId="0" xfId="101" applyNumberFormat="1" applyFont="1" applyFill="1" applyBorder="1" applyAlignment="1" applyProtection="1">
      <alignment horizontal="left"/>
    </xf>
    <xf numFmtId="0" fontId="21" fillId="70" borderId="0" xfId="101" applyFont="1" applyFill="1" applyBorder="1" applyAlignment="1">
      <alignment horizontal="left" indent="1"/>
    </xf>
    <xf numFmtId="168" fontId="21" fillId="70" borderId="0" xfId="154" applyNumberFormat="1" applyFont="1" applyFill="1" applyBorder="1" applyAlignment="1">
      <alignment horizontal="left"/>
    </xf>
    <xf numFmtId="168" fontId="21" fillId="70" borderId="0" xfId="154" applyNumberFormat="1" applyFont="1" applyFill="1"/>
    <xf numFmtId="168" fontId="23" fillId="70" borderId="0" xfId="154" applyNumberFormat="1" applyFont="1" applyFill="1" applyBorder="1" applyAlignment="1" applyProtection="1">
      <alignment horizontal="right"/>
    </xf>
    <xf numFmtId="168" fontId="19" fillId="70" borderId="0" xfId="154" applyNumberFormat="1" applyFont="1" applyFill="1" applyBorder="1" applyAlignment="1" applyProtection="1">
      <alignment horizontal="right"/>
    </xf>
    <xf numFmtId="0" fontId="21" fillId="70" borderId="0" xfId="202" applyFont="1" applyFill="1" applyBorder="1" applyAlignment="1"/>
    <xf numFmtId="9" fontId="21" fillId="70" borderId="0" xfId="101" applyNumberFormat="1" applyFont="1" applyFill="1" applyBorder="1" applyAlignment="1" applyProtection="1">
      <alignment horizontal="left" indent="1"/>
    </xf>
    <xf numFmtId="9" fontId="21" fillId="70" borderId="0" xfId="154" applyNumberFormat="1" applyFont="1" applyFill="1" applyBorder="1" applyAlignment="1" applyProtection="1">
      <alignment horizontal="right"/>
    </xf>
    <xf numFmtId="170" fontId="20" fillId="70" borderId="0" xfId="193" applyNumberFormat="1" applyFont="1" applyFill="1" applyBorder="1" applyAlignment="1" applyProtection="1">
      <alignment horizontal="right"/>
    </xf>
    <xf numFmtId="3" fontId="21" fillId="70" borderId="0" xfId="101" applyNumberFormat="1" applyFont="1" applyFill="1" applyBorder="1" applyAlignment="1" applyProtection="1"/>
    <xf numFmtId="167" fontId="19" fillId="70" borderId="16" xfId="101" applyNumberFormat="1" applyFont="1" applyFill="1" applyBorder="1" applyAlignment="1" applyProtection="1"/>
    <xf numFmtId="44" fontId="25" fillId="70" borderId="16" xfId="101" applyNumberFormat="1" applyFont="1" applyFill="1" applyBorder="1" applyAlignment="1" applyProtection="1"/>
    <xf numFmtId="37" fontId="19" fillId="70" borderId="0" xfId="101" applyNumberFormat="1" applyFont="1" applyFill="1" applyBorder="1" applyAlignment="1" applyProtection="1"/>
    <xf numFmtId="43" fontId="19" fillId="70" borderId="0" xfId="154" applyNumberFormat="1" applyFont="1" applyFill="1" applyBorder="1" applyAlignment="1" applyProtection="1">
      <alignment horizontal="right"/>
    </xf>
    <xf numFmtId="167" fontId="18" fillId="70" borderId="0" xfId="168" applyNumberFormat="1" applyFont="1" applyFill="1" applyBorder="1" applyAlignment="1" applyProtection="1"/>
    <xf numFmtId="10" fontId="21" fillId="70" borderId="0" xfId="168" applyNumberFormat="1" applyFont="1" applyFill="1" applyBorder="1" applyAlignment="1" applyProtection="1">
      <alignment horizontal="right"/>
    </xf>
    <xf numFmtId="9" fontId="0" fillId="70" borderId="0" xfId="1" applyFont="1" applyFill="1"/>
    <xf numFmtId="37" fontId="20" fillId="70" borderId="0" xfId="101" applyNumberFormat="1" applyFont="1" applyFill="1" applyBorder="1" applyAlignment="1" applyProtection="1">
      <alignment horizontal="right"/>
    </xf>
    <xf numFmtId="37" fontId="21" fillId="70" borderId="0" xfId="350" applyNumberFormat="1" applyFont="1" applyFill="1" applyBorder="1" applyAlignment="1" applyProtection="1">
      <alignment horizontal="right"/>
    </xf>
    <xf numFmtId="168" fontId="21" fillId="70" borderId="0" xfId="350" applyNumberFormat="1" applyFont="1" applyFill="1" applyBorder="1" applyAlignment="1" applyProtection="1">
      <alignment horizontal="right"/>
    </xf>
    <xf numFmtId="37" fontId="19" fillId="70" borderId="0" xfId="350" applyNumberFormat="1" applyFont="1" applyFill="1" applyBorder="1" applyAlignment="1" applyProtection="1">
      <alignment horizontal="right"/>
    </xf>
    <xf numFmtId="168" fontId="19" fillId="70" borderId="0" xfId="350" applyNumberFormat="1" applyFont="1" applyFill="1" applyBorder="1" applyAlignment="1" applyProtection="1">
      <alignment horizontal="right"/>
    </xf>
    <xf numFmtId="37" fontId="19" fillId="70" borderId="0" xfId="154" applyNumberFormat="1" applyFont="1" applyFill="1" applyBorder="1" applyAlignment="1" applyProtection="1">
      <alignment horizontal="right"/>
    </xf>
    <xf numFmtId="0" fontId="17" fillId="70" borderId="0" xfId="251" applyFont="1" applyFill="1" applyAlignment="1"/>
    <xf numFmtId="37" fontId="0" fillId="70" borderId="0" xfId="0" applyNumberFormat="1" applyFill="1"/>
    <xf numFmtId="37" fontId="26" fillId="70" borderId="0" xfId="251" applyNumberFormat="1" applyFont="1" applyFill="1">
      <alignment vertical="center"/>
    </xf>
    <xf numFmtId="37" fontId="21" fillId="70" borderId="0" xfId="242" applyNumberFormat="1" applyFont="1" applyFill="1" applyBorder="1" applyAlignment="1" applyProtection="1">
      <alignment horizontal="right"/>
    </xf>
    <xf numFmtId="37" fontId="97" fillId="70" borderId="0" xfId="251" applyNumberFormat="1" applyFont="1" applyFill="1" applyBorder="1" applyAlignment="1"/>
    <xf numFmtId="37" fontId="21" fillId="70" borderId="0" xfId="221" applyNumberFormat="1" applyFont="1" applyFill="1" applyBorder="1" applyAlignment="1" applyProtection="1">
      <alignment horizontal="right"/>
    </xf>
    <xf numFmtId="37" fontId="19" fillId="70" borderId="0" xfId="242" applyNumberFormat="1" applyFont="1" applyFill="1" applyBorder="1" applyAlignment="1" applyProtection="1">
      <alignment horizontal="right"/>
    </xf>
    <xf numFmtId="167" fontId="85" fillId="70" borderId="0" xfId="2" applyNumberFormat="1" applyFont="1" applyFill="1" applyBorder="1" applyAlignment="1" applyProtection="1">
      <alignment horizontal="center"/>
    </xf>
    <xf numFmtId="0" fontId="86" fillId="70" borderId="0" xfId="2" applyFont="1" applyFill="1" applyAlignment="1"/>
    <xf numFmtId="167" fontId="96" fillId="70" borderId="0" xfId="2" applyNumberFormat="1" applyFont="1" applyFill="1" applyBorder="1" applyAlignment="1" applyProtection="1">
      <alignment horizontal="center"/>
    </xf>
    <xf numFmtId="0" fontId="99" fillId="70" borderId="0" xfId="2" applyFont="1" applyFill="1" applyAlignment="1"/>
    <xf numFmtId="168" fontId="21" fillId="74" borderId="54" xfId="154" applyNumberFormat="1" applyFont="1" applyFill="1" applyBorder="1" applyAlignment="1" applyProtection="1">
      <alignment horizontal="right"/>
    </xf>
    <xf numFmtId="168" fontId="21" fillId="74" borderId="0" xfId="154" applyNumberFormat="1" applyFont="1" applyFill="1" applyBorder="1" applyAlignment="1" applyProtection="1">
      <alignment horizontal="right"/>
    </xf>
    <xf numFmtId="168" fontId="21" fillId="74" borderId="13" xfId="154" applyNumberFormat="1" applyFont="1" applyFill="1" applyBorder="1" applyAlignment="1" applyProtection="1">
      <alignment horizontal="right"/>
    </xf>
    <xf numFmtId="37" fontId="21" fillId="70" borderId="17" xfId="350" applyNumberFormat="1" applyFont="1" applyFill="1" applyBorder="1" applyAlignment="1" applyProtection="1">
      <alignment horizontal="right"/>
    </xf>
    <xf numFmtId="37" fontId="19" fillId="70" borderId="17" xfId="350" applyNumberFormat="1" applyFont="1" applyFill="1" applyBorder="1" applyAlignment="1" applyProtection="1">
      <alignment horizontal="right"/>
    </xf>
    <xf numFmtId="168" fontId="19" fillId="70" borderId="17" xfId="350" applyNumberFormat="1" applyFont="1" applyFill="1" applyBorder="1" applyAlignment="1" applyProtection="1">
      <alignment horizontal="right"/>
    </xf>
    <xf numFmtId="0" fontId="0" fillId="70" borderId="17" xfId="0" applyFill="1" applyBorder="1"/>
    <xf numFmtId="167" fontId="20" fillId="70" borderId="38" xfId="101" applyNumberFormat="1" applyFont="1" applyFill="1" applyBorder="1" applyAlignment="1" applyProtection="1">
      <alignment horizontal="right"/>
    </xf>
    <xf numFmtId="167" fontId="20" fillId="70" borderId="17" xfId="101" applyNumberFormat="1" applyFont="1" applyFill="1" applyBorder="1" applyAlignment="1" applyProtection="1">
      <alignment horizontal="right"/>
    </xf>
    <xf numFmtId="167" fontId="97" fillId="70" borderId="0" xfId="101" applyNumberFormat="1" applyFont="1" applyFill="1" applyBorder="1" applyAlignment="1" applyProtection="1"/>
    <xf numFmtId="0" fontId="115" fillId="70" borderId="0" xfId="202" applyFont="1" applyFill="1" applyBorder="1" applyAlignment="1"/>
    <xf numFmtId="3" fontId="31" fillId="70" borderId="0" xfId="101" applyNumberFormat="1" applyFont="1" applyFill="1" applyBorder="1" applyAlignment="1" applyProtection="1"/>
    <xf numFmtId="0" fontId="117" fillId="70" borderId="0" xfId="0" applyFont="1" applyFill="1"/>
    <xf numFmtId="43" fontId="19" fillId="0" borderId="0" xfId="154" applyNumberFormat="1" applyFont="1" applyFill="1" applyBorder="1" applyAlignment="1" applyProtection="1">
      <alignment horizontal="right"/>
    </xf>
    <xf numFmtId="167" fontId="20" fillId="74" borderId="38" xfId="101" applyNumberFormat="1" applyFont="1" applyFill="1" applyBorder="1" applyAlignment="1" applyProtection="1">
      <alignment horizontal="right"/>
    </xf>
    <xf numFmtId="167" fontId="20" fillId="74" borderId="17" xfId="101" applyNumberFormat="1" applyFont="1" applyFill="1" applyBorder="1" applyAlignment="1" applyProtection="1">
      <alignment horizontal="right"/>
    </xf>
    <xf numFmtId="167" fontId="20" fillId="74" borderId="39" xfId="101" applyNumberFormat="1" applyFont="1" applyFill="1" applyBorder="1" applyAlignment="1" applyProtection="1">
      <alignment horizontal="right"/>
    </xf>
    <xf numFmtId="167" fontId="31" fillId="70" borderId="0" xfId="214" applyNumberFormat="1" applyFont="1" applyFill="1" applyBorder="1" applyAlignment="1" applyProtection="1"/>
    <xf numFmtId="168" fontId="19" fillId="33" borderId="0" xfId="154" applyNumberFormat="1" applyFont="1" applyFill="1" applyBorder="1" applyAlignment="1" applyProtection="1"/>
    <xf numFmtId="167" fontId="19" fillId="33" borderId="0" xfId="151" applyNumberFormat="1" applyFont="1" applyFill="1" applyBorder="1" applyAlignment="1" applyProtection="1"/>
    <xf numFmtId="0" fontId="118" fillId="70" borderId="0" xfId="0" applyFont="1" applyFill="1"/>
    <xf numFmtId="9" fontId="118" fillId="70" borderId="0" xfId="0" applyNumberFormat="1" applyFont="1" applyFill="1"/>
    <xf numFmtId="0" fontId="118" fillId="74" borderId="54" xfId="0" applyFont="1" applyFill="1" applyBorder="1"/>
    <xf numFmtId="0" fontId="118" fillId="74" borderId="0" xfId="0" applyFont="1" applyFill="1" applyBorder="1"/>
    <xf numFmtId="0" fontId="118" fillId="74" borderId="13" xfId="0" applyFont="1" applyFill="1" applyBorder="1"/>
    <xf numFmtId="0" fontId="21" fillId="70" borderId="0" xfId="168" applyFont="1" applyFill="1" applyAlignment="1"/>
    <xf numFmtId="169" fontId="118" fillId="70" borderId="0" xfId="1" applyNumberFormat="1" applyFont="1" applyFill="1"/>
    <xf numFmtId="169" fontId="118" fillId="74" borderId="54" xfId="1" applyNumberFormat="1" applyFont="1" applyFill="1" applyBorder="1"/>
    <xf numFmtId="169" fontId="118" fillId="74" borderId="0" xfId="1" applyNumberFormat="1" applyFont="1" applyFill="1" applyBorder="1"/>
    <xf numFmtId="169" fontId="118" fillId="74" borderId="13" xfId="1" applyNumberFormat="1" applyFont="1" applyFill="1" applyBorder="1"/>
    <xf numFmtId="43" fontId="118" fillId="74" borderId="54" xfId="0" applyNumberFormat="1" applyFont="1" applyFill="1" applyBorder="1"/>
    <xf numFmtId="43" fontId="118" fillId="74" borderId="0" xfId="0" applyNumberFormat="1" applyFont="1" applyFill="1" applyBorder="1"/>
    <xf numFmtId="43" fontId="118" fillId="74" borderId="13" xfId="0" applyNumberFormat="1" applyFont="1" applyFill="1" applyBorder="1"/>
    <xf numFmtId="9" fontId="118" fillId="74" borderId="54" xfId="1" applyFont="1" applyFill="1" applyBorder="1"/>
    <xf numFmtId="9" fontId="118" fillId="74" borderId="0" xfId="1" applyFont="1" applyFill="1" applyBorder="1"/>
    <xf numFmtId="9" fontId="118" fillId="74" borderId="13" xfId="1" applyFont="1" applyFill="1" applyBorder="1"/>
    <xf numFmtId="169" fontId="118" fillId="74" borderId="33" xfId="1" applyNumberFormat="1" applyFont="1" applyFill="1" applyBorder="1"/>
    <xf numFmtId="169" fontId="118" fillId="74" borderId="12" xfId="1" applyNumberFormat="1" applyFont="1" applyFill="1" applyBorder="1"/>
    <xf numFmtId="169" fontId="118" fillId="74" borderId="29" xfId="1" applyNumberFormat="1" applyFont="1" applyFill="1" applyBorder="1"/>
    <xf numFmtId="169" fontId="118" fillId="70" borderId="0" xfId="0" applyNumberFormat="1" applyFont="1" applyFill="1"/>
    <xf numFmtId="169" fontId="118" fillId="74" borderId="54" xfId="0" applyNumberFormat="1" applyFont="1" applyFill="1" applyBorder="1"/>
    <xf numFmtId="169" fontId="118" fillId="74" borderId="0" xfId="0" applyNumberFormat="1" applyFont="1" applyFill="1" applyBorder="1"/>
    <xf numFmtId="169" fontId="118" fillId="74" borderId="13" xfId="0" applyNumberFormat="1" applyFont="1" applyFill="1" applyBorder="1"/>
    <xf numFmtId="0" fontId="21" fillId="70" borderId="0" xfId="1039" applyFont="1" applyFill="1" applyBorder="1"/>
    <xf numFmtId="37" fontId="20" fillId="70" borderId="38" xfId="101" applyNumberFormat="1" applyFont="1" applyFill="1" applyBorder="1" applyAlignment="1" applyProtection="1">
      <alignment horizontal="right"/>
    </xf>
    <xf numFmtId="37" fontId="20" fillId="70" borderId="17" xfId="101" applyNumberFormat="1" applyFont="1" applyFill="1" applyBorder="1" applyAlignment="1" applyProtection="1">
      <alignment horizontal="right"/>
    </xf>
    <xf numFmtId="0" fontId="31" fillId="70" borderId="0" xfId="101" applyFont="1" applyFill="1" applyBorder="1" applyAlignment="1">
      <alignment horizontal="left"/>
    </xf>
    <xf numFmtId="167" fontId="18" fillId="0" borderId="0" xfId="151" applyNumberFormat="1" applyFont="1" applyFill="1" applyBorder="1" applyAlignment="1" applyProtection="1"/>
    <xf numFmtId="8" fontId="0" fillId="70" borderId="37" xfId="0" applyNumberFormat="1" applyFill="1" applyBorder="1"/>
    <xf numFmtId="0" fontId="15" fillId="70" borderId="18" xfId="0" applyFont="1" applyFill="1" applyBorder="1"/>
    <xf numFmtId="0" fontId="0" fillId="0" borderId="0" xfId="0" applyFill="1" applyAlignment="1">
      <alignment horizontal="center"/>
    </xf>
    <xf numFmtId="3" fontId="120" fillId="70" borderId="0" xfId="0" applyNumberFormat="1" applyFont="1" applyFill="1" applyAlignment="1">
      <alignment horizontal="center"/>
    </xf>
    <xf numFmtId="9" fontId="120" fillId="70" borderId="0" xfId="0" applyNumberFormat="1" applyFont="1" applyFill="1" applyAlignment="1">
      <alignment horizontal="center"/>
    </xf>
    <xf numFmtId="3" fontId="48" fillId="70" borderId="0" xfId="304" applyNumberFormat="1" applyFont="1" applyFill="1" applyBorder="1" applyAlignment="1" applyProtection="1">
      <alignment horizontal="center"/>
    </xf>
    <xf numFmtId="1" fontId="48" fillId="70" borderId="0" xfId="114" applyNumberFormat="1" applyFont="1" applyFill="1" applyBorder="1" applyAlignment="1" applyProtection="1">
      <alignment horizontal="center"/>
    </xf>
    <xf numFmtId="3" fontId="121" fillId="70" borderId="0" xfId="0" applyNumberFormat="1" applyFont="1" applyFill="1" applyAlignment="1">
      <alignment horizontal="center"/>
    </xf>
    <xf numFmtId="9" fontId="121" fillId="70" borderId="0" xfId="0" applyNumberFormat="1" applyFont="1" applyFill="1" applyAlignment="1">
      <alignment horizontal="center"/>
    </xf>
    <xf numFmtId="3" fontId="96" fillId="70" borderId="0" xfId="304" applyNumberFormat="1" applyFont="1" applyFill="1" applyBorder="1" applyAlignment="1" applyProtection="1">
      <alignment horizontal="center"/>
    </xf>
    <xf numFmtId="1" fontId="96" fillId="70" borderId="0" xfId="114" applyNumberFormat="1" applyFont="1" applyFill="1" applyBorder="1" applyAlignment="1" applyProtection="1">
      <alignment horizontal="center"/>
    </xf>
    <xf numFmtId="3" fontId="120" fillId="70" borderId="0" xfId="0" applyNumberFormat="1" applyFont="1" applyFill="1" applyBorder="1" applyAlignment="1">
      <alignment horizontal="center"/>
    </xf>
    <xf numFmtId="9" fontId="120" fillId="70" borderId="0" xfId="0" applyNumberFormat="1" applyFont="1" applyFill="1" applyBorder="1" applyAlignment="1">
      <alignment horizontal="center"/>
    </xf>
    <xf numFmtId="3" fontId="121" fillId="70" borderId="0" xfId="0" applyNumberFormat="1" applyFont="1" applyFill="1" applyBorder="1" applyAlignment="1">
      <alignment horizontal="center"/>
    </xf>
    <xf numFmtId="9" fontId="121" fillId="70" borderId="0" xfId="0" applyNumberFormat="1" applyFont="1" applyFill="1" applyBorder="1" applyAlignment="1">
      <alignment horizontal="center"/>
    </xf>
    <xf numFmtId="167" fontId="99" fillId="33" borderId="0" xfId="101" applyNumberFormat="1" applyFont="1" applyFill="1" applyBorder="1" applyAlignment="1" applyProtection="1">
      <alignment horizontal="left" indent="1"/>
    </xf>
    <xf numFmtId="168" fontId="99" fillId="33" borderId="0" xfId="101" applyNumberFormat="1" applyFont="1" applyFill="1" applyBorder="1" applyAlignment="1" applyProtection="1">
      <alignment horizontal="fill"/>
    </xf>
    <xf numFmtId="9" fontId="99" fillId="33" borderId="0" xfId="114" applyFont="1" applyFill="1" applyBorder="1" applyAlignment="1" applyProtection="1">
      <alignment horizontal="center"/>
    </xf>
    <xf numFmtId="168" fontId="99" fillId="33" borderId="0" xfId="304" applyNumberFormat="1" applyFont="1" applyFill="1" applyBorder="1" applyAlignment="1" applyProtection="1">
      <alignment horizontal="center"/>
    </xf>
    <xf numFmtId="17" fontId="99" fillId="33" borderId="0" xfId="304" applyNumberFormat="1" applyFont="1" applyFill="1" applyBorder="1" applyAlignment="1" applyProtection="1">
      <alignment horizontal="center"/>
    </xf>
    <xf numFmtId="0" fontId="96" fillId="70" borderId="0" xfId="0" applyFont="1" applyFill="1" applyAlignment="1"/>
    <xf numFmtId="0" fontId="99" fillId="70" borderId="0" xfId="0" applyFont="1" applyFill="1" applyAlignment="1"/>
    <xf numFmtId="37" fontId="48" fillId="70" borderId="0" xfId="0" applyNumberFormat="1" applyFont="1" applyFill="1" applyAlignment="1">
      <alignment horizontal="center"/>
    </xf>
    <xf numFmtId="0" fontId="96" fillId="33" borderId="0" xfId="0" applyFont="1" applyFill="1" applyAlignment="1"/>
    <xf numFmtId="0" fontId="99" fillId="33" borderId="0" xfId="0" applyFont="1" applyFill="1" applyAlignment="1"/>
    <xf numFmtId="0" fontId="96" fillId="70" borderId="24" xfId="0" applyFont="1" applyFill="1" applyBorder="1" applyAlignment="1"/>
    <xf numFmtId="168" fontId="96" fillId="70" borderId="36" xfId="1083" applyNumberFormat="1" applyFont="1" applyFill="1" applyBorder="1" applyAlignment="1"/>
    <xf numFmtId="168" fontId="96" fillId="70" borderId="0" xfId="1083" applyNumberFormat="1" applyFont="1" applyFill="1" applyBorder="1" applyAlignment="1"/>
    <xf numFmtId="0" fontId="99" fillId="70" borderId="16" xfId="0" applyFont="1" applyFill="1" applyBorder="1" applyAlignment="1"/>
    <xf numFmtId="237" fontId="48" fillId="70" borderId="36" xfId="33" applyNumberFormat="1" applyFont="1" applyFill="1" applyBorder="1" applyAlignment="1">
      <alignment horizontal="center"/>
    </xf>
    <xf numFmtId="0" fontId="48" fillId="33" borderId="0" xfId="0" applyFont="1" applyFill="1" applyAlignment="1">
      <alignment vertical="center"/>
    </xf>
    <xf numFmtId="0" fontId="48" fillId="33" borderId="0" xfId="0" applyFont="1" applyFill="1" applyAlignment="1">
      <alignment horizontal="center" vertical="center" wrapText="1"/>
    </xf>
    <xf numFmtId="168" fontId="15" fillId="0" borderId="0" xfId="1083" applyNumberFormat="1" applyFont="1"/>
    <xf numFmtId="0" fontId="0" fillId="0" borderId="17" xfId="0" applyBorder="1"/>
    <xf numFmtId="0" fontId="0" fillId="0" borderId="0" xfId="0" applyFont="1" applyFill="1" applyBorder="1"/>
    <xf numFmtId="168" fontId="0" fillId="0" borderId="0" xfId="0" applyNumberFormat="1" applyFont="1" applyFill="1" applyBorder="1"/>
    <xf numFmtId="0" fontId="93" fillId="0" borderId="0" xfId="0" applyFont="1" applyFill="1" applyBorder="1" applyAlignment="1">
      <alignment horizontal="center"/>
    </xf>
    <xf numFmtId="169" fontId="93" fillId="0" borderId="0" xfId="1" applyNumberFormat="1" applyFont="1" applyFill="1" applyBorder="1"/>
    <xf numFmtId="0" fontId="106" fillId="71" borderId="24" xfId="1094" applyFont="1" applyFill="1" applyBorder="1" applyAlignment="1">
      <alignment horizontal="left" indent="1"/>
    </xf>
    <xf numFmtId="169" fontId="0" fillId="0" borderId="0" xfId="1" applyNumberFormat="1" applyFont="1" applyAlignment="1">
      <alignment horizontal="center"/>
    </xf>
    <xf numFmtId="0" fontId="0" fillId="0" borderId="0" xfId="0" applyAlignment="1"/>
    <xf numFmtId="0" fontId="107" fillId="0" borderId="0" xfId="1094" applyFont="1" applyFill="1" applyBorder="1" applyAlignment="1"/>
    <xf numFmtId="0" fontId="0" fillId="0" borderId="0" xfId="0" applyBorder="1" applyAlignment="1"/>
    <xf numFmtId="0" fontId="106" fillId="0" borderId="0" xfId="1094" applyFont="1" applyFill="1" applyBorder="1" applyAlignment="1"/>
    <xf numFmtId="0" fontId="0" fillId="0" borderId="0" xfId="0" applyFill="1" applyBorder="1" applyAlignment="1"/>
    <xf numFmtId="0" fontId="0" fillId="0" borderId="0" xfId="0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Alignment="1"/>
    <xf numFmtId="0" fontId="0" fillId="0" borderId="54" xfId="0" applyBorder="1"/>
    <xf numFmtId="168" fontId="0" fillId="0" borderId="0" xfId="0" applyNumberFormat="1" applyBorder="1"/>
    <xf numFmtId="168" fontId="18" fillId="0" borderId="0" xfId="154" applyNumberFormat="1" applyFont="1" applyFill="1" applyBorder="1" applyAlignment="1" applyProtection="1"/>
    <xf numFmtId="6" fontId="0" fillId="70" borderId="13" xfId="1083" applyNumberFormat="1" applyFont="1" applyFill="1" applyBorder="1"/>
    <xf numFmtId="6" fontId="0" fillId="70" borderId="13" xfId="0" applyNumberFormat="1" applyFill="1" applyBorder="1" applyAlignment="1">
      <alignment horizontal="left"/>
    </xf>
    <xf numFmtId="6" fontId="0" fillId="70" borderId="13" xfId="0" applyNumberFormat="1" applyFill="1" applyBorder="1"/>
    <xf numFmtId="6" fontId="0" fillId="70" borderId="29" xfId="0" applyNumberFormat="1" applyFill="1" applyBorder="1"/>
    <xf numFmtId="6" fontId="0" fillId="70" borderId="42" xfId="0" applyNumberFormat="1" applyFill="1" applyBorder="1"/>
    <xf numFmtId="0" fontId="106" fillId="71" borderId="24" xfId="1094" applyFont="1" applyFill="1" applyBorder="1" applyAlignment="1"/>
    <xf numFmtId="0" fontId="119" fillId="0" borderId="0" xfId="0" applyFont="1"/>
    <xf numFmtId="0" fontId="15" fillId="71" borderId="24" xfId="0" applyFont="1" applyFill="1" applyBorder="1"/>
    <xf numFmtId="0" fontId="15" fillId="71" borderId="41" xfId="0" applyFont="1" applyFill="1" applyBorder="1"/>
    <xf numFmtId="0" fontId="94" fillId="0" borderId="22" xfId="0" applyFont="1" applyBorder="1"/>
    <xf numFmtId="0" fontId="15" fillId="0" borderId="22" xfId="0" applyFont="1" applyBorder="1"/>
    <xf numFmtId="0" fontId="0" fillId="0" borderId="22" xfId="0" applyBorder="1"/>
    <xf numFmtId="0" fontId="15" fillId="0" borderId="30" xfId="0" applyFont="1" applyBorder="1"/>
    <xf numFmtId="0" fontId="94" fillId="71" borderId="13" xfId="0" applyFont="1" applyFill="1" applyBorder="1"/>
    <xf numFmtId="0" fontId="110" fillId="71" borderId="24" xfId="0" applyFont="1" applyFill="1" applyBorder="1" applyAlignment="1">
      <alignment horizontal="center"/>
    </xf>
    <xf numFmtId="0" fontId="15" fillId="71" borderId="16" xfId="0" applyFont="1" applyFill="1" applyBorder="1" applyAlignment="1"/>
    <xf numFmtId="0" fontId="15" fillId="71" borderId="36" xfId="0" applyFont="1" applyFill="1" applyBorder="1" applyAlignment="1"/>
    <xf numFmtId="0" fontId="0" fillId="74" borderId="38" xfId="0" applyFill="1" applyBorder="1"/>
    <xf numFmtId="236" fontId="0" fillId="74" borderId="17" xfId="0" applyNumberFormat="1" applyFill="1" applyBorder="1"/>
    <xf numFmtId="236" fontId="0" fillId="74" borderId="39" xfId="0" applyNumberFormat="1" applyFill="1" applyBorder="1"/>
    <xf numFmtId="168" fontId="0" fillId="70" borderId="0" xfId="1083" applyNumberFormat="1" applyFont="1" applyFill="1" applyBorder="1"/>
    <xf numFmtId="168" fontId="0" fillId="70" borderId="0" xfId="0" applyNumberFormat="1" applyFill="1" applyBorder="1"/>
    <xf numFmtId="8" fontId="0" fillId="70" borderId="0" xfId="1083" applyNumberFormat="1" applyFont="1" applyFill="1" applyBorder="1"/>
    <xf numFmtId="0" fontId="15" fillId="74" borderId="24" xfId="0" applyFont="1" applyFill="1" applyBorder="1"/>
    <xf numFmtId="168" fontId="15" fillId="74" borderId="16" xfId="1083" applyNumberFormat="1" applyFont="1" applyFill="1" applyBorder="1"/>
    <xf numFmtId="168" fontId="15" fillId="74" borderId="16" xfId="0" applyNumberFormat="1" applyFont="1" applyFill="1" applyBorder="1"/>
    <xf numFmtId="168" fontId="15" fillId="74" borderId="36" xfId="0" applyNumberFormat="1" applyFont="1" applyFill="1" applyBorder="1"/>
    <xf numFmtId="168" fontId="15" fillId="74" borderId="24" xfId="1083" applyNumberFormat="1" applyFont="1" applyFill="1" applyBorder="1" applyAlignment="1">
      <alignment horizontal="left"/>
    </xf>
    <xf numFmtId="0" fontId="94" fillId="74" borderId="18" xfId="0" applyFont="1" applyFill="1" applyBorder="1"/>
    <xf numFmtId="0" fontId="93" fillId="74" borderId="28" xfId="0" applyFont="1" applyFill="1" applyBorder="1"/>
    <xf numFmtId="168" fontId="93" fillId="74" borderId="28" xfId="0" applyNumberFormat="1" applyFont="1" applyFill="1" applyBorder="1"/>
    <xf numFmtId="168" fontId="93" fillId="74" borderId="28" xfId="1083" applyNumberFormat="1" applyFont="1" applyFill="1" applyBorder="1"/>
    <xf numFmtId="0" fontId="94" fillId="74" borderId="24" xfId="0" applyFont="1" applyFill="1" applyBorder="1"/>
    <xf numFmtId="168" fontId="94" fillId="74" borderId="16" xfId="0" applyNumberFormat="1" applyFont="1" applyFill="1" applyBorder="1"/>
    <xf numFmtId="168" fontId="94" fillId="74" borderId="36" xfId="0" applyNumberFormat="1" applyFont="1" applyFill="1" applyBorder="1"/>
    <xf numFmtId="0" fontId="94" fillId="74" borderId="37" xfId="0" applyFont="1" applyFill="1" applyBorder="1"/>
    <xf numFmtId="0" fontId="94" fillId="74" borderId="16" xfId="0" applyFont="1" applyFill="1" applyBorder="1"/>
    <xf numFmtId="0" fontId="124" fillId="0" borderId="0" xfId="0" applyFont="1"/>
    <xf numFmtId="5" fontId="15" fillId="74" borderId="18" xfId="1083" applyNumberFormat="1" applyFont="1" applyFill="1" applyBorder="1"/>
    <xf numFmtId="0" fontId="15" fillId="0" borderId="38" xfId="0" applyFont="1" applyFill="1" applyBorder="1"/>
    <xf numFmtId="236" fontId="15" fillId="0" borderId="17" xfId="0" applyNumberFormat="1" applyFont="1" applyFill="1" applyBorder="1" applyAlignment="1">
      <alignment horizontal="center"/>
    </xf>
    <xf numFmtId="236" fontId="15" fillId="0" borderId="39" xfId="0" applyNumberFormat="1" applyFont="1" applyFill="1" applyBorder="1" applyAlignment="1">
      <alignment horizontal="center"/>
    </xf>
    <xf numFmtId="0" fontId="15" fillId="0" borderId="54" xfId="0" applyFont="1" applyFill="1" applyBorder="1"/>
    <xf numFmtId="236" fontId="0" fillId="0" borderId="0" xfId="0" applyNumberFormat="1" applyBorder="1"/>
    <xf numFmtId="236" fontId="0" fillId="0" borderId="13" xfId="0" applyNumberFormat="1" applyBorder="1"/>
    <xf numFmtId="0" fontId="15" fillId="0" borderId="33" xfId="0" applyFont="1" applyFill="1" applyBorder="1"/>
    <xf numFmtId="236" fontId="0" fillId="0" borderId="12" xfId="0" applyNumberFormat="1" applyBorder="1"/>
    <xf numFmtId="236" fontId="0" fillId="0" borderId="29" xfId="0" applyNumberFormat="1" applyBorder="1"/>
    <xf numFmtId="236" fontId="15" fillId="0" borderId="17" xfId="0" applyNumberFormat="1" applyFont="1" applyBorder="1"/>
    <xf numFmtId="236" fontId="15" fillId="0" borderId="39" xfId="0" applyNumberFormat="1" applyFont="1" applyBorder="1"/>
    <xf numFmtId="0" fontId="0" fillId="0" borderId="54" xfId="0" quotePrefix="1" applyBorder="1" applyAlignment="1">
      <alignment horizontal="left"/>
    </xf>
    <xf numFmtId="168" fontId="21" fillId="0" borderId="12" xfId="154" applyNumberFormat="1" applyFont="1" applyFill="1" applyBorder="1" applyAlignment="1" applyProtection="1">
      <alignment horizontal="right"/>
    </xf>
    <xf numFmtId="236" fontId="15" fillId="0" borderId="12" xfId="0" applyNumberFormat="1" applyFont="1" applyBorder="1"/>
    <xf numFmtId="236" fontId="15" fillId="0" borderId="29" xfId="0" applyNumberFormat="1" applyFont="1" applyBorder="1"/>
    <xf numFmtId="0" fontId="125" fillId="0" borderId="0" xfId="0" applyFont="1"/>
    <xf numFmtId="168" fontId="0" fillId="70" borderId="36" xfId="0" applyNumberFormat="1" applyFill="1" applyBorder="1"/>
    <xf numFmtId="0" fontId="86" fillId="70" borderId="0" xfId="2" applyFont="1" applyFill="1" applyAlignment="1"/>
    <xf numFmtId="0" fontId="84" fillId="70" borderId="0" xfId="2" applyFont="1" applyFill="1" applyAlignment="1"/>
    <xf numFmtId="167" fontId="85" fillId="70" borderId="0" xfId="2" applyNumberFormat="1" applyFont="1" applyFill="1" applyBorder="1" applyAlignment="1" applyProtection="1"/>
    <xf numFmtId="167" fontId="83" fillId="70" borderId="0" xfId="2" applyNumberFormat="1" applyFont="1" applyFill="1" applyBorder="1" applyAlignment="1" applyProtection="1"/>
    <xf numFmtId="167" fontId="18" fillId="0" borderId="0" xfId="611" applyNumberFormat="1" applyFont="1" applyFill="1" applyBorder="1" applyAlignment="1" applyProtection="1">
      <alignment vertical="center"/>
    </xf>
    <xf numFmtId="37" fontId="18" fillId="0" borderId="0" xfId="251" applyNumberFormat="1" applyFont="1" applyFill="1" applyBorder="1" applyAlignment="1" applyProtection="1"/>
    <xf numFmtId="37" fontId="31" fillId="70" borderId="0" xfId="251" applyNumberFormat="1" applyFont="1" applyFill="1" applyBorder="1" applyAlignment="1">
      <alignment horizontal="left" indent="1"/>
    </xf>
    <xf numFmtId="168" fontId="169" fillId="0" borderId="0" xfId="0" applyNumberFormat="1" applyFont="1"/>
    <xf numFmtId="9" fontId="170" fillId="0" borderId="0" xfId="681" applyNumberFormat="1" applyFont="1" applyFill="1" applyBorder="1" applyAlignment="1">
      <alignment horizontal="right"/>
    </xf>
    <xf numFmtId="9" fontId="171" fillId="0" borderId="0" xfId="681" applyNumberFormat="1" applyFont="1" applyFill="1" applyBorder="1" applyAlignment="1">
      <alignment horizontal="right"/>
    </xf>
    <xf numFmtId="167" fontId="96" fillId="70" borderId="0" xfId="2" applyNumberFormat="1" applyFont="1" applyFill="1" applyBorder="1" applyAlignment="1" applyProtection="1"/>
    <xf numFmtId="0" fontId="172" fillId="78" borderId="66" xfId="0" applyFont="1" applyFill="1" applyBorder="1" applyAlignment="1">
      <alignment horizontal="center"/>
    </xf>
    <xf numFmtId="0" fontId="12" fillId="78" borderId="52" xfId="0" applyFont="1" applyFill="1" applyBorder="1"/>
    <xf numFmtId="0" fontId="12" fillId="78" borderId="43" xfId="0" applyFont="1" applyFill="1" applyBorder="1"/>
    <xf numFmtId="0" fontId="0" fillId="70" borderId="22" xfId="0" applyFill="1" applyBorder="1"/>
    <xf numFmtId="0" fontId="15" fillId="73" borderId="31" xfId="0" applyFont="1" applyFill="1" applyBorder="1"/>
    <xf numFmtId="9" fontId="0" fillId="70" borderId="31" xfId="0" applyNumberFormat="1" applyFill="1" applyBorder="1"/>
    <xf numFmtId="9" fontId="0" fillId="70" borderId="22" xfId="0" applyNumberFormat="1" applyFill="1" applyBorder="1"/>
    <xf numFmtId="8" fontId="0" fillId="70" borderId="30" xfId="0" applyNumberFormat="1" applyFill="1" applyBorder="1"/>
    <xf numFmtId="9" fontId="0" fillId="70" borderId="30" xfId="0" applyNumberFormat="1" applyFill="1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70" fontId="169" fillId="0" borderId="0" xfId="1084" applyNumberFormat="1" applyFont="1"/>
    <xf numFmtId="9" fontId="173" fillId="0" borderId="0" xfId="1" applyFont="1"/>
    <xf numFmtId="0" fontId="15" fillId="0" borderId="0" xfId="0" applyFont="1" applyFill="1" applyBorder="1" applyAlignment="1">
      <alignment horizontal="left" indent="1"/>
    </xf>
    <xf numFmtId="0" fontId="15" fillId="0" borderId="17" xfId="0" applyFont="1" applyFill="1" applyBorder="1"/>
    <xf numFmtId="236" fontId="15" fillId="0" borderId="17" xfId="0" applyNumberFormat="1" applyFont="1" applyFill="1" applyBorder="1"/>
    <xf numFmtId="0" fontId="0" fillId="0" borderId="0" xfId="0" applyFont="1"/>
    <xf numFmtId="168" fontId="169" fillId="0" borderId="0" xfId="1083" applyNumberFormat="1" applyFont="1"/>
    <xf numFmtId="169" fontId="173" fillId="0" borderId="0" xfId="0" applyNumberFormat="1" applyFont="1"/>
    <xf numFmtId="169" fontId="109" fillId="0" borderId="0" xfId="0" applyNumberFormat="1" applyFont="1"/>
    <xf numFmtId="169" fontId="173" fillId="0" borderId="0" xfId="1" applyNumberFormat="1" applyFont="1"/>
    <xf numFmtId="169" fontId="109" fillId="0" borderId="0" xfId="1" applyNumberFormat="1" applyFont="1"/>
    <xf numFmtId="169" fontId="48" fillId="70" borderId="36" xfId="33" applyNumberFormat="1" applyFont="1" applyFill="1" applyBorder="1" applyAlignment="1">
      <alignment horizontal="center"/>
    </xf>
    <xf numFmtId="9" fontId="176" fillId="0" borderId="0" xfId="0" applyNumberFormat="1" applyFont="1"/>
    <xf numFmtId="236" fontId="48" fillId="70" borderId="0" xfId="33" applyNumberFormat="1" applyFont="1" applyFill="1" applyAlignment="1">
      <alignment horizontal="center"/>
    </xf>
    <xf numFmtId="236" fontId="96" fillId="70" borderId="0" xfId="33" applyNumberFormat="1" applyFont="1" applyFill="1" applyAlignment="1">
      <alignment horizontal="center"/>
    </xf>
    <xf numFmtId="236" fontId="48" fillId="70" borderId="0" xfId="0" applyNumberFormat="1" applyFont="1" applyFill="1" applyAlignment="1">
      <alignment horizontal="center"/>
    </xf>
    <xf numFmtId="236" fontId="96" fillId="70" borderId="0" xfId="0" applyNumberFormat="1" applyFont="1" applyFill="1" applyAlignment="1">
      <alignment horizontal="center"/>
    </xf>
    <xf numFmtId="236" fontId="48" fillId="33" borderId="0" xfId="304" applyNumberFormat="1" applyFont="1" applyFill="1" applyAlignment="1">
      <alignment horizontal="center"/>
    </xf>
    <xf numFmtId="236" fontId="48" fillId="70" borderId="0" xfId="33" applyNumberFormat="1" applyFont="1" applyFill="1" applyBorder="1" applyAlignment="1">
      <alignment horizontal="center"/>
    </xf>
    <xf numFmtId="236" fontId="108" fillId="33" borderId="0" xfId="0" applyNumberFormat="1" applyFont="1" applyFill="1" applyAlignment="1">
      <alignment horizontal="center"/>
    </xf>
    <xf numFmtId="236" fontId="108" fillId="70" borderId="0" xfId="0" applyNumberFormat="1" applyFont="1" applyFill="1" applyAlignment="1">
      <alignment horizontal="center"/>
    </xf>
    <xf numFmtId="236" fontId="48" fillId="70" borderId="36" xfId="33" applyNumberFormat="1" applyFont="1" applyFill="1" applyBorder="1" applyAlignment="1">
      <alignment horizontal="center"/>
    </xf>
    <xf numFmtId="0" fontId="0" fillId="79" borderId="0" xfId="0" applyFill="1"/>
    <xf numFmtId="167" fontId="96" fillId="0" borderId="0" xfId="2" applyNumberFormat="1" applyFont="1" applyFill="1" applyBorder="1" applyAlignment="1" applyProtection="1">
      <alignment horizontal="center"/>
    </xf>
    <xf numFmtId="167" fontId="20" fillId="0" borderId="0" xfId="101" applyNumberFormat="1" applyFont="1" applyFill="1" applyBorder="1" applyAlignment="1" applyProtection="1">
      <alignment horizontal="right"/>
    </xf>
    <xf numFmtId="37" fontId="19" fillId="0" borderId="0" xfId="154" applyNumberFormat="1" applyFont="1" applyFill="1" applyBorder="1" applyAlignment="1" applyProtection="1">
      <alignment horizontal="right"/>
    </xf>
    <xf numFmtId="169" fontId="118" fillId="70" borderId="0" xfId="1" applyNumberFormat="1" applyFont="1" applyFill="1" applyBorder="1"/>
    <xf numFmtId="10" fontId="118" fillId="70" borderId="0" xfId="1" applyNumberFormat="1" applyFont="1" applyFill="1"/>
    <xf numFmtId="49" fontId="0" fillId="0" borderId="0" xfId="0" applyNumberFormat="1"/>
    <xf numFmtId="0" fontId="0" fillId="70" borderId="0" xfId="0" applyFill="1" applyBorder="1" applyAlignment="1">
      <alignment horizontal="center"/>
    </xf>
    <xf numFmtId="0" fontId="125" fillId="70" borderId="0" xfId="0" applyFont="1" applyFill="1"/>
    <xf numFmtId="167" fontId="85" fillId="70" borderId="0" xfId="2" applyNumberFormat="1" applyFont="1" applyFill="1" applyBorder="1" applyAlignment="1" applyProtection="1">
      <alignment horizontal="center"/>
    </xf>
    <xf numFmtId="167" fontId="96" fillId="70" borderId="0" xfId="2" applyNumberFormat="1" applyFont="1" applyFill="1" applyBorder="1" applyAlignment="1" applyProtection="1">
      <alignment horizontal="center"/>
    </xf>
    <xf numFmtId="169" fontId="177" fillId="74" borderId="13" xfId="1" applyNumberFormat="1" applyFont="1" applyFill="1" applyBorder="1"/>
    <xf numFmtId="169" fontId="177" fillId="74" borderId="29" xfId="1" applyNumberFormat="1" applyFont="1" applyFill="1" applyBorder="1"/>
    <xf numFmtId="169" fontId="177" fillId="70" borderId="0" xfId="0" applyNumberFormat="1" applyFont="1" applyFill="1"/>
    <xf numFmtId="9" fontId="177" fillId="70" borderId="0" xfId="0" applyNumberFormat="1" applyFont="1" applyFill="1"/>
    <xf numFmtId="37" fontId="178" fillId="70" borderId="0" xfId="251" applyNumberFormat="1" applyFont="1" applyFill="1" applyBorder="1" applyAlignment="1"/>
    <xf numFmtId="37" fontId="21" fillId="70" borderId="0" xfId="221" applyNumberFormat="1" applyFont="1" applyFill="1" applyBorder="1" applyAlignment="1" applyProtection="1">
      <alignment horizontal="center"/>
    </xf>
    <xf numFmtId="0" fontId="15" fillId="70" borderId="0" xfId="0" applyFont="1" applyFill="1" applyBorder="1"/>
    <xf numFmtId="168" fontId="0" fillId="70" borderId="0" xfId="0" applyNumberFormat="1" applyFill="1"/>
    <xf numFmtId="0" fontId="0" fillId="70" borderId="54" xfId="0" applyFill="1" applyBorder="1"/>
    <xf numFmtId="0" fontId="0" fillId="70" borderId="73" xfId="0" applyFill="1" applyBorder="1"/>
    <xf numFmtId="37" fontId="26" fillId="70" borderId="0" xfId="251" applyNumberFormat="1" applyFont="1" applyFill="1" applyBorder="1" applyAlignment="1"/>
    <xf numFmtId="39" fontId="0" fillId="70" borderId="0" xfId="1083" applyNumberFormat="1" applyFont="1" applyFill="1"/>
    <xf numFmtId="7" fontId="114" fillId="70" borderId="0" xfId="101" applyNumberFormat="1" applyFont="1" applyFill="1" applyBorder="1" applyAlignment="1" applyProtection="1"/>
    <xf numFmtId="0" fontId="15" fillId="74" borderId="37" xfId="0" applyFont="1" applyFill="1" applyBorder="1"/>
    <xf numFmtId="37" fontId="97" fillId="70" borderId="71" xfId="251" applyNumberFormat="1" applyFont="1" applyFill="1" applyBorder="1" applyAlignment="1"/>
    <xf numFmtId="37" fontId="21" fillId="70" borderId="71" xfId="221" applyNumberFormat="1" applyFont="1" applyFill="1" applyBorder="1" applyAlignment="1" applyProtection="1">
      <alignment horizontal="right"/>
    </xf>
    <xf numFmtId="0" fontId="0" fillId="70" borderId="71" xfId="0" applyFill="1" applyBorder="1"/>
    <xf numFmtId="0" fontId="0" fillId="70" borderId="34" xfId="0" applyFill="1" applyBorder="1"/>
    <xf numFmtId="172" fontId="17" fillId="0" borderId="54" xfId="681" applyNumberFormat="1" applyFont="1" applyFill="1" applyBorder="1"/>
    <xf numFmtId="0" fontId="0" fillId="70" borderId="13" xfId="0" applyFill="1" applyBorder="1"/>
    <xf numFmtId="168" fontId="0" fillId="70" borderId="13" xfId="0" applyNumberFormat="1" applyFill="1" applyBorder="1"/>
    <xf numFmtId="172" fontId="26" fillId="0" borderId="73" xfId="681" applyNumberFormat="1" applyFont="1" applyFill="1" applyBorder="1"/>
    <xf numFmtId="37" fontId="97" fillId="70" borderId="12" xfId="251" applyNumberFormat="1" applyFont="1" applyFill="1" applyBorder="1" applyAlignment="1"/>
    <xf numFmtId="37" fontId="21" fillId="70" borderId="12" xfId="221" applyNumberFormat="1" applyFont="1" applyFill="1" applyBorder="1" applyAlignment="1" applyProtection="1">
      <alignment horizontal="right"/>
    </xf>
    <xf numFmtId="37" fontId="21" fillId="70" borderId="72" xfId="221" applyNumberFormat="1" applyFont="1" applyFill="1" applyBorder="1" applyAlignment="1" applyProtection="1">
      <alignment horizontal="right"/>
    </xf>
    <xf numFmtId="172" fontId="17" fillId="0" borderId="32" xfId="681" applyNumberFormat="1" applyFont="1" applyFill="1" applyBorder="1"/>
    <xf numFmtId="37" fontId="31" fillId="70" borderId="32" xfId="251" applyNumberFormat="1" applyFont="1" applyFill="1" applyBorder="1" applyAlignment="1">
      <alignment horizontal="left" indent="2"/>
    </xf>
    <xf numFmtId="168" fontId="0" fillId="70" borderId="71" xfId="0" applyNumberFormat="1" applyFill="1" applyBorder="1"/>
    <xf numFmtId="168" fontId="0" fillId="70" borderId="34" xfId="0" applyNumberFormat="1" applyFill="1" applyBorder="1"/>
    <xf numFmtId="37" fontId="31" fillId="70" borderId="54" xfId="251" applyNumberFormat="1" applyFont="1" applyFill="1" applyBorder="1" applyAlignment="1">
      <alignment horizontal="left" indent="2"/>
    </xf>
    <xf numFmtId="168" fontId="0" fillId="70" borderId="13" xfId="1083" applyNumberFormat="1" applyFont="1" applyFill="1" applyBorder="1"/>
    <xf numFmtId="37" fontId="31" fillId="70" borderId="54" xfId="251" applyNumberFormat="1" applyFont="1" applyFill="1" applyBorder="1" applyAlignment="1">
      <alignment horizontal="left" indent="3"/>
    </xf>
    <xf numFmtId="9" fontId="0" fillId="70" borderId="0" xfId="1" applyFont="1" applyFill="1" applyBorder="1"/>
    <xf numFmtId="9" fontId="0" fillId="70" borderId="13" xfId="1" applyFont="1" applyFill="1" applyBorder="1"/>
    <xf numFmtId="37" fontId="31" fillId="70" borderId="73" xfId="251" applyNumberFormat="1" applyFont="1" applyFill="1" applyBorder="1" applyAlignment="1">
      <alignment horizontal="left" indent="1"/>
    </xf>
    <xf numFmtId="168" fontId="0" fillId="70" borderId="12" xfId="1083" applyNumberFormat="1" applyFont="1" applyFill="1" applyBorder="1"/>
    <xf numFmtId="168" fontId="0" fillId="70" borderId="72" xfId="1083" applyNumberFormat="1" applyFont="1" applyFill="1" applyBorder="1"/>
    <xf numFmtId="37" fontId="31" fillId="70" borderId="32" xfId="251" applyNumberFormat="1" applyFont="1" applyFill="1" applyBorder="1" applyAlignment="1"/>
    <xf numFmtId="168" fontId="0" fillId="70" borderId="71" xfId="1083" applyNumberFormat="1" applyFont="1" applyFill="1" applyBorder="1"/>
    <xf numFmtId="168" fontId="0" fillId="70" borderId="34" xfId="1083" applyNumberFormat="1" applyFont="1" applyFill="1" applyBorder="1"/>
    <xf numFmtId="37" fontId="31" fillId="70" borderId="54" xfId="251" applyNumberFormat="1" applyFont="1" applyFill="1" applyBorder="1" applyAlignment="1"/>
    <xf numFmtId="37" fontId="97" fillId="70" borderId="54" xfId="251" applyNumberFormat="1" applyFont="1" applyFill="1" applyBorder="1" applyAlignment="1"/>
    <xf numFmtId="37" fontId="116" fillId="70" borderId="54" xfId="251" applyNumberFormat="1" applyFont="1" applyFill="1" applyBorder="1" applyAlignment="1">
      <alignment horizontal="left" indent="1"/>
    </xf>
    <xf numFmtId="169" fontId="0" fillId="70" borderId="0" xfId="1" applyNumberFormat="1" applyFont="1" applyFill="1" applyBorder="1"/>
    <xf numFmtId="169" fontId="179" fillId="70" borderId="0" xfId="1" applyNumberFormat="1" applyFont="1" applyFill="1" applyBorder="1"/>
    <xf numFmtId="169" fontId="179" fillId="70" borderId="13" xfId="1" applyNumberFormat="1" applyFont="1" applyFill="1" applyBorder="1"/>
    <xf numFmtId="168" fontId="179" fillId="70" borderId="0" xfId="1083" applyNumberFormat="1" applyFont="1" applyFill="1" applyBorder="1"/>
    <xf numFmtId="9" fontId="179" fillId="70" borderId="0" xfId="0" applyNumberFormat="1" applyFont="1" applyFill="1" applyBorder="1"/>
    <xf numFmtId="9" fontId="179" fillId="70" borderId="13" xfId="0" applyNumberFormat="1" applyFont="1" applyFill="1" applyBorder="1"/>
    <xf numFmtId="37" fontId="116" fillId="70" borderId="73" xfId="251" applyNumberFormat="1" applyFont="1" applyFill="1" applyBorder="1" applyAlignment="1">
      <alignment horizontal="left" indent="1"/>
    </xf>
    <xf numFmtId="169" fontId="0" fillId="70" borderId="12" xfId="1" applyNumberFormat="1" applyFont="1" applyFill="1" applyBorder="1"/>
    <xf numFmtId="169" fontId="179" fillId="70" borderId="12" xfId="1" applyNumberFormat="1" applyFont="1" applyFill="1" applyBorder="1"/>
    <xf numFmtId="169" fontId="179" fillId="70" borderId="72" xfId="1" applyNumberFormat="1" applyFont="1" applyFill="1" applyBorder="1"/>
    <xf numFmtId="37" fontId="17" fillId="70" borderId="32" xfId="251" applyNumberFormat="1" applyFont="1" applyFill="1" applyBorder="1" applyAlignment="1"/>
    <xf numFmtId="167" fontId="18" fillId="0" borderId="71" xfId="611" applyNumberFormat="1" applyFont="1" applyFill="1" applyBorder="1" applyAlignment="1" applyProtection="1">
      <alignment vertical="center"/>
    </xf>
    <xf numFmtId="37" fontId="18" fillId="0" borderId="71" xfId="251" applyNumberFormat="1" applyFont="1" applyFill="1" applyBorder="1" applyAlignment="1" applyProtection="1"/>
    <xf numFmtId="7" fontId="0" fillId="70" borderId="71" xfId="1083" applyNumberFormat="1" applyFont="1" applyFill="1" applyBorder="1"/>
    <xf numFmtId="7" fontId="0" fillId="70" borderId="34" xfId="1083" applyNumberFormat="1" applyFont="1" applyFill="1" applyBorder="1"/>
    <xf numFmtId="37" fontId="17" fillId="70" borderId="54" xfId="251" applyNumberFormat="1" applyFont="1" applyFill="1" applyBorder="1" applyAlignment="1"/>
    <xf numFmtId="39" fontId="0" fillId="70" borderId="0" xfId="1083" applyNumberFormat="1" applyFont="1" applyFill="1" applyBorder="1"/>
    <xf numFmtId="37" fontId="0" fillId="70" borderId="0" xfId="1083" applyNumberFormat="1" applyFont="1" applyFill="1" applyBorder="1"/>
    <xf numFmtId="37" fontId="0" fillId="70" borderId="13" xfId="1083" applyNumberFormat="1" applyFont="1" applyFill="1" applyBorder="1"/>
    <xf numFmtId="37" fontId="97" fillId="70" borderId="54" xfId="251" applyNumberFormat="1" applyFont="1" applyFill="1" applyBorder="1" applyAlignment="1">
      <alignment horizontal="left" indent="1"/>
    </xf>
    <xf numFmtId="9" fontId="179" fillId="70" borderId="0" xfId="1" applyFont="1" applyFill="1" applyBorder="1"/>
    <xf numFmtId="9" fontId="179" fillId="70" borderId="13" xfId="1" applyFont="1" applyFill="1" applyBorder="1"/>
    <xf numFmtId="7" fontId="0" fillId="70" borderId="0" xfId="1083" applyNumberFormat="1" applyFont="1" applyFill="1" applyBorder="1"/>
    <xf numFmtId="7" fontId="0" fillId="70" borderId="13" xfId="1083" applyNumberFormat="1" applyFont="1" applyFill="1" applyBorder="1"/>
    <xf numFmtId="39" fontId="0" fillId="70" borderId="13" xfId="1083" applyNumberFormat="1" applyFont="1" applyFill="1" applyBorder="1"/>
    <xf numFmtId="9" fontId="179" fillId="70" borderId="0" xfId="1083" applyNumberFormat="1" applyFont="1" applyFill="1" applyBorder="1"/>
    <xf numFmtId="9" fontId="179" fillId="70" borderId="13" xfId="1083" applyNumberFormat="1" applyFont="1" applyFill="1" applyBorder="1"/>
    <xf numFmtId="0" fontId="125" fillId="0" borderId="54" xfId="0" applyFont="1" applyBorder="1"/>
    <xf numFmtId="0" fontId="118" fillId="70" borderId="0" xfId="0" applyFont="1" applyFill="1" applyBorder="1"/>
    <xf numFmtId="9" fontId="0" fillId="70" borderId="0" xfId="1" applyNumberFormat="1" applyFont="1" applyFill="1" applyBorder="1"/>
    <xf numFmtId="0" fontId="17" fillId="0" borderId="54" xfId="0" applyFont="1" applyBorder="1"/>
    <xf numFmtId="37" fontId="26" fillId="70" borderId="54" xfId="251" applyNumberFormat="1" applyFont="1" applyFill="1" applyBorder="1" applyAlignment="1"/>
    <xf numFmtId="0" fontId="125" fillId="0" borderId="73" xfId="0" applyFont="1" applyBorder="1"/>
    <xf numFmtId="0" fontId="118" fillId="70" borderId="12" xfId="0" applyFont="1" applyFill="1" applyBorder="1"/>
    <xf numFmtId="39" fontId="0" fillId="70" borderId="12" xfId="1083" applyNumberFormat="1" applyFont="1" applyFill="1" applyBorder="1"/>
    <xf numFmtId="37" fontId="0" fillId="70" borderId="12" xfId="1083" applyNumberFormat="1" applyFont="1" applyFill="1" applyBorder="1"/>
    <xf numFmtId="37" fontId="0" fillId="70" borderId="72" xfId="1083" applyNumberFormat="1" applyFont="1" applyFill="1" applyBorder="1"/>
    <xf numFmtId="37" fontId="17" fillId="70" borderId="0" xfId="101" applyNumberFormat="1" applyFont="1" applyFill="1" applyBorder="1" applyAlignment="1" applyProtection="1">
      <alignment horizontal="left" indent="1"/>
    </xf>
    <xf numFmtId="167" fontId="17" fillId="70" borderId="0" xfId="101" applyNumberFormat="1" applyFont="1" applyFill="1" applyBorder="1" applyAlignment="1" applyProtection="1">
      <alignment horizontal="left" indent="1"/>
    </xf>
    <xf numFmtId="0" fontId="98" fillId="70" borderId="0" xfId="526" applyFont="1" applyFill="1" applyBorder="1"/>
    <xf numFmtId="37" fontId="98" fillId="70" borderId="0" xfId="101" applyNumberFormat="1" applyFont="1" applyFill="1" applyBorder="1" applyAlignment="1" applyProtection="1"/>
    <xf numFmtId="37" fontId="98" fillId="70" borderId="38" xfId="251" applyNumberFormat="1" applyFont="1" applyFill="1" applyBorder="1" applyAlignment="1"/>
    <xf numFmtId="0" fontId="98" fillId="70" borderId="0" xfId="101" applyNumberFormat="1" applyFont="1" applyFill="1" applyBorder="1" applyAlignment="1" applyProtection="1"/>
    <xf numFmtId="0" fontId="98" fillId="70" borderId="38" xfId="101" applyNumberFormat="1" applyFont="1" applyFill="1" applyBorder="1" applyAlignment="1" applyProtection="1"/>
    <xf numFmtId="0" fontId="98" fillId="70" borderId="0" xfId="101" applyNumberFormat="1" applyFont="1" applyFill="1" applyBorder="1" applyAlignment="1" applyProtection="1">
      <alignment horizontal="left"/>
    </xf>
    <xf numFmtId="0" fontId="98" fillId="70" borderId="38" xfId="101" applyNumberFormat="1" applyFont="1" applyFill="1" applyBorder="1" applyAlignment="1" applyProtection="1">
      <alignment horizontal="left"/>
    </xf>
    <xf numFmtId="37" fontId="26" fillId="70" borderId="0" xfId="251" applyNumberFormat="1" applyFont="1" applyFill="1" applyAlignment="1"/>
    <xf numFmtId="0" fontId="26" fillId="70" borderId="38" xfId="101" applyNumberFormat="1" applyFont="1" applyFill="1" applyBorder="1" applyAlignment="1" applyProtection="1"/>
    <xf numFmtId="3" fontId="17" fillId="70" borderId="0" xfId="101" applyNumberFormat="1" applyFont="1" applyFill="1" applyBorder="1" applyAlignment="1">
      <alignment horizontal="left"/>
    </xf>
    <xf numFmtId="3" fontId="17" fillId="70" borderId="0" xfId="101" applyNumberFormat="1" applyFont="1" applyFill="1" applyBorder="1" applyAlignment="1">
      <alignment horizontal="left" indent="1"/>
    </xf>
    <xf numFmtId="0" fontId="26" fillId="70" borderId="38" xfId="101" applyNumberFormat="1" applyFont="1" applyFill="1" applyBorder="1" applyAlignment="1" applyProtection="1">
      <alignment horizontal="left"/>
    </xf>
    <xf numFmtId="167" fontId="182" fillId="70" borderId="0" xfId="2" applyNumberFormat="1" applyFont="1" applyFill="1" applyBorder="1" applyAlignment="1" applyProtection="1"/>
    <xf numFmtId="167" fontId="17" fillId="70" borderId="0" xfId="101" applyNumberFormat="1" applyFont="1" applyFill="1" applyBorder="1" applyAlignment="1" applyProtection="1">
      <alignment horizontal="left"/>
    </xf>
    <xf numFmtId="0" fontId="17" fillId="70" borderId="0" xfId="1082" applyFont="1" applyFill="1" applyBorder="1"/>
    <xf numFmtId="0" fontId="17" fillId="70" borderId="0" xfId="1082" applyFont="1" applyFill="1" applyBorder="1" applyAlignment="1">
      <alignment horizontal="left" indent="2"/>
    </xf>
    <xf numFmtId="167" fontId="26" fillId="70" borderId="0" xfId="1082" applyNumberFormat="1" applyFont="1" applyFill="1" applyBorder="1" applyAlignment="1" applyProtection="1">
      <alignment vertical="center"/>
    </xf>
    <xf numFmtId="0" fontId="183" fillId="70" borderId="0" xfId="1082" applyFont="1" applyFill="1" applyBorder="1" applyAlignment="1"/>
    <xf numFmtId="0" fontId="17" fillId="70" borderId="0" xfId="272" applyNumberFormat="1" applyFont="1" applyFill="1" applyBorder="1" applyAlignment="1" applyProtection="1">
      <alignment horizontal="left"/>
    </xf>
    <xf numFmtId="167" fontId="26" fillId="70" borderId="0" xfId="101" applyNumberFormat="1" applyFont="1" applyFill="1" applyBorder="1" applyAlignment="1" applyProtection="1">
      <alignment horizontal="left"/>
    </xf>
    <xf numFmtId="0" fontId="17" fillId="70" borderId="0" xfId="1082" applyFont="1" applyFill="1" applyBorder="1" applyAlignment="1"/>
    <xf numFmtId="0" fontId="26" fillId="70" borderId="38" xfId="1082" applyNumberFormat="1" applyFont="1" applyFill="1" applyBorder="1" applyAlignment="1"/>
    <xf numFmtId="167" fontId="26" fillId="70" borderId="0" xfId="101" applyNumberFormat="1" applyFont="1" applyFill="1" applyBorder="1" applyAlignment="1" applyProtection="1"/>
    <xf numFmtId="170" fontId="17" fillId="70" borderId="0" xfId="1079" applyNumberFormat="1" applyFont="1" applyFill="1" applyBorder="1"/>
    <xf numFmtId="170" fontId="17" fillId="70" borderId="0" xfId="1079" applyNumberFormat="1" applyFont="1" applyFill="1" applyBorder="1" applyAlignment="1">
      <alignment horizontal="left" indent="2"/>
    </xf>
    <xf numFmtId="0" fontId="27" fillId="70" borderId="0" xfId="101" applyFont="1" applyFill="1" applyBorder="1" applyAlignment="1">
      <alignment horizontal="left" indent="1"/>
    </xf>
    <xf numFmtId="167" fontId="17" fillId="70" borderId="0" xfId="101" applyNumberFormat="1" applyFont="1" applyFill="1" applyBorder="1" applyAlignment="1" applyProtection="1">
      <alignment horizontal="left" indent="4"/>
    </xf>
    <xf numFmtId="167" fontId="17" fillId="70" borderId="0" xfId="101" applyNumberFormat="1" applyFont="1" applyFill="1" applyBorder="1" applyAlignment="1" applyProtection="1">
      <alignment horizontal="left" indent="2"/>
    </xf>
    <xf numFmtId="168" fontId="17" fillId="70" borderId="0" xfId="154" applyNumberFormat="1" applyFont="1" applyFill="1" applyBorder="1" applyAlignment="1">
      <alignment horizontal="left" indent="4"/>
    </xf>
    <xf numFmtId="0" fontId="17" fillId="70" borderId="0" xfId="202" applyFont="1" applyFill="1" applyBorder="1" applyAlignment="1">
      <alignment horizontal="left" indent="2"/>
    </xf>
    <xf numFmtId="9" fontId="17" fillId="70" borderId="0" xfId="101" applyNumberFormat="1" applyFont="1" applyFill="1" applyBorder="1" applyAlignment="1" applyProtection="1">
      <alignment horizontal="left" indent="1"/>
    </xf>
    <xf numFmtId="3" fontId="17" fillId="70" borderId="0" xfId="101" applyNumberFormat="1" applyFont="1" applyFill="1" applyBorder="1" applyAlignment="1" applyProtection="1"/>
    <xf numFmtId="167" fontId="26" fillId="70" borderId="24" xfId="101" applyNumberFormat="1" applyFont="1" applyFill="1" applyBorder="1" applyAlignment="1" applyProtection="1"/>
    <xf numFmtId="0" fontId="26" fillId="70" borderId="0" xfId="214" applyFont="1" applyFill="1" applyBorder="1" applyAlignment="1"/>
    <xf numFmtId="0" fontId="17" fillId="70" borderId="0" xfId="214" applyFont="1" applyFill="1" applyBorder="1" applyAlignment="1"/>
    <xf numFmtId="167" fontId="17" fillId="70" borderId="0" xfId="214" applyNumberFormat="1" applyFont="1" applyFill="1" applyBorder="1" applyAlignment="1" applyProtection="1"/>
    <xf numFmtId="0" fontId="113" fillId="70" borderId="0" xfId="0" applyFont="1" applyFill="1" applyAlignment="1"/>
    <xf numFmtId="167" fontId="123" fillId="70" borderId="17" xfId="101" applyNumberFormat="1" applyFont="1" applyFill="1" applyBorder="1" applyAlignment="1" applyProtection="1">
      <alignment horizontal="right"/>
    </xf>
    <xf numFmtId="167" fontId="123" fillId="74" borderId="38" xfId="101" applyNumberFormat="1" applyFont="1" applyFill="1" applyBorder="1" applyAlignment="1" applyProtection="1">
      <alignment horizontal="right"/>
    </xf>
    <xf numFmtId="167" fontId="123" fillId="74" borderId="17" xfId="101" applyNumberFormat="1" applyFont="1" applyFill="1" applyBorder="1" applyAlignment="1" applyProtection="1">
      <alignment horizontal="right"/>
    </xf>
    <xf numFmtId="167" fontId="123" fillId="74" borderId="39" xfId="101" applyNumberFormat="1" applyFont="1" applyFill="1" applyBorder="1" applyAlignment="1" applyProtection="1">
      <alignment horizontal="right"/>
    </xf>
    <xf numFmtId="168" fontId="17" fillId="70" borderId="0" xfId="350" applyNumberFormat="1" applyFont="1" applyFill="1" applyBorder="1" applyAlignment="1" applyProtection="1">
      <alignment horizontal="right"/>
    </xf>
    <xf numFmtId="168" fontId="17" fillId="74" borderId="32" xfId="350" applyNumberFormat="1" applyFont="1" applyFill="1" applyBorder="1" applyAlignment="1" applyProtection="1">
      <alignment horizontal="right"/>
    </xf>
    <xf numFmtId="168" fontId="17" fillId="74" borderId="71" xfId="350" applyNumberFormat="1" applyFont="1" applyFill="1" applyBorder="1" applyAlignment="1" applyProtection="1">
      <alignment horizontal="right"/>
    </xf>
    <xf numFmtId="168" fontId="17" fillId="74" borderId="13" xfId="350" applyNumberFormat="1" applyFont="1" applyFill="1" applyBorder="1" applyAlignment="1" applyProtection="1">
      <alignment horizontal="right"/>
    </xf>
    <xf numFmtId="168" fontId="17" fillId="74" borderId="54" xfId="350" applyNumberFormat="1" applyFont="1" applyFill="1" applyBorder="1" applyAlignment="1" applyProtection="1">
      <alignment horizontal="right"/>
    </xf>
    <xf numFmtId="168" fontId="17" fillId="74" borderId="0" xfId="350" applyNumberFormat="1" applyFont="1" applyFill="1" applyBorder="1" applyAlignment="1" applyProtection="1">
      <alignment horizontal="right"/>
    </xf>
    <xf numFmtId="168" fontId="26" fillId="70" borderId="17" xfId="350" applyNumberFormat="1" applyFont="1" applyFill="1" applyBorder="1" applyAlignment="1" applyProtection="1">
      <alignment horizontal="right"/>
    </xf>
    <xf numFmtId="168" fontId="26" fillId="74" borderId="38" xfId="350" applyNumberFormat="1" applyFont="1" applyFill="1" applyBorder="1" applyAlignment="1" applyProtection="1">
      <alignment horizontal="right"/>
    </xf>
    <xf numFmtId="168" fontId="26" fillId="74" borderId="17" xfId="350" applyNumberFormat="1" applyFont="1" applyFill="1" applyBorder="1" applyAlignment="1" applyProtection="1">
      <alignment horizontal="right"/>
    </xf>
    <xf numFmtId="168" fontId="26" fillId="74" borderId="39" xfId="350" applyNumberFormat="1" applyFont="1" applyFill="1" applyBorder="1" applyAlignment="1" applyProtection="1">
      <alignment horizontal="right"/>
    </xf>
    <xf numFmtId="0" fontId="113" fillId="70" borderId="0" xfId="0" applyFont="1" applyFill="1"/>
    <xf numFmtId="0" fontId="113" fillId="74" borderId="54" xfId="0" applyFont="1" applyFill="1" applyBorder="1"/>
    <xf numFmtId="0" fontId="113" fillId="74" borderId="0" xfId="0" applyFont="1" applyFill="1" applyBorder="1"/>
    <xf numFmtId="0" fontId="113" fillId="74" borderId="13" xfId="0" applyFont="1" applyFill="1" applyBorder="1"/>
    <xf numFmtId="167" fontId="123" fillId="70" borderId="0" xfId="101" applyNumberFormat="1" applyFont="1" applyFill="1" applyBorder="1" applyAlignment="1" applyProtection="1">
      <alignment horizontal="right"/>
    </xf>
    <xf numFmtId="37" fontId="17" fillId="70" borderId="0" xfId="350" applyNumberFormat="1" applyFont="1" applyFill="1" applyBorder="1" applyAlignment="1" applyProtection="1">
      <alignment horizontal="right"/>
    </xf>
    <xf numFmtId="37" fontId="17" fillId="74" borderId="54" xfId="350" applyNumberFormat="1" applyFont="1" applyFill="1" applyBorder="1" applyAlignment="1" applyProtection="1">
      <alignment horizontal="right"/>
    </xf>
    <xf numFmtId="37" fontId="17" fillId="74" borderId="0" xfId="350" applyNumberFormat="1" applyFont="1" applyFill="1" applyBorder="1" applyAlignment="1" applyProtection="1">
      <alignment horizontal="right"/>
    </xf>
    <xf numFmtId="37" fontId="17" fillId="74" borderId="13" xfId="350" applyNumberFormat="1" applyFont="1" applyFill="1" applyBorder="1" applyAlignment="1" applyProtection="1">
      <alignment horizontal="right"/>
    </xf>
    <xf numFmtId="168" fontId="26" fillId="70" borderId="0" xfId="350" applyNumberFormat="1" applyFont="1" applyFill="1" applyBorder="1" applyAlignment="1" applyProtection="1">
      <alignment horizontal="right"/>
    </xf>
    <xf numFmtId="168" fontId="26" fillId="74" borderId="54" xfId="350" applyNumberFormat="1" applyFont="1" applyFill="1" applyBorder="1" applyAlignment="1" applyProtection="1">
      <alignment horizontal="right"/>
    </xf>
    <xf numFmtId="168" fontId="26" fillId="74" borderId="0" xfId="350" applyNumberFormat="1" applyFont="1" applyFill="1" applyBorder="1" applyAlignment="1" applyProtection="1">
      <alignment horizontal="right"/>
    </xf>
    <xf numFmtId="168" fontId="26" fillId="74" borderId="13" xfId="350" applyNumberFormat="1" applyFont="1" applyFill="1" applyBorder="1" applyAlignment="1" applyProtection="1">
      <alignment horizontal="right"/>
    </xf>
    <xf numFmtId="37" fontId="26" fillId="70" borderId="17" xfId="350" applyNumberFormat="1" applyFont="1" applyFill="1" applyBorder="1" applyAlignment="1" applyProtection="1">
      <alignment horizontal="right"/>
    </xf>
    <xf numFmtId="37" fontId="26" fillId="74" borderId="38" xfId="350" applyNumberFormat="1" applyFont="1" applyFill="1" applyBorder="1" applyAlignment="1" applyProtection="1">
      <alignment horizontal="right"/>
    </xf>
    <xf numFmtId="37" fontId="26" fillId="74" borderId="17" xfId="350" applyNumberFormat="1" applyFont="1" applyFill="1" applyBorder="1" applyAlignment="1" applyProtection="1">
      <alignment horizontal="right"/>
    </xf>
    <xf numFmtId="37" fontId="26" fillId="74" borderId="39" xfId="350" applyNumberFormat="1" applyFont="1" applyFill="1" applyBorder="1" applyAlignment="1" applyProtection="1">
      <alignment horizontal="right"/>
    </xf>
    <xf numFmtId="37" fontId="17" fillId="70" borderId="0" xfId="242" applyNumberFormat="1" applyFont="1" applyFill="1" applyBorder="1" applyAlignment="1" applyProtection="1">
      <alignment horizontal="right"/>
    </xf>
    <xf numFmtId="37" fontId="17" fillId="74" borderId="54" xfId="242" applyNumberFormat="1" applyFont="1" applyFill="1" applyBorder="1" applyAlignment="1" applyProtection="1">
      <alignment horizontal="right"/>
    </xf>
    <xf numFmtId="37" fontId="17" fillId="74" borderId="0" xfId="242" applyNumberFormat="1" applyFont="1" applyFill="1" applyBorder="1" applyAlignment="1" applyProtection="1">
      <alignment horizontal="right"/>
    </xf>
    <xf numFmtId="37" fontId="17" fillId="74" borderId="13" xfId="242" applyNumberFormat="1" applyFont="1" applyFill="1" applyBorder="1" applyAlignment="1" applyProtection="1">
      <alignment horizontal="right"/>
    </xf>
    <xf numFmtId="43" fontId="17" fillId="70" borderId="0" xfId="1083" applyFont="1" applyFill="1" applyBorder="1" applyAlignment="1" applyProtection="1">
      <alignment horizontal="right"/>
    </xf>
    <xf numFmtId="43" fontId="17" fillId="74" borderId="54" xfId="1083" applyFont="1" applyFill="1" applyBorder="1" applyAlignment="1" applyProtection="1">
      <alignment horizontal="right"/>
    </xf>
    <xf numFmtId="37" fontId="26" fillId="70" borderId="0" xfId="242" applyNumberFormat="1" applyFont="1" applyFill="1" applyBorder="1" applyAlignment="1" applyProtection="1">
      <alignment horizontal="right"/>
    </xf>
    <xf numFmtId="37" fontId="26" fillId="74" borderId="54" xfId="242" applyNumberFormat="1" applyFont="1" applyFill="1" applyBorder="1" applyAlignment="1" applyProtection="1">
      <alignment horizontal="right"/>
    </xf>
    <xf numFmtId="37" fontId="26" fillId="74" borderId="0" xfId="242" applyNumberFormat="1" applyFont="1" applyFill="1" applyBorder="1" applyAlignment="1" applyProtection="1">
      <alignment horizontal="right"/>
    </xf>
    <xf numFmtId="37" fontId="26" fillId="74" borderId="13" xfId="242" applyNumberFormat="1" applyFont="1" applyFill="1" applyBorder="1" applyAlignment="1" applyProtection="1">
      <alignment horizontal="right"/>
    </xf>
    <xf numFmtId="37" fontId="26" fillId="70" borderId="0" xfId="350" applyNumberFormat="1" applyFont="1" applyFill="1" applyBorder="1" applyAlignment="1" applyProtection="1">
      <alignment horizontal="right"/>
    </xf>
    <xf numFmtId="37" fontId="26" fillId="74" borderId="54" xfId="350" applyNumberFormat="1" applyFont="1" applyFill="1" applyBorder="1" applyAlignment="1" applyProtection="1">
      <alignment horizontal="right"/>
    </xf>
    <xf numFmtId="37" fontId="26" fillId="74" borderId="0" xfId="350" applyNumberFormat="1" applyFont="1" applyFill="1" applyBorder="1" applyAlignment="1" applyProtection="1">
      <alignment horizontal="right"/>
    </xf>
    <xf numFmtId="37" fontId="26" fillId="74" borderId="13" xfId="350" applyNumberFormat="1" applyFont="1" applyFill="1" applyBorder="1" applyAlignment="1" applyProtection="1">
      <alignment horizontal="right"/>
    </xf>
    <xf numFmtId="167" fontId="123" fillId="70" borderId="38" xfId="101" applyNumberFormat="1" applyFont="1" applyFill="1" applyBorder="1" applyAlignment="1" applyProtection="1">
      <alignment horizontal="right"/>
    </xf>
    <xf numFmtId="168" fontId="17" fillId="70" borderId="0" xfId="154" applyNumberFormat="1" applyFont="1" applyFill="1" applyBorder="1" applyAlignment="1" applyProtection="1">
      <alignment horizontal="right"/>
    </xf>
    <xf numFmtId="168" fontId="17" fillId="74" borderId="54" xfId="154" applyNumberFormat="1" applyFont="1" applyFill="1" applyBorder="1" applyAlignment="1" applyProtection="1">
      <alignment horizontal="right"/>
    </xf>
    <xf numFmtId="168" fontId="17" fillId="74" borderId="0" xfId="154" applyNumberFormat="1" applyFont="1" applyFill="1" applyBorder="1" applyAlignment="1" applyProtection="1">
      <alignment horizontal="right"/>
    </xf>
    <xf numFmtId="168" fontId="17" fillId="74" borderId="13" xfId="154" applyNumberFormat="1" applyFont="1" applyFill="1" applyBorder="1" applyAlignment="1" applyProtection="1">
      <alignment horizontal="right"/>
    </xf>
    <xf numFmtId="168" fontId="17" fillId="74" borderId="33" xfId="154" applyNumberFormat="1" applyFont="1" applyFill="1" applyBorder="1" applyAlignment="1" applyProtection="1">
      <alignment horizontal="right"/>
    </xf>
    <xf numFmtId="168" fontId="17" fillId="74" borderId="12" xfId="154" applyNumberFormat="1" applyFont="1" applyFill="1" applyBorder="1" applyAlignment="1" applyProtection="1">
      <alignment horizontal="right"/>
    </xf>
    <xf numFmtId="168" fontId="17" fillId="74" borderId="29" xfId="154" applyNumberFormat="1" applyFont="1" applyFill="1" applyBorder="1" applyAlignment="1" applyProtection="1">
      <alignment horizontal="right"/>
    </xf>
    <xf numFmtId="168" fontId="17" fillId="0" borderId="0" xfId="154" applyNumberFormat="1" applyFont="1" applyFill="1" applyBorder="1" applyAlignment="1" applyProtection="1">
      <alignment horizontal="right"/>
    </xf>
    <xf numFmtId="168" fontId="17" fillId="33" borderId="0" xfId="154" applyNumberFormat="1" applyFont="1" applyFill="1" applyBorder="1" applyAlignment="1" applyProtection="1">
      <alignment horizontal="right"/>
    </xf>
    <xf numFmtId="168" fontId="17" fillId="49" borderId="0" xfId="154" applyNumberFormat="1" applyFont="1" applyFill="1" applyBorder="1" applyAlignment="1" applyProtection="1">
      <alignment horizontal="right"/>
    </xf>
    <xf numFmtId="168" fontId="184" fillId="70" borderId="0" xfId="154" applyNumberFormat="1" applyFont="1" applyFill="1" applyBorder="1" applyAlignment="1" applyProtection="1">
      <alignment horizontal="right"/>
    </xf>
    <xf numFmtId="168" fontId="184" fillId="74" borderId="54" xfId="154" applyNumberFormat="1" applyFont="1" applyFill="1" applyBorder="1" applyAlignment="1" applyProtection="1">
      <alignment horizontal="right"/>
    </xf>
    <xf numFmtId="168" fontId="184" fillId="74" borderId="0" xfId="154" applyNumberFormat="1" applyFont="1" applyFill="1" applyBorder="1" applyAlignment="1" applyProtection="1">
      <alignment horizontal="right"/>
    </xf>
    <xf numFmtId="168" fontId="184" fillId="74" borderId="13" xfId="154" applyNumberFormat="1" applyFont="1" applyFill="1" applyBorder="1" applyAlignment="1" applyProtection="1">
      <alignment horizontal="right"/>
    </xf>
    <xf numFmtId="168" fontId="17" fillId="74" borderId="54" xfId="154" applyNumberFormat="1" applyFont="1" applyFill="1" applyBorder="1" applyAlignment="1">
      <alignment horizontal="right"/>
    </xf>
    <xf numFmtId="168" fontId="17" fillId="74" borderId="0" xfId="154" applyNumberFormat="1" applyFont="1" applyFill="1" applyBorder="1" applyAlignment="1">
      <alignment horizontal="right"/>
    </xf>
    <xf numFmtId="168" fontId="17" fillId="74" borderId="13" xfId="154" applyNumberFormat="1" applyFont="1" applyFill="1" applyBorder="1" applyAlignment="1">
      <alignment horizontal="right"/>
    </xf>
    <xf numFmtId="168" fontId="185" fillId="74" borderId="0" xfId="154" applyNumberFormat="1" applyFont="1" applyFill="1" applyBorder="1" applyAlignment="1" applyProtection="1">
      <alignment horizontal="right"/>
    </xf>
    <xf numFmtId="168" fontId="185" fillId="74" borderId="13" xfId="154" applyNumberFormat="1" applyFont="1" applyFill="1" applyBorder="1" applyAlignment="1" applyProtection="1">
      <alignment horizontal="right"/>
    </xf>
    <xf numFmtId="168" fontId="17" fillId="74" borderId="54" xfId="154" applyNumberFormat="1" applyFont="1" applyFill="1" applyBorder="1"/>
    <xf numFmtId="168" fontId="17" fillId="74" borderId="0" xfId="154" applyNumberFormat="1" applyFont="1" applyFill="1" applyBorder="1"/>
    <xf numFmtId="168" fontId="17" fillId="74" borderId="13" xfId="154" applyNumberFormat="1" applyFont="1" applyFill="1" applyBorder="1"/>
    <xf numFmtId="168" fontId="17" fillId="70" borderId="0" xfId="154" applyNumberFormat="1" applyFont="1" applyFill="1"/>
    <xf numFmtId="168" fontId="186" fillId="70" borderId="0" xfId="154" applyNumberFormat="1" applyFont="1" applyFill="1" applyBorder="1" applyAlignment="1" applyProtection="1">
      <alignment horizontal="right"/>
    </xf>
    <xf numFmtId="168" fontId="186" fillId="74" borderId="54" xfId="154" applyNumberFormat="1" applyFont="1" applyFill="1" applyBorder="1" applyAlignment="1" applyProtection="1">
      <alignment horizontal="right"/>
    </xf>
    <xf numFmtId="168" fontId="186" fillId="74" borderId="0" xfId="154" applyNumberFormat="1" applyFont="1" applyFill="1" applyBorder="1" applyAlignment="1" applyProtection="1">
      <alignment horizontal="right"/>
    </xf>
    <xf numFmtId="168" fontId="186" fillId="74" borderId="13" xfId="154" applyNumberFormat="1" applyFont="1" applyFill="1" applyBorder="1" applyAlignment="1" applyProtection="1">
      <alignment horizontal="right"/>
    </xf>
    <xf numFmtId="168" fontId="26" fillId="70" borderId="0" xfId="154" applyNumberFormat="1" applyFont="1" applyFill="1" applyBorder="1" applyAlignment="1" applyProtection="1">
      <alignment horizontal="right"/>
    </xf>
    <xf numFmtId="168" fontId="26" fillId="74" borderId="54" xfId="154" applyNumberFormat="1" applyFont="1" applyFill="1" applyBorder="1" applyAlignment="1" applyProtection="1">
      <alignment horizontal="right"/>
    </xf>
    <xf numFmtId="168" fontId="26" fillId="74" borderId="0" xfId="154" applyNumberFormat="1" applyFont="1" applyFill="1" applyBorder="1" applyAlignment="1" applyProtection="1">
      <alignment horizontal="right"/>
    </xf>
    <xf numFmtId="168" fontId="26" fillId="74" borderId="13" xfId="154" applyNumberFormat="1" applyFont="1" applyFill="1" applyBorder="1" applyAlignment="1" applyProtection="1">
      <alignment horizontal="right"/>
    </xf>
    <xf numFmtId="9" fontId="17" fillId="70" borderId="0" xfId="154" applyNumberFormat="1" applyFont="1" applyFill="1" applyBorder="1" applyAlignment="1" applyProtection="1">
      <alignment horizontal="right"/>
    </xf>
    <xf numFmtId="9" fontId="17" fillId="74" borderId="54" xfId="154" applyNumberFormat="1" applyFont="1" applyFill="1" applyBorder="1" applyAlignment="1" applyProtection="1">
      <alignment horizontal="right"/>
    </xf>
    <xf numFmtId="9" fontId="17" fillId="74" borderId="0" xfId="154" applyNumberFormat="1" applyFont="1" applyFill="1" applyBorder="1" applyAlignment="1" applyProtection="1">
      <alignment horizontal="right"/>
    </xf>
    <xf numFmtId="9" fontId="17" fillId="74" borderId="13" xfId="154" applyNumberFormat="1" applyFont="1" applyFill="1" applyBorder="1" applyAlignment="1" applyProtection="1">
      <alignment horizontal="right"/>
    </xf>
    <xf numFmtId="9" fontId="113" fillId="70" borderId="0" xfId="0" applyNumberFormat="1" applyFont="1" applyFill="1"/>
    <xf numFmtId="170" fontId="123" fillId="70" borderId="0" xfId="193" applyNumberFormat="1" applyFont="1" applyFill="1" applyBorder="1" applyAlignment="1" applyProtection="1">
      <alignment horizontal="right"/>
    </xf>
    <xf numFmtId="170" fontId="123" fillId="74" borderId="54" xfId="193" applyNumberFormat="1" applyFont="1" applyFill="1" applyBorder="1" applyAlignment="1" applyProtection="1">
      <alignment horizontal="right"/>
    </xf>
    <xf numFmtId="170" fontId="123" fillId="74" borderId="0" xfId="193" applyNumberFormat="1" applyFont="1" applyFill="1" applyBorder="1" applyAlignment="1" applyProtection="1">
      <alignment horizontal="right"/>
    </xf>
    <xf numFmtId="170" fontId="123" fillId="74" borderId="13" xfId="193" applyNumberFormat="1" applyFont="1" applyFill="1" applyBorder="1" applyAlignment="1" applyProtection="1">
      <alignment horizontal="right"/>
    </xf>
    <xf numFmtId="7" fontId="122" fillId="70" borderId="16" xfId="101" applyNumberFormat="1" applyFont="1" applyFill="1" applyBorder="1" applyAlignment="1" applyProtection="1"/>
    <xf numFmtId="7" fontId="122" fillId="74" borderId="63" xfId="101" applyNumberFormat="1" applyFont="1" applyFill="1" applyBorder="1" applyAlignment="1" applyProtection="1"/>
    <xf numFmtId="7" fontId="122" fillId="74" borderId="16" xfId="101" applyNumberFormat="1" applyFont="1" applyFill="1" applyBorder="1" applyAlignment="1" applyProtection="1"/>
    <xf numFmtId="7" fontId="122" fillId="74" borderId="64" xfId="101" applyNumberFormat="1" applyFont="1" applyFill="1" applyBorder="1" applyAlignment="1" applyProtection="1"/>
    <xf numFmtId="0" fontId="187" fillId="70" borderId="0" xfId="0" applyFont="1" applyFill="1"/>
    <xf numFmtId="0" fontId="48" fillId="74" borderId="0" xfId="0" applyFont="1" applyFill="1" applyAlignment="1">
      <alignment vertical="center"/>
    </xf>
    <xf numFmtId="0" fontId="48" fillId="74" borderId="0" xfId="0" applyFont="1" applyFill="1" applyAlignment="1">
      <alignment horizontal="center" vertical="center" wrapText="1"/>
    </xf>
    <xf numFmtId="8" fontId="19" fillId="70" borderId="0" xfId="154" applyNumberFormat="1" applyFont="1" applyFill="1" applyBorder="1" applyAlignment="1" applyProtection="1">
      <alignment horizontal="right"/>
    </xf>
    <xf numFmtId="169" fontId="0" fillId="70" borderId="65" xfId="1" applyNumberFormat="1" applyFont="1" applyFill="1" applyBorder="1"/>
    <xf numFmtId="0" fontId="93" fillId="70" borderId="46" xfId="0" applyFont="1" applyFill="1" applyBorder="1"/>
    <xf numFmtId="0" fontId="0" fillId="70" borderId="32" xfId="0" applyFill="1" applyBorder="1"/>
    <xf numFmtId="6" fontId="0" fillId="70" borderId="0" xfId="0" applyNumberFormat="1" applyFill="1" applyBorder="1"/>
    <xf numFmtId="169" fontId="0" fillId="70" borderId="0" xfId="0" applyNumberFormat="1" applyFill="1" applyBorder="1"/>
    <xf numFmtId="0" fontId="0" fillId="70" borderId="12" xfId="0" applyFill="1" applyBorder="1"/>
    <xf numFmtId="0" fontId="0" fillId="70" borderId="72" xfId="0" applyFill="1" applyBorder="1"/>
    <xf numFmtId="236" fontId="0" fillId="70" borderId="0" xfId="0" applyNumberFormat="1" applyFill="1" applyBorder="1"/>
    <xf numFmtId="236" fontId="0" fillId="70" borderId="12" xfId="0" applyNumberFormat="1" applyFill="1" applyBorder="1"/>
    <xf numFmtId="9" fontId="188" fillId="70" borderId="13" xfId="0" applyNumberFormat="1" applyFont="1" applyFill="1" applyBorder="1"/>
    <xf numFmtId="9" fontId="188" fillId="70" borderId="72" xfId="0" applyNumberFormat="1" applyFont="1" applyFill="1" applyBorder="1"/>
    <xf numFmtId="4" fontId="48" fillId="70" borderId="0" xfId="0" applyNumberFormat="1" applyFont="1" applyFill="1" applyAlignment="1">
      <alignment horizontal="left" indent="2"/>
    </xf>
    <xf numFmtId="4" fontId="96" fillId="70" borderId="0" xfId="0" applyNumberFormat="1" applyFont="1" applyFill="1" applyAlignment="1">
      <alignment horizontal="left" indent="2"/>
    </xf>
    <xf numFmtId="0" fontId="96" fillId="70" borderId="0" xfId="0" applyNumberFormat="1" applyFont="1" applyFill="1" applyBorder="1" applyAlignment="1">
      <alignment horizontal="left" indent="2"/>
    </xf>
    <xf numFmtId="0" fontId="48" fillId="70" borderId="0" xfId="0" applyNumberFormat="1" applyFont="1" applyFill="1" applyBorder="1" applyAlignment="1">
      <alignment horizontal="left" indent="2"/>
    </xf>
    <xf numFmtId="237" fontId="0" fillId="70" borderId="37" xfId="0" applyNumberFormat="1" applyFill="1" applyBorder="1" applyAlignment="1">
      <alignment horizontal="center"/>
    </xf>
    <xf numFmtId="0" fontId="0" fillId="70" borderId="51" xfId="0" applyFill="1" applyBorder="1"/>
    <xf numFmtId="6" fontId="0" fillId="70" borderId="0" xfId="0" applyNumberFormat="1" applyFill="1" applyBorder="1" applyAlignment="1">
      <alignment horizontal="center"/>
    </xf>
    <xf numFmtId="169" fontId="0" fillId="70" borderId="37" xfId="1" applyNumberFormat="1" applyFont="1" applyFill="1" applyBorder="1" applyAlignment="1">
      <alignment horizontal="center"/>
    </xf>
    <xf numFmtId="0" fontId="0" fillId="70" borderId="0" xfId="0" applyFill="1" applyAlignment="1">
      <alignment vertical="center"/>
    </xf>
    <xf numFmtId="0" fontId="0" fillId="70" borderId="0" xfId="0" applyFill="1" applyAlignment="1">
      <alignment horizontal="center" vertical="center"/>
    </xf>
    <xf numFmtId="0" fontId="189" fillId="74" borderId="37" xfId="0" applyFont="1" applyFill="1" applyBorder="1" applyAlignment="1">
      <alignment horizontal="center"/>
    </xf>
    <xf numFmtId="169" fontId="0" fillId="70" borderId="0" xfId="1" applyNumberFormat="1" applyFont="1" applyFill="1" applyAlignment="1">
      <alignment vertical="center"/>
    </xf>
    <xf numFmtId="175" fontId="0" fillId="70" borderId="0" xfId="0" applyNumberFormat="1" applyFill="1" applyAlignment="1">
      <alignment horizontal="center"/>
    </xf>
    <xf numFmtId="168" fontId="17" fillId="74" borderId="32" xfId="154" applyNumberFormat="1" applyFont="1" applyFill="1" applyBorder="1" applyAlignment="1" applyProtection="1">
      <alignment horizontal="right"/>
    </xf>
    <xf numFmtId="168" fontId="17" fillId="74" borderId="71" xfId="154" applyNumberFormat="1" applyFont="1" applyFill="1" applyBorder="1" applyAlignment="1" applyProtection="1">
      <alignment horizontal="right"/>
    </xf>
    <xf numFmtId="168" fontId="17" fillId="74" borderId="34" xfId="154" applyNumberFormat="1" applyFont="1" applyFill="1" applyBorder="1" applyAlignment="1" applyProtection="1">
      <alignment horizontal="right"/>
    </xf>
    <xf numFmtId="168" fontId="17" fillId="74" borderId="73" xfId="154" applyNumberFormat="1" applyFont="1" applyFill="1" applyBorder="1" applyAlignment="1" applyProtection="1">
      <alignment horizontal="right"/>
    </xf>
    <xf numFmtId="168" fontId="17" fillId="74" borderId="72" xfId="154" applyNumberFormat="1" applyFont="1" applyFill="1" applyBorder="1" applyAlignment="1" applyProtection="1">
      <alignment horizontal="right"/>
    </xf>
    <xf numFmtId="167" fontId="26" fillId="74" borderId="12" xfId="202" applyNumberFormat="1" applyFont="1" applyFill="1" applyBorder="1" applyAlignment="1" applyProtection="1"/>
    <xf numFmtId="167" fontId="27" fillId="0" borderId="38" xfId="252" quotePrefix="1" applyNumberFormat="1" applyFont="1" applyFill="1" applyBorder="1" applyAlignment="1" applyProtection="1">
      <alignment vertical="center"/>
    </xf>
    <xf numFmtId="167" fontId="20" fillId="70" borderId="17" xfId="101" applyNumberFormat="1" applyFont="1" applyFill="1" applyBorder="1" applyAlignment="1" applyProtection="1">
      <alignment horizontal="left"/>
    </xf>
    <xf numFmtId="169" fontId="190" fillId="74" borderId="0" xfId="1" applyNumberFormat="1" applyFont="1" applyFill="1" applyBorder="1"/>
    <xf numFmtId="169" fontId="190" fillId="74" borderId="12" xfId="1" applyNumberFormat="1" applyFont="1" applyFill="1" applyBorder="1"/>
    <xf numFmtId="169" fontId="48" fillId="70" borderId="0" xfId="1" applyNumberFormat="1" applyFont="1" applyFill="1" applyBorder="1" applyAlignment="1" applyProtection="1">
      <alignment horizontal="center"/>
    </xf>
    <xf numFmtId="9" fontId="13" fillId="70" borderId="44" xfId="0" applyNumberFormat="1" applyFont="1" applyFill="1" applyBorder="1"/>
    <xf numFmtId="0" fontId="17" fillId="70" borderId="0" xfId="752" applyFill="1"/>
    <xf numFmtId="0" fontId="107" fillId="70" borderId="0" xfId="752" applyFont="1" applyFill="1" applyBorder="1" applyAlignment="1">
      <alignment horizontal="center"/>
    </xf>
    <xf numFmtId="0" fontId="0" fillId="70" borderId="32" xfId="752" applyFont="1" applyFill="1" applyBorder="1"/>
    <xf numFmtId="0" fontId="0" fillId="70" borderId="73" xfId="752" applyFont="1" applyFill="1" applyBorder="1"/>
    <xf numFmtId="0" fontId="0" fillId="70" borderId="0" xfId="752" applyFont="1" applyFill="1"/>
    <xf numFmtId="6" fontId="107" fillId="70" borderId="34" xfId="752" applyNumberFormat="1" applyFont="1" applyFill="1" applyBorder="1" applyAlignment="1">
      <alignment horizontal="center"/>
    </xf>
    <xf numFmtId="6" fontId="107" fillId="70" borderId="72" xfId="752" applyNumberFormat="1" applyFont="1" applyFill="1" applyBorder="1" applyAlignment="1">
      <alignment horizontal="center"/>
    </xf>
    <xf numFmtId="6" fontId="107" fillId="70" borderId="0" xfId="752" applyNumberFormat="1" applyFont="1" applyFill="1" applyBorder="1" applyAlignment="1">
      <alignment horizontal="center"/>
    </xf>
    <xf numFmtId="0" fontId="0" fillId="70" borderId="34" xfId="0" applyFill="1" applyBorder="1" applyAlignment="1">
      <alignment horizontal="center"/>
    </xf>
    <xf numFmtId="236" fontId="179" fillId="70" borderId="0" xfId="1" applyNumberFormat="1" applyFont="1" applyFill="1" applyBorder="1"/>
    <xf numFmtId="3" fontId="179" fillId="70" borderId="0" xfId="1" applyNumberFormat="1" applyFont="1" applyFill="1" applyBorder="1"/>
    <xf numFmtId="169" fontId="177" fillId="74" borderId="0" xfId="1" applyNumberFormat="1" applyFont="1" applyFill="1" applyBorder="1"/>
    <xf numFmtId="169" fontId="177" fillId="74" borderId="80" xfId="1" applyNumberFormat="1" applyFont="1" applyFill="1" applyBorder="1"/>
    <xf numFmtId="169" fontId="177" fillId="74" borderId="72" xfId="1" applyNumberFormat="1" applyFont="1" applyFill="1" applyBorder="1"/>
    <xf numFmtId="236" fontId="0" fillId="70" borderId="0" xfId="0" applyNumberFormat="1" applyFill="1"/>
    <xf numFmtId="169" fontId="190" fillId="74" borderId="54" xfId="1" applyNumberFormat="1" applyFont="1" applyFill="1" applyBorder="1"/>
    <xf numFmtId="169" fontId="190" fillId="74" borderId="73" xfId="1" applyNumberFormat="1" applyFont="1" applyFill="1" applyBorder="1"/>
    <xf numFmtId="237" fontId="0" fillId="70" borderId="0" xfId="0" applyNumberFormat="1" applyFill="1" applyBorder="1" applyAlignment="1">
      <alignment horizontal="center"/>
    </xf>
    <xf numFmtId="0" fontId="15" fillId="70" borderId="41" xfId="0" applyFont="1" applyFill="1" applyBorder="1"/>
    <xf numFmtId="0" fontId="94" fillId="70" borderId="18" xfId="0" applyFont="1" applyFill="1" applyBorder="1"/>
    <xf numFmtId="5" fontId="15" fillId="70" borderId="18" xfId="1083" applyNumberFormat="1" applyFont="1" applyFill="1" applyBorder="1"/>
    <xf numFmtId="169" fontId="177" fillId="74" borderId="54" xfId="1" applyNumberFormat="1" applyFont="1" applyFill="1" applyBorder="1"/>
    <xf numFmtId="169" fontId="177" fillId="74" borderId="73" xfId="1" applyNumberFormat="1" applyFont="1" applyFill="1" applyBorder="1"/>
    <xf numFmtId="169" fontId="0" fillId="70" borderId="36" xfId="0" applyNumberFormat="1" applyFill="1" applyBorder="1"/>
    <xf numFmtId="7" fontId="0" fillId="70" borderId="0" xfId="0" applyNumberFormat="1" applyFill="1"/>
    <xf numFmtId="168" fontId="185" fillId="74" borderId="54" xfId="154" applyNumberFormat="1" applyFont="1" applyFill="1" applyBorder="1" applyAlignment="1" applyProtection="1">
      <alignment horizontal="right"/>
    </xf>
    <xf numFmtId="167" fontId="26" fillId="74" borderId="12" xfId="168" applyNumberFormat="1" applyFont="1" applyFill="1" applyBorder="1" applyAlignment="1" applyProtection="1">
      <alignment horizontal="center"/>
    </xf>
    <xf numFmtId="167" fontId="26" fillId="74" borderId="32" xfId="202" applyNumberFormat="1" applyFont="1" applyFill="1" applyBorder="1" applyAlignment="1" applyProtection="1">
      <alignment horizontal="center"/>
    </xf>
    <xf numFmtId="167" fontId="26" fillId="74" borderId="23" xfId="202" applyNumberFormat="1" applyFont="1" applyFill="1" applyBorder="1" applyAlignment="1" applyProtection="1">
      <alignment horizontal="center"/>
    </xf>
    <xf numFmtId="167" fontId="26" fillId="74" borderId="34" xfId="202" applyNumberFormat="1" applyFont="1" applyFill="1" applyBorder="1" applyAlignment="1" applyProtection="1">
      <alignment horizontal="center"/>
    </xf>
    <xf numFmtId="167" fontId="19" fillId="74" borderId="32" xfId="168" applyNumberFormat="1" applyFont="1" applyFill="1" applyBorder="1" applyAlignment="1" applyProtection="1">
      <alignment horizontal="center"/>
    </xf>
    <xf numFmtId="167" fontId="19" fillId="74" borderId="23" xfId="168" applyNumberFormat="1" applyFont="1" applyFill="1" applyBorder="1" applyAlignment="1" applyProtection="1">
      <alignment horizontal="center"/>
    </xf>
    <xf numFmtId="167" fontId="19" fillId="74" borderId="34" xfId="168" applyNumberFormat="1" applyFont="1" applyFill="1" applyBorder="1" applyAlignment="1" applyProtection="1">
      <alignment horizontal="center"/>
    </xf>
    <xf numFmtId="167" fontId="26" fillId="74" borderId="38" xfId="151" applyNumberFormat="1" applyFont="1" applyFill="1" applyBorder="1" applyAlignment="1" applyProtection="1">
      <alignment horizontal="center"/>
    </xf>
    <xf numFmtId="167" fontId="26" fillId="74" borderId="17" xfId="151" applyNumberFormat="1" applyFont="1" applyFill="1" applyBorder="1" applyAlignment="1" applyProtection="1">
      <alignment horizontal="center"/>
    </xf>
    <xf numFmtId="167" fontId="26" fillId="74" borderId="39" xfId="151" applyNumberFormat="1" applyFont="1" applyFill="1" applyBorder="1" applyAlignment="1" applyProtection="1">
      <alignment horizontal="center"/>
    </xf>
    <xf numFmtId="167" fontId="19" fillId="74" borderId="38" xfId="151" applyNumberFormat="1" applyFont="1" applyFill="1" applyBorder="1" applyAlignment="1" applyProtection="1">
      <alignment horizontal="center"/>
    </xf>
    <xf numFmtId="167" fontId="19" fillId="74" borderId="17" xfId="151" applyNumberFormat="1" applyFont="1" applyFill="1" applyBorder="1" applyAlignment="1" applyProtection="1">
      <alignment horizontal="center"/>
    </xf>
    <xf numFmtId="167" fontId="19" fillId="74" borderId="39" xfId="151" applyNumberFormat="1" applyFont="1" applyFill="1" applyBorder="1" applyAlignment="1" applyProtection="1">
      <alignment horizontal="center"/>
    </xf>
    <xf numFmtId="0" fontId="95" fillId="0" borderId="2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70" borderId="32" xfId="0" applyFill="1" applyBorder="1" applyAlignment="1">
      <alignment horizontal="center"/>
    </xf>
    <xf numFmtId="0" fontId="0" fillId="70" borderId="34" xfId="0" applyFill="1" applyBorder="1" applyAlignment="1">
      <alignment horizontal="center"/>
    </xf>
    <xf numFmtId="0" fontId="12" fillId="78" borderId="18" xfId="0" applyFont="1" applyFill="1" applyBorder="1" applyAlignment="1">
      <alignment horizontal="center"/>
    </xf>
    <xf numFmtId="0" fontId="17" fillId="81" borderId="0" xfId="3376" applyFont="1" applyFill="1" applyAlignment="1">
      <alignment vertical="top"/>
    </xf>
    <xf numFmtId="0" fontId="17" fillId="81" borderId="0" xfId="240" applyFill="1" applyAlignment="1">
      <alignment vertical="top"/>
    </xf>
    <xf numFmtId="0" fontId="17" fillId="81" borderId="0" xfId="240" applyFill="1"/>
    <xf numFmtId="0" fontId="196" fillId="81" borderId="0" xfId="3376" applyFont="1" applyFill="1" applyAlignment="1">
      <alignment horizontal="left" vertical="top"/>
    </xf>
    <xf numFmtId="0" fontId="17" fillId="81" borderId="0" xfId="240" applyFont="1" applyFill="1" applyAlignment="1">
      <alignment vertical="top"/>
    </xf>
    <xf numFmtId="0" fontId="27" fillId="81" borderId="0" xfId="3376" applyFont="1" applyFill="1" applyAlignment="1">
      <alignment vertical="top"/>
    </xf>
    <xf numFmtId="0" fontId="0" fillId="81" borderId="0" xfId="0" applyFill="1" applyAlignment="1">
      <alignment vertical="top"/>
    </xf>
    <xf numFmtId="0" fontId="197" fillId="81" borderId="0" xfId="0" applyFont="1" applyFill="1" applyAlignment="1">
      <alignment vertical="top"/>
    </xf>
    <xf numFmtId="0" fontId="198" fillId="81" borderId="0" xfId="0" applyFont="1" applyFill="1" applyAlignment="1">
      <alignment vertical="top"/>
    </xf>
    <xf numFmtId="0" fontId="198" fillId="81" borderId="0" xfId="0" applyFont="1" applyFill="1" applyAlignment="1">
      <alignment vertical="top"/>
    </xf>
    <xf numFmtId="0" fontId="197" fillId="81" borderId="0" xfId="0" applyFont="1" applyFill="1" applyAlignment="1">
      <alignment vertical="top"/>
    </xf>
    <xf numFmtId="0" fontId="0" fillId="81" borderId="0" xfId="0" applyFill="1" applyAlignment="1">
      <alignment vertical="top"/>
    </xf>
    <xf numFmtId="0" fontId="0" fillId="81" borderId="85" xfId="0" applyFill="1" applyBorder="1" applyAlignment="1">
      <alignment vertical="top"/>
    </xf>
    <xf numFmtId="0" fontId="197" fillId="81" borderId="81" xfId="0" applyFont="1" applyFill="1" applyBorder="1" applyAlignment="1">
      <alignment vertical="top"/>
    </xf>
    <xf numFmtId="0" fontId="197" fillId="81" borderId="82" xfId="0" applyFont="1" applyFill="1" applyBorder="1" applyAlignment="1">
      <alignment vertical="top"/>
    </xf>
    <xf numFmtId="0" fontId="197" fillId="81" borderId="83" xfId="0" applyFont="1" applyFill="1" applyBorder="1" applyAlignment="1">
      <alignment vertical="top"/>
    </xf>
    <xf numFmtId="0" fontId="197" fillId="81" borderId="84" xfId="0" applyFont="1" applyFill="1" applyBorder="1" applyAlignment="1">
      <alignment vertical="top"/>
    </xf>
    <xf numFmtId="9" fontId="197" fillId="81" borderId="81" xfId="0" applyNumberFormat="1" applyFont="1" applyFill="1" applyBorder="1" applyAlignment="1">
      <alignment vertical="top"/>
    </xf>
    <xf numFmtId="3" fontId="197" fillId="81" borderId="81" xfId="0" applyNumberFormat="1" applyFont="1" applyFill="1" applyBorder="1" applyAlignment="1">
      <alignment vertical="top"/>
    </xf>
    <xf numFmtId="0" fontId="0" fillId="81" borderId="86" xfId="0" applyFill="1" applyBorder="1" applyAlignment="1">
      <alignment vertical="top"/>
    </xf>
    <xf numFmtId="2" fontId="17" fillId="0" borderId="0" xfId="240" applyNumberFormat="1" applyAlignment="1">
      <alignment horizontal="left"/>
    </xf>
    <xf numFmtId="0" fontId="17" fillId="0" borderId="0" xfId="240" applyNumberFormat="1" applyAlignment="1">
      <alignment horizontal="left"/>
    </xf>
    <xf numFmtId="1" fontId="17" fillId="0" borderId="0" xfId="240" applyNumberFormat="1" applyAlignment="1">
      <alignment horizontal="left"/>
    </xf>
    <xf numFmtId="0" fontId="17" fillId="0" borderId="0" xfId="240" applyFont="1"/>
    <xf numFmtId="296" fontId="17" fillId="0" borderId="0" xfId="240" applyNumberFormat="1" applyAlignment="1">
      <alignment horizontal="left"/>
    </xf>
    <xf numFmtId="49" fontId="17" fillId="0" borderId="0" xfId="240" applyNumberFormat="1"/>
  </cellXfs>
  <cellStyles count="3377">
    <cellStyle name=" 1" xfId="1499"/>
    <cellStyle name="$" xfId="3"/>
    <cellStyle name="$ 2 decimals" xfId="1196"/>
    <cellStyle name="$m" xfId="4"/>
    <cellStyle name="$q" xfId="5"/>
    <cellStyle name="$q*" xfId="6"/>
    <cellStyle name="$qA" xfId="7"/>
    <cellStyle name="$qRange" xfId="8"/>
    <cellStyle name="$sign" xfId="9"/>
    <cellStyle name="%" xfId="1197"/>
    <cellStyle name="??_VERA" xfId="1198"/>
    <cellStyle name="_Balance Sheet " xfId="1500"/>
    <cellStyle name="_Book1" xfId="10"/>
    <cellStyle name="_BS " xfId="1501"/>
    <cellStyle name="_CSF" xfId="11"/>
    <cellStyle name="_DCF " xfId="1502"/>
    <cellStyle name="_QC Sheet" xfId="1199"/>
    <cellStyle name="_SUMMARY " xfId="1085"/>
    <cellStyle name="=C:\WINNT35\SYSTEM32\COMMAND.COM" xfId="1200"/>
    <cellStyle name="=C:\WINNT35\SYSTEM32\COMMAND.COM 2" xfId="1201"/>
    <cellStyle name="0" xfId="12"/>
    <cellStyle name="0%" xfId="13"/>
    <cellStyle name="0% 2" xfId="152"/>
    <cellStyle name="0% 2 2" xfId="1103"/>
    <cellStyle name="0.0" xfId="14"/>
    <cellStyle name="0.0%" xfId="15"/>
    <cellStyle name="0.00" xfId="16"/>
    <cellStyle name="0.00%" xfId="17"/>
    <cellStyle name="0_Capex &amp; Depreciation " xfId="1086"/>
    <cellStyle name="0_OMV EP 2000-2015 Consolidated " xfId="1503"/>
    <cellStyle name="0_Quarterly " xfId="1087"/>
    <cellStyle name="0_Valuing BP " xfId="1088"/>
    <cellStyle name="20% - Accent1 2" xfId="277"/>
    <cellStyle name="20% - Accent2 2" xfId="278"/>
    <cellStyle name="20% - Accent3 2" xfId="279"/>
    <cellStyle name="20% - Accent4 2" xfId="280"/>
    <cellStyle name="20% - Accent5 2" xfId="281"/>
    <cellStyle name="20% - Accent6 2" xfId="282"/>
    <cellStyle name="40% - Accent1 2" xfId="283"/>
    <cellStyle name="40% - Accent2 2" xfId="284"/>
    <cellStyle name="40% - Accent3 2" xfId="285"/>
    <cellStyle name="40% - Accent4 2" xfId="286"/>
    <cellStyle name="40% - Accent5 2" xfId="287"/>
    <cellStyle name="40% - Accent6 2" xfId="288"/>
    <cellStyle name="60% - Accent1 2" xfId="289"/>
    <cellStyle name="60% - Accent2 2" xfId="290"/>
    <cellStyle name="60% - Accent3 2" xfId="291"/>
    <cellStyle name="60% - Accent4 2" xfId="292"/>
    <cellStyle name="60% - Accent5 2" xfId="293"/>
    <cellStyle name="60% - Accent6 2" xfId="294"/>
    <cellStyle name="752131" xfId="18"/>
    <cellStyle name="Accent1 2" xfId="295"/>
    <cellStyle name="Accent2 2" xfId="296"/>
    <cellStyle name="Accent3 2" xfId="297"/>
    <cellStyle name="Accent4 2" xfId="298"/>
    <cellStyle name="Accent5 2" xfId="299"/>
    <cellStyle name="Accent6 2" xfId="300"/>
    <cellStyle name="Admin" xfId="19"/>
    <cellStyle name="AFE" xfId="20"/>
    <cellStyle name="AFE 2" xfId="252"/>
    <cellStyle name="AFE 2 2" xfId="1183"/>
    <cellStyle name="AFE 3" xfId="1041"/>
    <cellStyle name="args.style" xfId="1202"/>
    <cellStyle name="Assum [0]" xfId="1042"/>
    <cellStyle name="Assum [1]" xfId="1043"/>
    <cellStyle name="Assum percent [0]" xfId="1044"/>
    <cellStyle name="Bad 2" xfId="301"/>
    <cellStyle name="Bad 2 2" xfId="1203"/>
    <cellStyle name="Bad 2 3" xfId="1204"/>
    <cellStyle name="black bar" xfId="1205"/>
    <cellStyle name="Blue" xfId="21"/>
    <cellStyle name="Bold12" xfId="1206"/>
    <cellStyle name="Bold12 2" xfId="1207"/>
    <cellStyle name="BoldItal12" xfId="1208"/>
    <cellStyle name="BoldItal12 2" xfId="1209"/>
    <cellStyle name="Border Heavy" xfId="22"/>
    <cellStyle name="Border Thin" xfId="23"/>
    <cellStyle name="Border Thin 2" xfId="1097"/>
    <cellStyle name="Border Thin 2 2" xfId="1509"/>
    <cellStyle name="Border Thin 3" xfId="1510"/>
    <cellStyle name="Bottom Border" xfId="24"/>
    <cellStyle name="Bottom Border 2" xfId="1098"/>
    <cellStyle name="c_HardInc " xfId="1089"/>
    <cellStyle name="Calc [0]" xfId="1045"/>
    <cellStyle name="Calc [1]" xfId="1046"/>
    <cellStyle name="Calc [2]" xfId="1047"/>
    <cellStyle name="Calc [3]" xfId="1048"/>
    <cellStyle name="Calc alt [0]" xfId="1049"/>
    <cellStyle name="Calc alt [1]" xfId="1050"/>
    <cellStyle name="Calc alt [2]" xfId="1051"/>
    <cellStyle name="Calc alt [3]" xfId="1052"/>
    <cellStyle name="Calc Currency (0)" xfId="1210"/>
    <cellStyle name="Calc Currency (2)" xfId="1211"/>
    <cellStyle name="Calc Percent (0)" xfId="1212"/>
    <cellStyle name="Calc Percent (1)" xfId="1213"/>
    <cellStyle name="Calc Percent (2)" xfId="1214"/>
    <cellStyle name="Calc Units (0)" xfId="1215"/>
    <cellStyle name="Calc Units (1)" xfId="1216"/>
    <cellStyle name="Calc Units (2)" xfId="1217"/>
    <cellStyle name="Calculation 2" xfId="302"/>
    <cellStyle name="Centered Heading" xfId="25"/>
    <cellStyle name="Changeable" xfId="1218"/>
    <cellStyle name="Check Cell 2" xfId="303"/>
    <cellStyle name="Co. Names" xfId="1219"/>
    <cellStyle name="Co. Names - Bold" xfId="1220"/>
    <cellStyle name="Co. Names_SMRT Model" xfId="1221"/>
    <cellStyle name="Colhead_left" xfId="26"/>
    <cellStyle name="ColHeading" xfId="27"/>
    <cellStyle name="ColHeading 2" xfId="153"/>
    <cellStyle name="ColHeading 2 2" xfId="1104"/>
    <cellStyle name="columns" xfId="1222"/>
    <cellStyle name="Comma" xfId="1083" builtinId="3"/>
    <cellStyle name="Comma  - Style1" xfId="1223"/>
    <cellStyle name="Comma  - Style2" xfId="1224"/>
    <cellStyle name="Comma  - Style3" xfId="1225"/>
    <cellStyle name="Comma  - Style4" xfId="1226"/>
    <cellStyle name="Comma  - Style5" xfId="1227"/>
    <cellStyle name="Comma  - Style6" xfId="1228"/>
    <cellStyle name="Comma  - Style7" xfId="1229"/>
    <cellStyle name="Comma  - Style8" xfId="1230"/>
    <cellStyle name="comma (0)" xfId="1231"/>
    <cellStyle name="Comma [00]" xfId="1232"/>
    <cellStyle name="Comma [1]" xfId="1233"/>
    <cellStyle name="Comma 10" xfId="304"/>
    <cellStyle name="Comma 10 2" xfId="305"/>
    <cellStyle name="Comma 19" xfId="306"/>
    <cellStyle name="Comma 19 2" xfId="307"/>
    <cellStyle name="Comma 2" xfId="28"/>
    <cellStyle name="Comma 2 10" xfId="309"/>
    <cellStyle name="Comma 2 10 2" xfId="310"/>
    <cellStyle name="Comma 2 11" xfId="311"/>
    <cellStyle name="Comma 2 11 2" xfId="312"/>
    <cellStyle name="Comma 2 12" xfId="313"/>
    <cellStyle name="Comma 2 12 2" xfId="314"/>
    <cellStyle name="Comma 2 13" xfId="315"/>
    <cellStyle name="Comma 2 13 2" xfId="316"/>
    <cellStyle name="Comma 2 14" xfId="317"/>
    <cellStyle name="Comma 2 14 2" xfId="318"/>
    <cellStyle name="Comma 2 15" xfId="319"/>
    <cellStyle name="Comma 2 15 2" xfId="320"/>
    <cellStyle name="Comma 2 16" xfId="321"/>
    <cellStyle name="Comma 2 16 2" xfId="322"/>
    <cellStyle name="Comma 2 17" xfId="323"/>
    <cellStyle name="Comma 2 17 2" xfId="324"/>
    <cellStyle name="Comma 2 18" xfId="325"/>
    <cellStyle name="Comma 2 18 2" xfId="326"/>
    <cellStyle name="Comma 2 19" xfId="327"/>
    <cellStyle name="Comma 2 19 2" xfId="328"/>
    <cellStyle name="Comma 2 2" xfId="329"/>
    <cellStyle name="Comma 2 2 2" xfId="330"/>
    <cellStyle name="Comma 2 20" xfId="331"/>
    <cellStyle name="Comma 2 21" xfId="308"/>
    <cellStyle name="Comma 2 22" xfId="1095"/>
    <cellStyle name="Comma 2 23" xfId="1234"/>
    <cellStyle name="Comma 2 3" xfId="332"/>
    <cellStyle name="Comma 2 3 2" xfId="333"/>
    <cellStyle name="Comma 2 4" xfId="334"/>
    <cellStyle name="Comma 2 4 2" xfId="335"/>
    <cellStyle name="Comma 2 5" xfId="336"/>
    <cellStyle name="Comma 2 5 2" xfId="337"/>
    <cellStyle name="Comma 2 6" xfId="338"/>
    <cellStyle name="Comma 2 6 2" xfId="339"/>
    <cellStyle name="Comma 2 7" xfId="340"/>
    <cellStyle name="Comma 2 7 2" xfId="341"/>
    <cellStyle name="Comma 2 8" xfId="342"/>
    <cellStyle name="Comma 2 8 2" xfId="343"/>
    <cellStyle name="Comma 2 9" xfId="344"/>
    <cellStyle name="Comma 2 9 2" xfId="345"/>
    <cellStyle name="Comma 20" xfId="346"/>
    <cellStyle name="Comma 23" xfId="347"/>
    <cellStyle name="Comma 24" xfId="348"/>
    <cellStyle name="Comma 3" xfId="154"/>
    <cellStyle name="Comma 3 2" xfId="350"/>
    <cellStyle name="Comma 3 3" xfId="351"/>
    <cellStyle name="Comma 3 4" xfId="349"/>
    <cellStyle name="Comma 4" xfId="352"/>
    <cellStyle name="Comma 4 2" xfId="353"/>
    <cellStyle name="Comma 4 3" xfId="354"/>
    <cellStyle name="Comma 5" xfId="1235"/>
    <cellStyle name="Comma 6" xfId="1511"/>
    <cellStyle name="Comma 7" xfId="1512"/>
    <cellStyle name="Comma 8" xfId="1513"/>
    <cellStyle name="Comma 9" xfId="1514"/>
    <cellStyle name="Comma0" xfId="29"/>
    <cellStyle name="Company" xfId="30"/>
    <cellStyle name="CompanyName" xfId="31"/>
    <cellStyle name="Copied" xfId="1236"/>
    <cellStyle name="curr" xfId="1237"/>
    <cellStyle name="CurRatio" xfId="32"/>
    <cellStyle name="CurRatio 2" xfId="155"/>
    <cellStyle name="CurRatio 2 2" xfId="1105"/>
    <cellStyle name="Currency" xfId="1084" builtinId="4"/>
    <cellStyle name="Currency [00]" xfId="1238"/>
    <cellStyle name="Currency [1]" xfId="1239"/>
    <cellStyle name="Currency [2]" xfId="34"/>
    <cellStyle name="Currency 10" xfId="242"/>
    <cellStyle name="Currency 10 2" xfId="1174"/>
    <cellStyle name="Currency 11" xfId="220"/>
    <cellStyle name="Currency 11 2" xfId="1161"/>
    <cellStyle name="Currency 12" xfId="248"/>
    <cellStyle name="Currency 12 2" xfId="1180"/>
    <cellStyle name="Currency 13" xfId="254"/>
    <cellStyle name="Currency 13 2" xfId="1185"/>
    <cellStyle name="Currency 14" xfId="245"/>
    <cellStyle name="Currency 14 2" xfId="1177"/>
    <cellStyle name="Currency 15" xfId="260"/>
    <cellStyle name="Currency 15 2" xfId="1188"/>
    <cellStyle name="Currency 16" xfId="249"/>
    <cellStyle name="Currency 16 2" xfId="1181"/>
    <cellStyle name="Currency 17" xfId="261"/>
    <cellStyle name="Currency 17 2" xfId="1189"/>
    <cellStyle name="Currency 18" xfId="217"/>
    <cellStyle name="Currency 18 2" xfId="1158"/>
    <cellStyle name="Currency 19" xfId="272"/>
    <cellStyle name="Currency 19 2" xfId="1193"/>
    <cellStyle name="Currency 2" xfId="33"/>
    <cellStyle name="Currency 2 10" xfId="355"/>
    <cellStyle name="Currency 2 10 2" xfId="356"/>
    <cellStyle name="Currency 2 11" xfId="357"/>
    <cellStyle name="Currency 2 11 2" xfId="358"/>
    <cellStyle name="Currency 2 12" xfId="359"/>
    <cellStyle name="Currency 2 12 2" xfId="360"/>
    <cellStyle name="Currency 2 13" xfId="361"/>
    <cellStyle name="Currency 2 13 2" xfId="362"/>
    <cellStyle name="Currency 2 14" xfId="363"/>
    <cellStyle name="Currency 2 14 2" xfId="364"/>
    <cellStyle name="Currency 2 15" xfId="365"/>
    <cellStyle name="Currency 2 15 2" xfId="366"/>
    <cellStyle name="Currency 2 16" xfId="367"/>
    <cellStyle name="Currency 2 16 2" xfId="368"/>
    <cellStyle name="Currency 2 17" xfId="369"/>
    <cellStyle name="Currency 2 17 2" xfId="370"/>
    <cellStyle name="Currency 2 18" xfId="371"/>
    <cellStyle name="Currency 2 18 2" xfId="372"/>
    <cellStyle name="Currency 2 19" xfId="373"/>
    <cellStyle name="Currency 2 19 2" xfId="374"/>
    <cellStyle name="Currency 2 2" xfId="375"/>
    <cellStyle name="Currency 2 2 2" xfId="376"/>
    <cellStyle name="Currency 2 20" xfId="377"/>
    <cellStyle name="Currency 2 20 2" xfId="378"/>
    <cellStyle name="Currency 2 21" xfId="379"/>
    <cellStyle name="Currency 2 21 2" xfId="380"/>
    <cellStyle name="Currency 2 22" xfId="1240"/>
    <cellStyle name="Currency 2 23" xfId="1241"/>
    <cellStyle name="Currency 2 3" xfId="381"/>
    <cellStyle name="Currency 2 3 2" xfId="382"/>
    <cellStyle name="Currency 2 3 2 2" xfId="383"/>
    <cellStyle name="Currency 2 3 3" xfId="384"/>
    <cellStyle name="Currency 2 4" xfId="385"/>
    <cellStyle name="Currency 2 4 2" xfId="386"/>
    <cellStyle name="Currency 2 5" xfId="387"/>
    <cellStyle name="Currency 2 5 2" xfId="388"/>
    <cellStyle name="Currency 2 6" xfId="389"/>
    <cellStyle name="Currency 2 6 2" xfId="390"/>
    <cellStyle name="Currency 2 7" xfId="391"/>
    <cellStyle name="Currency 2 7 2" xfId="392"/>
    <cellStyle name="Currency 2 8" xfId="393"/>
    <cellStyle name="Currency 2 8 2" xfId="394"/>
    <cellStyle name="Currency 2 9" xfId="395"/>
    <cellStyle name="Currency 2 9 2" xfId="396"/>
    <cellStyle name="Currency 20" xfId="397"/>
    <cellStyle name="Currency 20 2" xfId="398"/>
    <cellStyle name="Currency 21" xfId="1053"/>
    <cellStyle name="Currency 22" xfId="1079"/>
    <cellStyle name="Currency 23" xfId="399"/>
    <cellStyle name="Currency 23 2" xfId="400"/>
    <cellStyle name="Currency 24" xfId="1515"/>
    <cellStyle name="Currency 27" xfId="401"/>
    <cellStyle name="Currency 3" xfId="156"/>
    <cellStyle name="Currency 3 2" xfId="402"/>
    <cellStyle name="Currency 3 3" xfId="1106"/>
    <cellStyle name="Currency 4" xfId="193"/>
    <cellStyle name="Currency 4 2" xfId="403"/>
    <cellStyle name="Currency 4 3" xfId="276"/>
    <cellStyle name="Currency 5" xfId="167"/>
    <cellStyle name="Currency 5 2" xfId="1117"/>
    <cellStyle name="Currency 6" xfId="209"/>
    <cellStyle name="Currency 6 2" xfId="1150"/>
    <cellStyle name="Currency 7" xfId="190"/>
    <cellStyle name="Currency 7 2" xfId="1138"/>
    <cellStyle name="Currency 8" xfId="213"/>
    <cellStyle name="Currency 8 2" xfId="1154"/>
    <cellStyle name="Currency 9" xfId="224"/>
    <cellStyle name="Currency 9 2" xfId="1164"/>
    <cellStyle name="Currency0" xfId="1242"/>
    <cellStyle name="Currency1" xfId="1243"/>
    <cellStyle name="Currency2" xfId="1244"/>
    <cellStyle name="CustomStyle1" xfId="1245"/>
    <cellStyle name="CustomStyle10" xfId="1246"/>
    <cellStyle name="CustomStyle11" xfId="1247"/>
    <cellStyle name="CustomStyle12" xfId="1248"/>
    <cellStyle name="CustomStyle13" xfId="1249"/>
    <cellStyle name="CustomStyle14" xfId="1250"/>
    <cellStyle name="CustomStyle15" xfId="1251"/>
    <cellStyle name="CustomStyle16" xfId="1252"/>
    <cellStyle name="CustomStyle17" xfId="1253"/>
    <cellStyle name="CustomStyle18" xfId="1254"/>
    <cellStyle name="CustomStyle19" xfId="1255"/>
    <cellStyle name="CustomStyle2" xfId="1256"/>
    <cellStyle name="CustomStyle20" xfId="1257"/>
    <cellStyle name="CustomStyle21" xfId="1258"/>
    <cellStyle name="CustomStyle22" xfId="1259"/>
    <cellStyle name="CustomStyle23" xfId="1260"/>
    <cellStyle name="CustomStyle24" xfId="1261"/>
    <cellStyle name="CustomStyle25" xfId="1262"/>
    <cellStyle name="CustomStyle26" xfId="1263"/>
    <cellStyle name="CustomStyle27" xfId="1264"/>
    <cellStyle name="CustomStyle28" xfId="1265"/>
    <cellStyle name="CustomStyle29" xfId="1266"/>
    <cellStyle name="CustomStyle3" xfId="1267"/>
    <cellStyle name="CustomStyle30" xfId="1268"/>
    <cellStyle name="CustomStyle31" xfId="1269"/>
    <cellStyle name="CustomStyle32" xfId="1270"/>
    <cellStyle name="CustomStyle33" xfId="1271"/>
    <cellStyle name="CustomStyle34" xfId="1272"/>
    <cellStyle name="CustomStyle35" xfId="1273"/>
    <cellStyle name="CustomStyle36" xfId="1274"/>
    <cellStyle name="CustomStyle37" xfId="1275"/>
    <cellStyle name="CustomStyle38" xfId="1276"/>
    <cellStyle name="CustomStyle39" xfId="1277"/>
    <cellStyle name="CustomStyle4" xfId="1278"/>
    <cellStyle name="CustomStyle40" xfId="1279"/>
    <cellStyle name="CustomStyle41" xfId="1280"/>
    <cellStyle name="CustomStyle42" xfId="1281"/>
    <cellStyle name="CustomStyle43" xfId="1282"/>
    <cellStyle name="CustomStyle44" xfId="1283"/>
    <cellStyle name="CustomStyle45" xfId="1284"/>
    <cellStyle name="CustomStyle46" xfId="1285"/>
    <cellStyle name="CustomStyle47" xfId="1286"/>
    <cellStyle name="CustomStyle48" xfId="1287"/>
    <cellStyle name="CustomStyle49" xfId="1288"/>
    <cellStyle name="CustomStyle5" xfId="1289"/>
    <cellStyle name="CustomStyle50" xfId="1290"/>
    <cellStyle name="CustomStyle51" xfId="1291"/>
    <cellStyle name="CustomStyle52" xfId="1292"/>
    <cellStyle name="CustomStyle53" xfId="1293"/>
    <cellStyle name="CustomStyle54" xfId="1294"/>
    <cellStyle name="CustomStyle55" xfId="1295"/>
    <cellStyle name="CustomStyle56" xfId="1296"/>
    <cellStyle name="CustomStyle6" xfId="1297"/>
    <cellStyle name="CustomStyle7" xfId="1298"/>
    <cellStyle name="CustomStyle8" xfId="1299"/>
    <cellStyle name="CustomStyle9" xfId="1300"/>
    <cellStyle name="d_yield" xfId="35"/>
    <cellStyle name="data" xfId="36"/>
    <cellStyle name="data 2" xfId="157"/>
    <cellStyle name="data 2 2" xfId="1107"/>
    <cellStyle name="data top 2" xfId="37"/>
    <cellStyle name="data top 2 2" xfId="158"/>
    <cellStyle name="data top 2 2 2" xfId="1108"/>
    <cellStyle name="data_Book1" xfId="1054"/>
    <cellStyle name="Date" xfId="38"/>
    <cellStyle name="Date D-M" xfId="39"/>
    <cellStyle name="Date D-M 2" xfId="159"/>
    <cellStyle name="Date D-M 2 2" xfId="1109"/>
    <cellStyle name="Date Short" xfId="1301"/>
    <cellStyle name="date_ACOMPS" xfId="1302"/>
    <cellStyle name="Date2" xfId="40"/>
    <cellStyle name="Date2 2" xfId="160"/>
    <cellStyle name="Date2 2 2" xfId="1110"/>
    <cellStyle name="Dates" xfId="1303"/>
    <cellStyle name="Default [0]" xfId="41"/>
    <cellStyle name="Default [0] 2" xfId="161"/>
    <cellStyle name="Default [0] 2 2" xfId="1111"/>
    <cellStyle name="Default [3]" xfId="1055"/>
    <cellStyle name="Detail GL" xfId="1304"/>
    <cellStyle name="Detail GL 2" xfId="1305"/>
    <cellStyle name="Dollar" xfId="42"/>
    <cellStyle name="Dollar 2" xfId="162"/>
    <cellStyle name="Dollar 2 2" xfId="1112"/>
    <cellStyle name="Dollars" xfId="43"/>
    <cellStyle name="Dollars []" xfId="1306"/>
    <cellStyle name="DoubleScore" xfId="44"/>
    <cellStyle name="Enter Currency (0)" xfId="1307"/>
    <cellStyle name="Enter Currency (2)" xfId="1308"/>
    <cellStyle name="Enter Units (0)" xfId="1309"/>
    <cellStyle name="Enter Units (1)" xfId="1310"/>
    <cellStyle name="Enter Units (2)" xfId="1311"/>
    <cellStyle name="Entered" xfId="1312"/>
    <cellStyle name="eps" xfId="45"/>
    <cellStyle name="EPS (Model)" xfId="1313"/>
    <cellStyle name="eps$" xfId="46"/>
    <cellStyle name="eps$A" xfId="47"/>
    <cellStyle name="eps$E" xfId="48"/>
    <cellStyle name="EPS_A" xfId="1314"/>
    <cellStyle name="epsA" xfId="49"/>
    <cellStyle name="epsE" xfId="50"/>
    <cellStyle name="Euro" xfId="51"/>
    <cellStyle name="Euro 2" xfId="404"/>
    <cellStyle name="Explanatory Text 2" xfId="405"/>
    <cellStyle name="export percent [1]" xfId="52"/>
    <cellStyle name="export percent [1] 2" xfId="163"/>
    <cellStyle name="export percent [1] 2 2" xfId="1113"/>
    <cellStyle name="F [0]" xfId="53"/>
    <cellStyle name="F [0] 2" xfId="164"/>
    <cellStyle name="F [0] 2 2" xfId="1114"/>
    <cellStyle name="F [1]" xfId="1056"/>
    <cellStyle name="F [2]" xfId="54"/>
    <cellStyle name="F [2] 2" xfId="165"/>
    <cellStyle name="F [2] 2 2" xfId="1115"/>
    <cellStyle name="F [3]" xfId="1057"/>
    <cellStyle name="F2" xfId="1315"/>
    <cellStyle name="F2 - Style1" xfId="1316"/>
    <cellStyle name="F2_laroux" xfId="1317"/>
    <cellStyle name="F3" xfId="1318"/>
    <cellStyle name="F4" xfId="1319"/>
    <cellStyle name="F5" xfId="1320"/>
    <cellStyle name="F5 - Style2" xfId="1321"/>
    <cellStyle name="F5_laroux" xfId="1322"/>
    <cellStyle name="F6" xfId="1323"/>
    <cellStyle name="F7" xfId="1324"/>
    <cellStyle name="F8" xfId="1325"/>
    <cellStyle name="Fail" xfId="1516"/>
    <cellStyle name="Financials" xfId="1326"/>
    <cellStyle name="Financials 2" xfId="1327"/>
    <cellStyle name="FiscalPeriod" xfId="1517"/>
    <cellStyle name="Fixed" xfId="55"/>
    <cellStyle name="Fixed [0]" xfId="56"/>
    <cellStyle name="Fixed [2)" xfId="57"/>
    <cellStyle name="Fixed 10" xfId="227"/>
    <cellStyle name="Fixed 10 2" xfId="1165"/>
    <cellStyle name="Fixed 11" xfId="238"/>
    <cellStyle name="Fixed 11 2" xfId="1170"/>
    <cellStyle name="Fixed 12" xfId="222"/>
    <cellStyle name="Fixed 12 2" xfId="1163"/>
    <cellStyle name="Fixed 13" xfId="236"/>
    <cellStyle name="Fixed 13 2" xfId="1168"/>
    <cellStyle name="Fixed 14" xfId="219"/>
    <cellStyle name="Fixed 14 2" xfId="1160"/>
    <cellStyle name="Fixed 15" xfId="237"/>
    <cellStyle name="Fixed 15 2" xfId="1169"/>
    <cellStyle name="Fixed 16" xfId="218"/>
    <cellStyle name="Fixed 16 2" xfId="1159"/>
    <cellStyle name="Fixed 17" xfId="262"/>
    <cellStyle name="Fixed 17 2" xfId="1190"/>
    <cellStyle name="Fixed 18" xfId="270"/>
    <cellStyle name="Fixed 18 2" xfId="1191"/>
    <cellStyle name="Fixed 2" xfId="166"/>
    <cellStyle name="Fixed 2 2" xfId="1116"/>
    <cellStyle name="Fixed 3" xfId="186"/>
    <cellStyle name="Fixed 3 2" xfId="1134"/>
    <cellStyle name="Fixed 4" xfId="188"/>
    <cellStyle name="Fixed 4 2" xfId="1136"/>
    <cellStyle name="Fixed 5" xfId="201"/>
    <cellStyle name="Fixed 5 2" xfId="1146"/>
    <cellStyle name="Fixed 6" xfId="199"/>
    <cellStyle name="Fixed 6 2" xfId="1144"/>
    <cellStyle name="Fixed 7" xfId="210"/>
    <cellStyle name="Fixed 7 2" xfId="1151"/>
    <cellStyle name="Fixed 8" xfId="229"/>
    <cellStyle name="Fixed 8 2" xfId="1167"/>
    <cellStyle name="Fixed 9" xfId="239"/>
    <cellStyle name="Fixed 9 2" xfId="1171"/>
    <cellStyle name="Fixed_AstraZeneca Model - 15-Dec" xfId="58"/>
    <cellStyle name="Footnote" xfId="59"/>
    <cellStyle name="Footnotes" xfId="1328"/>
    <cellStyle name="Fraction" xfId="1329"/>
    <cellStyle name="fy_eps$" xfId="60"/>
    <cellStyle name="g_rate" xfId="61"/>
    <cellStyle name="g_rate_AOL_Model_Master" xfId="1330"/>
    <cellStyle name="General" xfId="1331"/>
    <cellStyle name="Good 2" xfId="406"/>
    <cellStyle name="Good 2 2" xfId="1332"/>
    <cellStyle name="Good 2 3" xfId="1333"/>
    <cellStyle name="Grey" xfId="62"/>
    <cellStyle name="Header" xfId="63"/>
    <cellStyle name="Header 2" xfId="1334"/>
    <cellStyle name="Header1" xfId="64"/>
    <cellStyle name="Header2" xfId="65"/>
    <cellStyle name="Header2 10" xfId="1518"/>
    <cellStyle name="Header2 11" xfId="1519"/>
    <cellStyle name="Header2 2" xfId="1335"/>
    <cellStyle name="Header2 2 10" xfId="1520"/>
    <cellStyle name="Header2 2 2" xfId="1521"/>
    <cellStyle name="Header2 2 3" xfId="1522"/>
    <cellStyle name="Header2 2 4" xfId="1523"/>
    <cellStyle name="Header2 2 5" xfId="1524"/>
    <cellStyle name="Header2 2 6" xfId="1525"/>
    <cellStyle name="Header2 2 7" xfId="1526"/>
    <cellStyle name="Header2 2 8" xfId="1527"/>
    <cellStyle name="Header2 2 9" xfId="1528"/>
    <cellStyle name="Header2 3" xfId="1336"/>
    <cellStyle name="Header2 3 2" xfId="1529"/>
    <cellStyle name="Header2 3 3" xfId="1530"/>
    <cellStyle name="Header2 3 4" xfId="1531"/>
    <cellStyle name="Header2 3 5" xfId="1532"/>
    <cellStyle name="Header2 3 6" xfId="1533"/>
    <cellStyle name="Header2 3 7" xfId="1534"/>
    <cellStyle name="Header2 3 8" xfId="1535"/>
    <cellStyle name="Header2 3 9" xfId="1536"/>
    <cellStyle name="Header2 4" xfId="1537"/>
    <cellStyle name="Header2 5" xfId="1538"/>
    <cellStyle name="Header2 6" xfId="1539"/>
    <cellStyle name="Header2 7" xfId="1540"/>
    <cellStyle name="Header2 8" xfId="1541"/>
    <cellStyle name="Header2 9" xfId="1542"/>
    <cellStyle name="Heading" xfId="66"/>
    <cellStyle name="Heading 1 2" xfId="67"/>
    <cellStyle name="Heading 1 2 2" xfId="407"/>
    <cellStyle name="Heading 1 3" xfId="171"/>
    <cellStyle name="Heading 1 3 2" xfId="1120"/>
    <cellStyle name="Heading 2 2" xfId="68"/>
    <cellStyle name="Heading 2 2 2" xfId="408"/>
    <cellStyle name="Heading 2 3" xfId="172"/>
    <cellStyle name="Heading 2 3 2" xfId="1121"/>
    <cellStyle name="Heading 3 2" xfId="409"/>
    <cellStyle name="Heading 4 2" xfId="410"/>
    <cellStyle name="HEADINGS" xfId="1337"/>
    <cellStyle name="HEADINGSTOP" xfId="1338"/>
    <cellStyle name="Heavy Top Line" xfId="1339"/>
    <cellStyle name="Hidden" xfId="1543"/>
    <cellStyle name="Hyperlink 2" xfId="204"/>
    <cellStyle name="Hyperlink 3" xfId="1195"/>
    <cellStyle name="Hyperlink 3 2" xfId="1340"/>
    <cellStyle name="Import [0]" xfId="69"/>
    <cellStyle name="Import [0] 2" xfId="173"/>
    <cellStyle name="Import [0] 2 2" xfId="1122"/>
    <cellStyle name="Import percent  [1]" xfId="1058"/>
    <cellStyle name="Input [0]" xfId="71"/>
    <cellStyle name="Input [0] 2" xfId="175"/>
    <cellStyle name="Input [0] 2 2" xfId="1123"/>
    <cellStyle name="Input [1]" xfId="1060"/>
    <cellStyle name="Input [2]" xfId="72"/>
    <cellStyle name="Input [2] 2" xfId="176"/>
    <cellStyle name="Input [2] 2 2" xfId="1124"/>
    <cellStyle name="Input [3]" xfId="73"/>
    <cellStyle name="Input [3] 2" xfId="177"/>
    <cellStyle name="Input [3] 2 2" xfId="1125"/>
    <cellStyle name="Input [yellow]" xfId="74"/>
    <cellStyle name="Input [yellow] 10" xfId="1544"/>
    <cellStyle name="Input [yellow] 11" xfId="1545"/>
    <cellStyle name="Input [yellow] 2" xfId="1341"/>
    <cellStyle name="Input [yellow] 2 10" xfId="1546"/>
    <cellStyle name="Input [yellow] 2 2" xfId="1547"/>
    <cellStyle name="Input [yellow] 2 3" xfId="1548"/>
    <cellStyle name="Input [yellow] 2 4" xfId="1549"/>
    <cellStyle name="Input [yellow] 2 5" xfId="1550"/>
    <cellStyle name="Input [yellow] 2 6" xfId="1551"/>
    <cellStyle name="Input [yellow] 2 7" xfId="1552"/>
    <cellStyle name="Input [yellow] 2 8" xfId="1553"/>
    <cellStyle name="Input [yellow] 2 9" xfId="1554"/>
    <cellStyle name="Input [yellow] 3" xfId="1342"/>
    <cellStyle name="Input [yellow] 3 2" xfId="1555"/>
    <cellStyle name="Input [yellow] 3 3" xfId="1556"/>
    <cellStyle name="Input [yellow] 3 4" xfId="1557"/>
    <cellStyle name="Input [yellow] 3 5" xfId="1558"/>
    <cellStyle name="Input [yellow] 3 6" xfId="1559"/>
    <cellStyle name="Input [yellow] 3 7" xfId="1560"/>
    <cellStyle name="Input [yellow] 3 8" xfId="1561"/>
    <cellStyle name="Input [yellow] 3 9" xfId="1562"/>
    <cellStyle name="Input [yellow] 4" xfId="1563"/>
    <cellStyle name="Input [yellow] 5" xfId="1564"/>
    <cellStyle name="Input [yellow] 6" xfId="1565"/>
    <cellStyle name="Input [yellow] 7" xfId="1566"/>
    <cellStyle name="Input [yellow] 8" xfId="1567"/>
    <cellStyle name="Input [yellow] 9" xfId="1568"/>
    <cellStyle name="Input 10" xfId="235"/>
    <cellStyle name="Input 10 10" xfId="1569"/>
    <cellStyle name="Input 10 11" xfId="1570"/>
    <cellStyle name="Input 10 2" xfId="1343"/>
    <cellStyle name="Input 10 2 10" xfId="1571"/>
    <cellStyle name="Input 10 2 2" xfId="1572"/>
    <cellStyle name="Input 10 2 3" xfId="1573"/>
    <cellStyle name="Input 10 2 4" xfId="1574"/>
    <cellStyle name="Input 10 2 5" xfId="1575"/>
    <cellStyle name="Input 10 2 6" xfId="1576"/>
    <cellStyle name="Input 10 2 7" xfId="1577"/>
    <cellStyle name="Input 10 2 8" xfId="1578"/>
    <cellStyle name="Input 10 2 9" xfId="1579"/>
    <cellStyle name="Input 10 3" xfId="1344"/>
    <cellStyle name="Input 10 3 2" xfId="1580"/>
    <cellStyle name="Input 10 3 3" xfId="1581"/>
    <cellStyle name="Input 10 3 4" xfId="1582"/>
    <cellStyle name="Input 10 3 5" xfId="1583"/>
    <cellStyle name="Input 10 3 6" xfId="1584"/>
    <cellStyle name="Input 10 3 7" xfId="1585"/>
    <cellStyle name="Input 10 3 8" xfId="1586"/>
    <cellStyle name="Input 10 3 9" xfId="1587"/>
    <cellStyle name="Input 10 4" xfId="1588"/>
    <cellStyle name="Input 10 5" xfId="1589"/>
    <cellStyle name="Input 10 6" xfId="1590"/>
    <cellStyle name="Input 10 7" xfId="1591"/>
    <cellStyle name="Input 10 8" xfId="1592"/>
    <cellStyle name="Input 10 9" xfId="1593"/>
    <cellStyle name="Input 11" xfId="230"/>
    <cellStyle name="Input 11 10" xfId="1594"/>
    <cellStyle name="Input 11 11" xfId="1595"/>
    <cellStyle name="Input 11 2" xfId="1345"/>
    <cellStyle name="Input 11 2 10" xfId="1596"/>
    <cellStyle name="Input 11 2 2" xfId="1597"/>
    <cellStyle name="Input 11 2 3" xfId="1598"/>
    <cellStyle name="Input 11 2 4" xfId="1599"/>
    <cellStyle name="Input 11 2 5" xfId="1600"/>
    <cellStyle name="Input 11 2 6" xfId="1601"/>
    <cellStyle name="Input 11 2 7" xfId="1602"/>
    <cellStyle name="Input 11 2 8" xfId="1603"/>
    <cellStyle name="Input 11 2 9" xfId="1604"/>
    <cellStyle name="Input 11 3" xfId="1346"/>
    <cellStyle name="Input 11 3 2" xfId="1605"/>
    <cellStyle name="Input 11 3 3" xfId="1606"/>
    <cellStyle name="Input 11 3 4" xfId="1607"/>
    <cellStyle name="Input 11 3 5" xfId="1608"/>
    <cellStyle name="Input 11 3 6" xfId="1609"/>
    <cellStyle name="Input 11 3 7" xfId="1610"/>
    <cellStyle name="Input 11 3 8" xfId="1611"/>
    <cellStyle name="Input 11 3 9" xfId="1612"/>
    <cellStyle name="Input 11 4" xfId="1613"/>
    <cellStyle name="Input 11 5" xfId="1614"/>
    <cellStyle name="Input 11 6" xfId="1615"/>
    <cellStyle name="Input 11 7" xfId="1616"/>
    <cellStyle name="Input 11 8" xfId="1617"/>
    <cellStyle name="Input 11 9" xfId="1618"/>
    <cellStyle name="Input 12" xfId="233"/>
    <cellStyle name="Input 12 10" xfId="1619"/>
    <cellStyle name="Input 12 11" xfId="1620"/>
    <cellStyle name="Input 12 2" xfId="1347"/>
    <cellStyle name="Input 12 2 10" xfId="1621"/>
    <cellStyle name="Input 12 2 2" xfId="1622"/>
    <cellStyle name="Input 12 2 3" xfId="1623"/>
    <cellStyle name="Input 12 2 4" xfId="1624"/>
    <cellStyle name="Input 12 2 5" xfId="1625"/>
    <cellStyle name="Input 12 2 6" xfId="1626"/>
    <cellStyle name="Input 12 2 7" xfId="1627"/>
    <cellStyle name="Input 12 2 8" xfId="1628"/>
    <cellStyle name="Input 12 2 9" xfId="1629"/>
    <cellStyle name="Input 12 3" xfId="1348"/>
    <cellStyle name="Input 12 3 2" xfId="1630"/>
    <cellStyle name="Input 12 3 3" xfId="1631"/>
    <cellStyle name="Input 12 3 4" xfId="1632"/>
    <cellStyle name="Input 12 3 5" xfId="1633"/>
    <cellStyle name="Input 12 3 6" xfId="1634"/>
    <cellStyle name="Input 12 3 7" xfId="1635"/>
    <cellStyle name="Input 12 3 8" xfId="1636"/>
    <cellStyle name="Input 12 3 9" xfId="1637"/>
    <cellStyle name="Input 12 4" xfId="1638"/>
    <cellStyle name="Input 12 5" xfId="1639"/>
    <cellStyle name="Input 12 6" xfId="1640"/>
    <cellStyle name="Input 12 7" xfId="1641"/>
    <cellStyle name="Input 12 8" xfId="1642"/>
    <cellStyle name="Input 12 9" xfId="1643"/>
    <cellStyle name="Input 13" xfId="226"/>
    <cellStyle name="Input 13 10" xfId="1644"/>
    <cellStyle name="Input 13 11" xfId="1645"/>
    <cellStyle name="Input 13 2" xfId="1349"/>
    <cellStyle name="Input 13 2 10" xfId="1646"/>
    <cellStyle name="Input 13 2 2" xfId="1647"/>
    <cellStyle name="Input 13 2 3" xfId="1648"/>
    <cellStyle name="Input 13 2 4" xfId="1649"/>
    <cellStyle name="Input 13 2 5" xfId="1650"/>
    <cellStyle name="Input 13 2 6" xfId="1651"/>
    <cellStyle name="Input 13 2 7" xfId="1652"/>
    <cellStyle name="Input 13 2 8" xfId="1653"/>
    <cellStyle name="Input 13 2 9" xfId="1654"/>
    <cellStyle name="Input 13 3" xfId="1350"/>
    <cellStyle name="Input 13 3 2" xfId="1655"/>
    <cellStyle name="Input 13 3 3" xfId="1656"/>
    <cellStyle name="Input 13 3 4" xfId="1657"/>
    <cellStyle name="Input 13 3 5" xfId="1658"/>
    <cellStyle name="Input 13 3 6" xfId="1659"/>
    <cellStyle name="Input 13 3 7" xfId="1660"/>
    <cellStyle name="Input 13 3 8" xfId="1661"/>
    <cellStyle name="Input 13 3 9" xfId="1662"/>
    <cellStyle name="Input 13 4" xfId="1663"/>
    <cellStyle name="Input 13 5" xfId="1664"/>
    <cellStyle name="Input 13 6" xfId="1665"/>
    <cellStyle name="Input 13 7" xfId="1666"/>
    <cellStyle name="Input 13 8" xfId="1667"/>
    <cellStyle name="Input 13 9" xfId="1668"/>
    <cellStyle name="Input 14" xfId="232"/>
    <cellStyle name="Input 14 10" xfId="1669"/>
    <cellStyle name="Input 14 11" xfId="1670"/>
    <cellStyle name="Input 14 2" xfId="1351"/>
    <cellStyle name="Input 14 2 10" xfId="1671"/>
    <cellStyle name="Input 14 2 2" xfId="1672"/>
    <cellStyle name="Input 14 2 3" xfId="1673"/>
    <cellStyle name="Input 14 2 4" xfId="1674"/>
    <cellStyle name="Input 14 2 5" xfId="1675"/>
    <cellStyle name="Input 14 2 6" xfId="1676"/>
    <cellStyle name="Input 14 2 7" xfId="1677"/>
    <cellStyle name="Input 14 2 8" xfId="1678"/>
    <cellStyle name="Input 14 2 9" xfId="1679"/>
    <cellStyle name="Input 14 3" xfId="1352"/>
    <cellStyle name="Input 14 3 2" xfId="1680"/>
    <cellStyle name="Input 14 3 3" xfId="1681"/>
    <cellStyle name="Input 14 3 4" xfId="1682"/>
    <cellStyle name="Input 14 3 5" xfId="1683"/>
    <cellStyle name="Input 14 3 6" xfId="1684"/>
    <cellStyle name="Input 14 3 7" xfId="1685"/>
    <cellStyle name="Input 14 3 8" xfId="1686"/>
    <cellStyle name="Input 14 3 9" xfId="1687"/>
    <cellStyle name="Input 14 4" xfId="1688"/>
    <cellStyle name="Input 14 5" xfId="1689"/>
    <cellStyle name="Input 14 6" xfId="1690"/>
    <cellStyle name="Input 14 7" xfId="1691"/>
    <cellStyle name="Input 14 8" xfId="1692"/>
    <cellStyle name="Input 14 9" xfId="1693"/>
    <cellStyle name="Input 15" xfId="225"/>
    <cellStyle name="Input 15 10" xfId="1694"/>
    <cellStyle name="Input 15 11" xfId="1695"/>
    <cellStyle name="Input 15 2" xfId="1353"/>
    <cellStyle name="Input 15 2 10" xfId="1696"/>
    <cellStyle name="Input 15 2 2" xfId="1697"/>
    <cellStyle name="Input 15 2 3" xfId="1698"/>
    <cellStyle name="Input 15 2 4" xfId="1699"/>
    <cellStyle name="Input 15 2 5" xfId="1700"/>
    <cellStyle name="Input 15 2 6" xfId="1701"/>
    <cellStyle name="Input 15 2 7" xfId="1702"/>
    <cellStyle name="Input 15 2 8" xfId="1703"/>
    <cellStyle name="Input 15 2 9" xfId="1704"/>
    <cellStyle name="Input 15 3" xfId="1354"/>
    <cellStyle name="Input 15 3 2" xfId="1705"/>
    <cellStyle name="Input 15 3 3" xfId="1706"/>
    <cellStyle name="Input 15 3 4" xfId="1707"/>
    <cellStyle name="Input 15 3 5" xfId="1708"/>
    <cellStyle name="Input 15 3 6" xfId="1709"/>
    <cellStyle name="Input 15 3 7" xfId="1710"/>
    <cellStyle name="Input 15 3 8" xfId="1711"/>
    <cellStyle name="Input 15 3 9" xfId="1712"/>
    <cellStyle name="Input 15 4" xfId="1713"/>
    <cellStyle name="Input 15 5" xfId="1714"/>
    <cellStyle name="Input 15 6" xfId="1715"/>
    <cellStyle name="Input 15 7" xfId="1716"/>
    <cellStyle name="Input 15 8" xfId="1717"/>
    <cellStyle name="Input 15 9" xfId="1718"/>
    <cellStyle name="Input 16" xfId="231"/>
    <cellStyle name="Input 16 10" xfId="1719"/>
    <cellStyle name="Input 16 11" xfId="1720"/>
    <cellStyle name="Input 16 2" xfId="1355"/>
    <cellStyle name="Input 16 2 10" xfId="1721"/>
    <cellStyle name="Input 16 2 2" xfId="1722"/>
    <cellStyle name="Input 16 2 3" xfId="1723"/>
    <cellStyle name="Input 16 2 4" xfId="1724"/>
    <cellStyle name="Input 16 2 5" xfId="1725"/>
    <cellStyle name="Input 16 2 6" xfId="1726"/>
    <cellStyle name="Input 16 2 7" xfId="1727"/>
    <cellStyle name="Input 16 2 8" xfId="1728"/>
    <cellStyle name="Input 16 2 9" xfId="1729"/>
    <cellStyle name="Input 16 3" xfId="1356"/>
    <cellStyle name="Input 16 3 2" xfId="1730"/>
    <cellStyle name="Input 16 3 3" xfId="1731"/>
    <cellStyle name="Input 16 3 4" xfId="1732"/>
    <cellStyle name="Input 16 3 5" xfId="1733"/>
    <cellStyle name="Input 16 3 6" xfId="1734"/>
    <cellStyle name="Input 16 3 7" xfId="1735"/>
    <cellStyle name="Input 16 3 8" xfId="1736"/>
    <cellStyle name="Input 16 3 9" xfId="1737"/>
    <cellStyle name="Input 16 4" xfId="1738"/>
    <cellStyle name="Input 16 5" xfId="1739"/>
    <cellStyle name="Input 16 6" xfId="1740"/>
    <cellStyle name="Input 16 7" xfId="1741"/>
    <cellStyle name="Input 16 8" xfId="1742"/>
    <cellStyle name="Input 16 9" xfId="1743"/>
    <cellStyle name="Input 17" xfId="223"/>
    <cellStyle name="Input 17 10" xfId="1744"/>
    <cellStyle name="Input 17 11" xfId="1745"/>
    <cellStyle name="Input 17 2" xfId="1357"/>
    <cellStyle name="Input 17 2 10" xfId="1746"/>
    <cellStyle name="Input 17 2 2" xfId="1747"/>
    <cellStyle name="Input 17 2 3" xfId="1748"/>
    <cellStyle name="Input 17 2 4" xfId="1749"/>
    <cellStyle name="Input 17 2 5" xfId="1750"/>
    <cellStyle name="Input 17 2 6" xfId="1751"/>
    <cellStyle name="Input 17 2 7" xfId="1752"/>
    <cellStyle name="Input 17 2 8" xfId="1753"/>
    <cellStyle name="Input 17 2 9" xfId="1754"/>
    <cellStyle name="Input 17 3" xfId="1358"/>
    <cellStyle name="Input 17 3 2" xfId="1755"/>
    <cellStyle name="Input 17 3 3" xfId="1756"/>
    <cellStyle name="Input 17 3 4" xfId="1757"/>
    <cellStyle name="Input 17 3 5" xfId="1758"/>
    <cellStyle name="Input 17 3 6" xfId="1759"/>
    <cellStyle name="Input 17 3 7" xfId="1760"/>
    <cellStyle name="Input 17 3 8" xfId="1761"/>
    <cellStyle name="Input 17 3 9" xfId="1762"/>
    <cellStyle name="Input 17 4" xfId="1763"/>
    <cellStyle name="Input 17 5" xfId="1764"/>
    <cellStyle name="Input 17 6" xfId="1765"/>
    <cellStyle name="Input 17 7" xfId="1766"/>
    <cellStyle name="Input 17 8" xfId="1767"/>
    <cellStyle name="Input 17 9" xfId="1768"/>
    <cellStyle name="Input 18" xfId="264"/>
    <cellStyle name="Input 18 10" xfId="1769"/>
    <cellStyle name="Input 18 11" xfId="1770"/>
    <cellStyle name="Input 18 2" xfId="1359"/>
    <cellStyle name="Input 18 2 10" xfId="1771"/>
    <cellStyle name="Input 18 2 2" xfId="1772"/>
    <cellStyle name="Input 18 2 3" xfId="1773"/>
    <cellStyle name="Input 18 2 4" xfId="1774"/>
    <cellStyle name="Input 18 2 5" xfId="1775"/>
    <cellStyle name="Input 18 2 6" xfId="1776"/>
    <cellStyle name="Input 18 2 7" xfId="1777"/>
    <cellStyle name="Input 18 2 8" xfId="1778"/>
    <cellStyle name="Input 18 2 9" xfId="1779"/>
    <cellStyle name="Input 18 3" xfId="1360"/>
    <cellStyle name="Input 18 3 2" xfId="1780"/>
    <cellStyle name="Input 18 3 3" xfId="1781"/>
    <cellStyle name="Input 18 3 4" xfId="1782"/>
    <cellStyle name="Input 18 3 5" xfId="1783"/>
    <cellStyle name="Input 18 3 6" xfId="1784"/>
    <cellStyle name="Input 18 3 7" xfId="1785"/>
    <cellStyle name="Input 18 3 8" xfId="1786"/>
    <cellStyle name="Input 18 3 9" xfId="1787"/>
    <cellStyle name="Input 18 4" xfId="1788"/>
    <cellStyle name="Input 18 5" xfId="1789"/>
    <cellStyle name="Input 18 6" xfId="1790"/>
    <cellStyle name="Input 18 7" xfId="1791"/>
    <cellStyle name="Input 18 8" xfId="1792"/>
    <cellStyle name="Input 18 9" xfId="1793"/>
    <cellStyle name="Input 19" xfId="269"/>
    <cellStyle name="Input 19 10" xfId="1794"/>
    <cellStyle name="Input 19 11" xfId="1795"/>
    <cellStyle name="Input 19 2" xfId="1361"/>
    <cellStyle name="Input 19 2 10" xfId="1796"/>
    <cellStyle name="Input 19 2 2" xfId="1797"/>
    <cellStyle name="Input 19 2 3" xfId="1798"/>
    <cellStyle name="Input 19 2 4" xfId="1799"/>
    <cellStyle name="Input 19 2 5" xfId="1800"/>
    <cellStyle name="Input 19 2 6" xfId="1801"/>
    <cellStyle name="Input 19 2 7" xfId="1802"/>
    <cellStyle name="Input 19 2 8" xfId="1803"/>
    <cellStyle name="Input 19 2 9" xfId="1804"/>
    <cellStyle name="Input 19 3" xfId="1362"/>
    <cellStyle name="Input 19 3 2" xfId="1805"/>
    <cellStyle name="Input 19 3 3" xfId="1806"/>
    <cellStyle name="Input 19 3 4" xfId="1807"/>
    <cellStyle name="Input 19 3 5" xfId="1808"/>
    <cellStyle name="Input 19 3 6" xfId="1809"/>
    <cellStyle name="Input 19 3 7" xfId="1810"/>
    <cellStyle name="Input 19 3 8" xfId="1811"/>
    <cellStyle name="Input 19 3 9" xfId="1812"/>
    <cellStyle name="Input 19 4" xfId="1813"/>
    <cellStyle name="Input 19 5" xfId="1814"/>
    <cellStyle name="Input 19 6" xfId="1815"/>
    <cellStyle name="Input 19 7" xfId="1816"/>
    <cellStyle name="Input 19 8" xfId="1817"/>
    <cellStyle name="Input 19 9" xfId="1818"/>
    <cellStyle name="Input 2" xfId="70"/>
    <cellStyle name="Input 2 10" xfId="1819"/>
    <cellStyle name="Input 2 11" xfId="1820"/>
    <cellStyle name="Input 2 12" xfId="1821"/>
    <cellStyle name="Input 2 2" xfId="411"/>
    <cellStyle name="Input 2 3" xfId="1363"/>
    <cellStyle name="Input 2 3 10" xfId="1822"/>
    <cellStyle name="Input 2 3 2" xfId="1823"/>
    <cellStyle name="Input 2 3 3" xfId="1824"/>
    <cellStyle name="Input 2 3 4" xfId="1825"/>
    <cellStyle name="Input 2 3 5" xfId="1826"/>
    <cellStyle name="Input 2 3 6" xfId="1827"/>
    <cellStyle name="Input 2 3 7" xfId="1828"/>
    <cellStyle name="Input 2 3 8" xfId="1829"/>
    <cellStyle name="Input 2 3 9" xfId="1830"/>
    <cellStyle name="Input 2 4" xfId="1364"/>
    <cellStyle name="Input 2 4 2" xfId="1831"/>
    <cellStyle name="Input 2 4 3" xfId="1832"/>
    <cellStyle name="Input 2 4 4" xfId="1833"/>
    <cellStyle name="Input 2 4 5" xfId="1834"/>
    <cellStyle name="Input 2 4 6" xfId="1835"/>
    <cellStyle name="Input 2 4 7" xfId="1836"/>
    <cellStyle name="Input 2 4 8" xfId="1837"/>
    <cellStyle name="Input 2 4 9" xfId="1838"/>
    <cellStyle name="Input 2 5" xfId="1839"/>
    <cellStyle name="Input 2 6" xfId="1840"/>
    <cellStyle name="Input 2 7" xfId="1841"/>
    <cellStyle name="Input 2 8" xfId="1842"/>
    <cellStyle name="Input 2 9" xfId="1843"/>
    <cellStyle name="Input 20" xfId="1059"/>
    <cellStyle name="Input 20 10" xfId="1844"/>
    <cellStyle name="Input 20 11" xfId="1845"/>
    <cellStyle name="Input 20 2" xfId="1365"/>
    <cellStyle name="Input 20 2 10" xfId="1846"/>
    <cellStyle name="Input 20 2 2" xfId="1847"/>
    <cellStyle name="Input 20 2 3" xfId="1848"/>
    <cellStyle name="Input 20 2 4" xfId="1849"/>
    <cellStyle name="Input 20 2 5" xfId="1850"/>
    <cellStyle name="Input 20 2 6" xfId="1851"/>
    <cellStyle name="Input 20 2 7" xfId="1852"/>
    <cellStyle name="Input 20 2 8" xfId="1853"/>
    <cellStyle name="Input 20 2 9" xfId="1854"/>
    <cellStyle name="Input 20 3" xfId="1366"/>
    <cellStyle name="Input 20 3 2" xfId="1855"/>
    <cellStyle name="Input 20 3 3" xfId="1856"/>
    <cellStyle name="Input 20 3 4" xfId="1857"/>
    <cellStyle name="Input 20 3 5" xfId="1858"/>
    <cellStyle name="Input 20 3 6" xfId="1859"/>
    <cellStyle name="Input 20 3 7" xfId="1860"/>
    <cellStyle name="Input 20 3 8" xfId="1861"/>
    <cellStyle name="Input 20 3 9" xfId="1862"/>
    <cellStyle name="Input 20 4" xfId="1863"/>
    <cellStyle name="Input 20 5" xfId="1864"/>
    <cellStyle name="Input 20 6" xfId="1865"/>
    <cellStyle name="Input 20 7" xfId="1866"/>
    <cellStyle name="Input 20 8" xfId="1867"/>
    <cellStyle name="Input 20 9" xfId="1868"/>
    <cellStyle name="Input 21" xfId="1080"/>
    <cellStyle name="Input 21 10" xfId="1869"/>
    <cellStyle name="Input 21 11" xfId="1870"/>
    <cellStyle name="Input 21 2" xfId="1367"/>
    <cellStyle name="Input 21 2 10" xfId="1871"/>
    <cellStyle name="Input 21 2 2" xfId="1872"/>
    <cellStyle name="Input 21 2 3" xfId="1873"/>
    <cellStyle name="Input 21 2 4" xfId="1874"/>
    <cellStyle name="Input 21 2 5" xfId="1875"/>
    <cellStyle name="Input 21 2 6" xfId="1876"/>
    <cellStyle name="Input 21 2 7" xfId="1877"/>
    <cellStyle name="Input 21 2 8" xfId="1878"/>
    <cellStyle name="Input 21 2 9" xfId="1879"/>
    <cellStyle name="Input 21 3" xfId="1368"/>
    <cellStyle name="Input 21 3 2" xfId="1880"/>
    <cellStyle name="Input 21 3 3" xfId="1881"/>
    <cellStyle name="Input 21 3 4" xfId="1882"/>
    <cellStyle name="Input 21 3 5" xfId="1883"/>
    <cellStyle name="Input 21 3 6" xfId="1884"/>
    <cellStyle name="Input 21 3 7" xfId="1885"/>
    <cellStyle name="Input 21 3 8" xfId="1886"/>
    <cellStyle name="Input 21 3 9" xfId="1887"/>
    <cellStyle name="Input 21 4" xfId="1888"/>
    <cellStyle name="Input 21 5" xfId="1889"/>
    <cellStyle name="Input 21 6" xfId="1890"/>
    <cellStyle name="Input 21 7" xfId="1891"/>
    <cellStyle name="Input 21 8" xfId="1892"/>
    <cellStyle name="Input 21 9" xfId="1893"/>
    <cellStyle name="Input 3" xfId="174"/>
    <cellStyle name="Input 3 10" xfId="1894"/>
    <cellStyle name="Input 3 11" xfId="1895"/>
    <cellStyle name="Input 3 2" xfId="1369"/>
    <cellStyle name="Input 3 2 10" xfId="1896"/>
    <cellStyle name="Input 3 2 2" xfId="1897"/>
    <cellStyle name="Input 3 2 3" xfId="1898"/>
    <cellStyle name="Input 3 2 4" xfId="1899"/>
    <cellStyle name="Input 3 2 5" xfId="1900"/>
    <cellStyle name="Input 3 2 6" xfId="1901"/>
    <cellStyle name="Input 3 2 7" xfId="1902"/>
    <cellStyle name="Input 3 2 8" xfId="1903"/>
    <cellStyle name="Input 3 2 9" xfId="1904"/>
    <cellStyle name="Input 3 3" xfId="1370"/>
    <cellStyle name="Input 3 3 2" xfId="1905"/>
    <cellStyle name="Input 3 3 3" xfId="1906"/>
    <cellStyle name="Input 3 3 4" xfId="1907"/>
    <cellStyle name="Input 3 3 5" xfId="1908"/>
    <cellStyle name="Input 3 3 6" xfId="1909"/>
    <cellStyle name="Input 3 3 7" xfId="1910"/>
    <cellStyle name="Input 3 3 8" xfId="1911"/>
    <cellStyle name="Input 3 3 9" xfId="1912"/>
    <cellStyle name="Input 3 4" xfId="1913"/>
    <cellStyle name="Input 3 5" xfId="1914"/>
    <cellStyle name="Input 3 6" xfId="1915"/>
    <cellStyle name="Input 3 7" xfId="1916"/>
    <cellStyle name="Input 3 8" xfId="1917"/>
    <cellStyle name="Input 3 9" xfId="1918"/>
    <cellStyle name="Input 4" xfId="170"/>
    <cellStyle name="Input 4 10" xfId="1919"/>
    <cellStyle name="Input 4 11" xfId="1920"/>
    <cellStyle name="Input 4 2" xfId="1371"/>
    <cellStyle name="Input 4 2 10" xfId="1921"/>
    <cellStyle name="Input 4 2 2" xfId="1922"/>
    <cellStyle name="Input 4 2 3" xfId="1923"/>
    <cellStyle name="Input 4 2 4" xfId="1924"/>
    <cellStyle name="Input 4 2 5" xfId="1925"/>
    <cellStyle name="Input 4 2 6" xfId="1926"/>
    <cellStyle name="Input 4 2 7" xfId="1927"/>
    <cellStyle name="Input 4 2 8" xfId="1928"/>
    <cellStyle name="Input 4 2 9" xfId="1929"/>
    <cellStyle name="Input 4 3" xfId="1372"/>
    <cellStyle name="Input 4 3 2" xfId="1930"/>
    <cellStyle name="Input 4 3 3" xfId="1931"/>
    <cellStyle name="Input 4 3 4" xfId="1932"/>
    <cellStyle name="Input 4 3 5" xfId="1933"/>
    <cellStyle name="Input 4 3 6" xfId="1934"/>
    <cellStyle name="Input 4 3 7" xfId="1935"/>
    <cellStyle name="Input 4 3 8" xfId="1936"/>
    <cellStyle name="Input 4 3 9" xfId="1937"/>
    <cellStyle name="Input 4 4" xfId="1938"/>
    <cellStyle name="Input 4 5" xfId="1939"/>
    <cellStyle name="Input 4 6" xfId="1940"/>
    <cellStyle name="Input 4 7" xfId="1941"/>
    <cellStyle name="Input 4 8" xfId="1942"/>
    <cellStyle name="Input 4 9" xfId="1943"/>
    <cellStyle name="Input 5" xfId="192"/>
    <cellStyle name="Input 5 10" xfId="1944"/>
    <cellStyle name="Input 5 11" xfId="1945"/>
    <cellStyle name="Input 5 2" xfId="1373"/>
    <cellStyle name="Input 5 2 10" xfId="1946"/>
    <cellStyle name="Input 5 2 2" xfId="1947"/>
    <cellStyle name="Input 5 2 3" xfId="1948"/>
    <cellStyle name="Input 5 2 4" xfId="1949"/>
    <cellStyle name="Input 5 2 5" xfId="1950"/>
    <cellStyle name="Input 5 2 6" xfId="1951"/>
    <cellStyle name="Input 5 2 7" xfId="1952"/>
    <cellStyle name="Input 5 2 8" xfId="1953"/>
    <cellStyle name="Input 5 2 9" xfId="1954"/>
    <cellStyle name="Input 5 3" xfId="1374"/>
    <cellStyle name="Input 5 3 2" xfId="1955"/>
    <cellStyle name="Input 5 3 3" xfId="1956"/>
    <cellStyle name="Input 5 3 4" xfId="1957"/>
    <cellStyle name="Input 5 3 5" xfId="1958"/>
    <cellStyle name="Input 5 3 6" xfId="1959"/>
    <cellStyle name="Input 5 3 7" xfId="1960"/>
    <cellStyle name="Input 5 3 8" xfId="1961"/>
    <cellStyle name="Input 5 3 9" xfId="1962"/>
    <cellStyle name="Input 5 4" xfId="1963"/>
    <cellStyle name="Input 5 5" xfId="1964"/>
    <cellStyle name="Input 5 6" xfId="1965"/>
    <cellStyle name="Input 5 7" xfId="1966"/>
    <cellStyle name="Input 5 8" xfId="1967"/>
    <cellStyle name="Input 5 9" xfId="1968"/>
    <cellStyle name="Input 6" xfId="198"/>
    <cellStyle name="Input 6 10" xfId="1969"/>
    <cellStyle name="Input 6 11" xfId="1970"/>
    <cellStyle name="Input 6 2" xfId="1375"/>
    <cellStyle name="Input 6 2 10" xfId="1971"/>
    <cellStyle name="Input 6 2 2" xfId="1972"/>
    <cellStyle name="Input 6 2 3" xfId="1973"/>
    <cellStyle name="Input 6 2 4" xfId="1974"/>
    <cellStyle name="Input 6 2 5" xfId="1975"/>
    <cellStyle name="Input 6 2 6" xfId="1976"/>
    <cellStyle name="Input 6 2 7" xfId="1977"/>
    <cellStyle name="Input 6 2 8" xfId="1978"/>
    <cellStyle name="Input 6 2 9" xfId="1979"/>
    <cellStyle name="Input 6 3" xfId="1376"/>
    <cellStyle name="Input 6 3 2" xfId="1980"/>
    <cellStyle name="Input 6 3 3" xfId="1981"/>
    <cellStyle name="Input 6 3 4" xfId="1982"/>
    <cellStyle name="Input 6 3 5" xfId="1983"/>
    <cellStyle name="Input 6 3 6" xfId="1984"/>
    <cellStyle name="Input 6 3 7" xfId="1985"/>
    <cellStyle name="Input 6 3 8" xfId="1986"/>
    <cellStyle name="Input 6 3 9" xfId="1987"/>
    <cellStyle name="Input 6 4" xfId="1988"/>
    <cellStyle name="Input 6 5" xfId="1989"/>
    <cellStyle name="Input 6 6" xfId="1990"/>
    <cellStyle name="Input 6 7" xfId="1991"/>
    <cellStyle name="Input 6 8" xfId="1992"/>
    <cellStyle name="Input 6 9" xfId="1993"/>
    <cellStyle name="Input 7" xfId="206"/>
    <cellStyle name="Input 7 10" xfId="1994"/>
    <cellStyle name="Input 7 11" xfId="1995"/>
    <cellStyle name="Input 7 2" xfId="1377"/>
    <cellStyle name="Input 7 2 10" xfId="1996"/>
    <cellStyle name="Input 7 2 2" xfId="1997"/>
    <cellStyle name="Input 7 2 3" xfId="1998"/>
    <cellStyle name="Input 7 2 4" xfId="1999"/>
    <cellStyle name="Input 7 2 5" xfId="2000"/>
    <cellStyle name="Input 7 2 6" xfId="2001"/>
    <cellStyle name="Input 7 2 7" xfId="2002"/>
    <cellStyle name="Input 7 2 8" xfId="2003"/>
    <cellStyle name="Input 7 2 9" xfId="2004"/>
    <cellStyle name="Input 7 3" xfId="1378"/>
    <cellStyle name="Input 7 3 2" xfId="2005"/>
    <cellStyle name="Input 7 3 3" xfId="2006"/>
    <cellStyle name="Input 7 3 4" xfId="2007"/>
    <cellStyle name="Input 7 3 5" xfId="2008"/>
    <cellStyle name="Input 7 3 6" xfId="2009"/>
    <cellStyle name="Input 7 3 7" xfId="2010"/>
    <cellStyle name="Input 7 3 8" xfId="2011"/>
    <cellStyle name="Input 7 3 9" xfId="2012"/>
    <cellStyle name="Input 7 4" xfId="2013"/>
    <cellStyle name="Input 7 5" xfId="2014"/>
    <cellStyle name="Input 7 6" xfId="2015"/>
    <cellStyle name="Input 7 7" xfId="2016"/>
    <cellStyle name="Input 7 8" xfId="2017"/>
    <cellStyle name="Input 7 9" xfId="2018"/>
    <cellStyle name="Input 8" xfId="207"/>
    <cellStyle name="Input 8 10" xfId="2019"/>
    <cellStyle name="Input 8 11" xfId="2020"/>
    <cellStyle name="Input 8 2" xfId="1379"/>
    <cellStyle name="Input 8 2 10" xfId="2021"/>
    <cellStyle name="Input 8 2 2" xfId="2022"/>
    <cellStyle name="Input 8 2 3" xfId="2023"/>
    <cellStyle name="Input 8 2 4" xfId="2024"/>
    <cellStyle name="Input 8 2 5" xfId="2025"/>
    <cellStyle name="Input 8 2 6" xfId="2026"/>
    <cellStyle name="Input 8 2 7" xfId="2027"/>
    <cellStyle name="Input 8 2 8" xfId="2028"/>
    <cellStyle name="Input 8 2 9" xfId="2029"/>
    <cellStyle name="Input 8 3" xfId="1380"/>
    <cellStyle name="Input 8 3 2" xfId="2030"/>
    <cellStyle name="Input 8 3 3" xfId="2031"/>
    <cellStyle name="Input 8 3 4" xfId="2032"/>
    <cellStyle name="Input 8 3 5" xfId="2033"/>
    <cellStyle name="Input 8 3 6" xfId="2034"/>
    <cellStyle name="Input 8 3 7" xfId="2035"/>
    <cellStyle name="Input 8 3 8" xfId="2036"/>
    <cellStyle name="Input 8 3 9" xfId="2037"/>
    <cellStyle name="Input 8 4" xfId="2038"/>
    <cellStyle name="Input 8 5" xfId="2039"/>
    <cellStyle name="Input 8 6" xfId="2040"/>
    <cellStyle name="Input 8 7" xfId="2041"/>
    <cellStyle name="Input 8 8" xfId="2042"/>
    <cellStyle name="Input 8 9" xfId="2043"/>
    <cellStyle name="Input 9" xfId="234"/>
    <cellStyle name="Input 9 10" xfId="2044"/>
    <cellStyle name="Input 9 11" xfId="2045"/>
    <cellStyle name="Input 9 2" xfId="1381"/>
    <cellStyle name="Input 9 2 10" xfId="2046"/>
    <cellStyle name="Input 9 2 2" xfId="2047"/>
    <cellStyle name="Input 9 2 3" xfId="2048"/>
    <cellStyle name="Input 9 2 4" xfId="2049"/>
    <cellStyle name="Input 9 2 5" xfId="2050"/>
    <cellStyle name="Input 9 2 6" xfId="2051"/>
    <cellStyle name="Input 9 2 7" xfId="2052"/>
    <cellStyle name="Input 9 2 8" xfId="2053"/>
    <cellStyle name="Input 9 2 9" xfId="2054"/>
    <cellStyle name="Input 9 3" xfId="1382"/>
    <cellStyle name="Input 9 3 2" xfId="2055"/>
    <cellStyle name="Input 9 3 3" xfId="2056"/>
    <cellStyle name="Input 9 3 4" xfId="2057"/>
    <cellStyle name="Input 9 3 5" xfId="2058"/>
    <cellStyle name="Input 9 3 6" xfId="2059"/>
    <cellStyle name="Input 9 3 7" xfId="2060"/>
    <cellStyle name="Input 9 3 8" xfId="2061"/>
    <cellStyle name="Input 9 3 9" xfId="2062"/>
    <cellStyle name="Input 9 4" xfId="2063"/>
    <cellStyle name="Input 9 5" xfId="2064"/>
    <cellStyle name="Input 9 6" xfId="2065"/>
    <cellStyle name="Input 9 7" xfId="2066"/>
    <cellStyle name="Input 9 8" xfId="2067"/>
    <cellStyle name="Input 9 9" xfId="2068"/>
    <cellStyle name="InputHead" xfId="75"/>
    <cellStyle name="InputHead 2" xfId="178"/>
    <cellStyle name="InputHead 2 2" xfId="1126"/>
    <cellStyle name="InputPct" xfId="76"/>
    <cellStyle name="InputPct 10" xfId="2069"/>
    <cellStyle name="InputPct 11" xfId="2070"/>
    <cellStyle name="InputPct 2" xfId="1383"/>
    <cellStyle name="InputPct 2 10" xfId="2071"/>
    <cellStyle name="InputPct 2 2" xfId="2072"/>
    <cellStyle name="InputPct 2 3" xfId="2073"/>
    <cellStyle name="InputPct 2 4" xfId="2074"/>
    <cellStyle name="InputPct 2 5" xfId="2075"/>
    <cellStyle name="InputPct 2 6" xfId="2076"/>
    <cellStyle name="InputPct 2 7" xfId="2077"/>
    <cellStyle name="InputPct 2 8" xfId="2078"/>
    <cellStyle name="InputPct 2 9" xfId="2079"/>
    <cellStyle name="InputPct 3" xfId="1384"/>
    <cellStyle name="InputPct 3 2" xfId="2080"/>
    <cellStyle name="InputPct 3 3" xfId="2081"/>
    <cellStyle name="InputPct 3 4" xfId="2082"/>
    <cellStyle name="InputPct 3 5" xfId="2083"/>
    <cellStyle name="InputPct 3 6" xfId="2084"/>
    <cellStyle name="InputPct 3 7" xfId="2085"/>
    <cellStyle name="InputPct 3 8" xfId="2086"/>
    <cellStyle name="InputPct 3 9" xfId="2087"/>
    <cellStyle name="InputPct 4" xfId="2088"/>
    <cellStyle name="InputPct 5" xfId="2089"/>
    <cellStyle name="InputPct 6" xfId="2090"/>
    <cellStyle name="InputPct 7" xfId="2091"/>
    <cellStyle name="InputPct 8" xfId="2092"/>
    <cellStyle name="InputPct 9" xfId="2093"/>
    <cellStyle name="InputPercent1" xfId="1385"/>
    <cellStyle name="inputs H [0]" xfId="77"/>
    <cellStyle name="inputs H [0] 2" xfId="179"/>
    <cellStyle name="inputs H [0] 2 2" xfId="1127"/>
    <cellStyle name="inputs H [1]" xfId="78"/>
    <cellStyle name="inputs H [1] 2" xfId="180"/>
    <cellStyle name="inputs H [1] 2 2" xfId="1128"/>
    <cellStyle name="inputs H [2]" xfId="79"/>
    <cellStyle name="inputs H [2] 2" xfId="181"/>
    <cellStyle name="inputs H [2] 2 2" xfId="1129"/>
    <cellStyle name="inputs H [3]" xfId="80"/>
    <cellStyle name="inputs H [3] 2" xfId="182"/>
    <cellStyle name="inputs H [3] 2 2" xfId="1130"/>
    <cellStyle name="Inputs_percent [0]" xfId="1061"/>
    <cellStyle name="Integer" xfId="81"/>
    <cellStyle name="Integer 2" xfId="183"/>
    <cellStyle name="Integer 2 2" xfId="1131"/>
    <cellStyle name="Item" xfId="82"/>
    <cellStyle name="Item 2" xfId="184"/>
    <cellStyle name="Item 2 2" xfId="1132"/>
    <cellStyle name="ItemTypeClass" xfId="83"/>
    <cellStyle name="ItemTypeClass 10" xfId="2094"/>
    <cellStyle name="ItemTypeClass 2" xfId="2095"/>
    <cellStyle name="ItemTypeClass 3" xfId="2096"/>
    <cellStyle name="ItemTypeClass 4" xfId="2097"/>
    <cellStyle name="ItemTypeClass 5" xfId="2098"/>
    <cellStyle name="ItemTypeClass 6" xfId="2099"/>
    <cellStyle name="ItemTypeClass 7" xfId="2100"/>
    <cellStyle name="ItemTypeClass 8" xfId="2101"/>
    <cellStyle name="ItemTypeClass 9" xfId="2102"/>
    <cellStyle name="KP_Normal" xfId="84"/>
    <cellStyle name="Label" xfId="85"/>
    <cellStyle name="Line" xfId="1386"/>
    <cellStyle name="Link" xfId="1387"/>
    <cellStyle name="Link Currency (0)" xfId="1388"/>
    <cellStyle name="Link Currency (2)" xfId="1389"/>
    <cellStyle name="Link Units (0)" xfId="1390"/>
    <cellStyle name="Link Units (1)" xfId="1391"/>
    <cellStyle name="Link Units (2)" xfId="1392"/>
    <cellStyle name="Linked Cell 2" xfId="412"/>
    <cellStyle name="m" xfId="86"/>
    <cellStyle name="m$" xfId="87"/>
    <cellStyle name="m_AOL_Model_Master" xfId="1393"/>
    <cellStyle name="Margins" xfId="1394"/>
    <cellStyle name="MetricLabel" xfId="2103"/>
    <cellStyle name="MetricLabelBlue" xfId="2104"/>
    <cellStyle name="MetricValue" xfId="2105"/>
    <cellStyle name="Millares [0]_BRASIL (2)" xfId="1395"/>
    <cellStyle name="Millares_5670-t123" xfId="1396"/>
    <cellStyle name="Milliers [0]_!!!GO" xfId="1397"/>
    <cellStyle name="Milliers_!!!GO" xfId="1398"/>
    <cellStyle name="MLComma0" xfId="88"/>
    <cellStyle name="MLComma0 2" xfId="185"/>
    <cellStyle name="MLComma0 2 2" xfId="1133"/>
    <cellStyle name="MLDollar0" xfId="89"/>
    <cellStyle name="MLEuro0" xfId="90"/>
    <cellStyle name="MLHeaderSection" xfId="91"/>
    <cellStyle name="MLMultiple0" xfId="92"/>
    <cellStyle name="MLMultiple0 2" xfId="187"/>
    <cellStyle name="MLMultiple0 2 2" xfId="1135"/>
    <cellStyle name="MLPercent0" xfId="93"/>
    <cellStyle name="MLPound0" xfId="94"/>
    <cellStyle name="MLYen0" xfId="95"/>
    <cellStyle name="mm" xfId="96"/>
    <cellStyle name="Moneda [0]_BRASIL (2)" xfId="1399"/>
    <cellStyle name="Moneda_5670-t123" xfId="1400"/>
    <cellStyle name="Monétaire [0]_!!!GO" xfId="1401"/>
    <cellStyle name="Monétaire_!!!GO" xfId="1402"/>
    <cellStyle name="Multiple" xfId="97"/>
    <cellStyle name="Multiple []" xfId="1403"/>
    <cellStyle name="Multiple [1]" xfId="1404"/>
    <cellStyle name="Multiple [1] []" xfId="1405"/>
    <cellStyle name="Multiple0" xfId="98"/>
    <cellStyle name="negativ" xfId="1406"/>
    <cellStyle name="Neutral 2" xfId="413"/>
    <cellStyle name="Neutral 2 2" xfId="1407"/>
    <cellStyle name="Neutral 2 3" xfId="1408"/>
    <cellStyle name="nodollars" xfId="1409"/>
    <cellStyle name="Normal" xfId="0" builtinId="0"/>
    <cellStyle name="Normal - Style1" xfId="99"/>
    <cellStyle name="Normal - Style1 10" xfId="2106"/>
    <cellStyle name="Normal - Style1 11" xfId="2107"/>
    <cellStyle name="Normal - Style1 12" xfId="2108"/>
    <cellStyle name="Normal - Style1 2" xfId="240"/>
    <cellStyle name="Normal - Style1 2 2" xfId="1172"/>
    <cellStyle name="Normal - Style1 3" xfId="1062"/>
    <cellStyle name="Normal - Style1 4" xfId="2109"/>
    <cellStyle name="Normal - Style1 5" xfId="2110"/>
    <cellStyle name="Normal - Style1 6" xfId="2111"/>
    <cellStyle name="Normal - Style1 7" xfId="2112"/>
    <cellStyle name="Normal - Style1 8" xfId="2113"/>
    <cellStyle name="Normal - Style1 9" xfId="2114"/>
    <cellStyle name="Normal (Data)" xfId="100"/>
    <cellStyle name="Normal 10" xfId="251"/>
    <cellStyle name="Normal 10 10" xfId="415"/>
    <cellStyle name="Normal 10 11" xfId="416"/>
    <cellStyle name="Normal 10 12" xfId="417"/>
    <cellStyle name="Normal 10 13" xfId="418"/>
    <cellStyle name="Normal 10 14" xfId="419"/>
    <cellStyle name="Normal 10 15" xfId="420"/>
    <cellStyle name="Normal 10 16" xfId="421"/>
    <cellStyle name="Normal 10 17" xfId="422"/>
    <cellStyle name="Normal 10 18" xfId="423"/>
    <cellStyle name="Normal 10 19" xfId="424"/>
    <cellStyle name="Normal 10 2" xfId="425"/>
    <cellStyle name="Normal 10 2 2" xfId="426"/>
    <cellStyle name="Normal 10 20" xfId="427"/>
    <cellStyle name="Normal 10 21" xfId="428"/>
    <cellStyle name="Normal 10 22" xfId="429"/>
    <cellStyle name="Normal 10 23" xfId="430"/>
    <cellStyle name="Normal 10 24" xfId="431"/>
    <cellStyle name="Normal 10 25" xfId="432"/>
    <cellStyle name="Normal 10 26" xfId="433"/>
    <cellStyle name="Normal 10 27" xfId="434"/>
    <cellStyle name="Normal 10 28" xfId="435"/>
    <cellStyle name="Normal 10 29" xfId="436"/>
    <cellStyle name="Normal 10 3" xfId="437"/>
    <cellStyle name="Normal 10 3 2" xfId="438"/>
    <cellStyle name="Normal 10 30" xfId="439"/>
    <cellStyle name="Normal 10 31" xfId="440"/>
    <cellStyle name="Normal 10 32" xfId="414"/>
    <cellStyle name="Normal 10 33" xfId="1182"/>
    <cellStyle name="Normal 10 4" xfId="441"/>
    <cellStyle name="Normal 10 4 2" xfId="442"/>
    <cellStyle name="Normal 10 5" xfId="443"/>
    <cellStyle name="Normal 10 6" xfId="444"/>
    <cellStyle name="Normal 10 7" xfId="445"/>
    <cellStyle name="Normal 10 8" xfId="446"/>
    <cellStyle name="Normal 10 9" xfId="447"/>
    <cellStyle name="Normal 11" xfId="256"/>
    <cellStyle name="Normal 11 10" xfId="449"/>
    <cellStyle name="Normal 11 11" xfId="450"/>
    <cellStyle name="Normal 11 12" xfId="451"/>
    <cellStyle name="Normal 11 13" xfId="452"/>
    <cellStyle name="Normal 11 14" xfId="453"/>
    <cellStyle name="Normal 11 15" xfId="454"/>
    <cellStyle name="Normal 11 16" xfId="455"/>
    <cellStyle name="Normal 11 17" xfId="456"/>
    <cellStyle name="Normal 11 18" xfId="457"/>
    <cellStyle name="Normal 11 19" xfId="458"/>
    <cellStyle name="Normal 11 2" xfId="459"/>
    <cellStyle name="Normal 11 2 2" xfId="460"/>
    <cellStyle name="Normal 11 20" xfId="461"/>
    <cellStyle name="Normal 11 21" xfId="462"/>
    <cellStyle name="Normal 11 22" xfId="463"/>
    <cellStyle name="Normal 11 23" xfId="464"/>
    <cellStyle name="Normal 11 24" xfId="465"/>
    <cellStyle name="Normal 11 25" xfId="466"/>
    <cellStyle name="Normal 11 26" xfId="467"/>
    <cellStyle name="Normal 11 27" xfId="468"/>
    <cellStyle name="Normal 11 28" xfId="469"/>
    <cellStyle name="Normal 11 29" xfId="470"/>
    <cellStyle name="Normal 11 3" xfId="471"/>
    <cellStyle name="Normal 11 3 2" xfId="472"/>
    <cellStyle name="Normal 11 30" xfId="473"/>
    <cellStyle name="Normal 11 31" xfId="474"/>
    <cellStyle name="Normal 11 32" xfId="448"/>
    <cellStyle name="Normal 11 4" xfId="475"/>
    <cellStyle name="Normal 11 4 2" xfId="476"/>
    <cellStyle name="Normal 11 5" xfId="477"/>
    <cellStyle name="Normal 11 5 2" xfId="478"/>
    <cellStyle name="Normal 11 6" xfId="479"/>
    <cellStyle name="Normal 11 7" xfId="480"/>
    <cellStyle name="Normal 11 8" xfId="481"/>
    <cellStyle name="Normal 11 9" xfId="482"/>
    <cellStyle name="Normal 12" xfId="258"/>
    <cellStyle name="Normal 12 2" xfId="483"/>
    <cellStyle name="Normal 12 3" xfId="484"/>
    <cellStyle name="Normal 12 4" xfId="485"/>
    <cellStyle name="Normal 12 5" xfId="486"/>
    <cellStyle name="Normal 12 6" xfId="487"/>
    <cellStyle name="Normal 12 7" xfId="488"/>
    <cellStyle name="Normal 12 8" xfId="489"/>
    <cellStyle name="Normal 12 9" xfId="490"/>
    <cellStyle name="Normal 13" xfId="263"/>
    <cellStyle name="Normal 13 10" xfId="492"/>
    <cellStyle name="Normal 13 11" xfId="493"/>
    <cellStyle name="Normal 13 12" xfId="494"/>
    <cellStyle name="Normal 13 13" xfId="495"/>
    <cellStyle name="Normal 13 14" xfId="496"/>
    <cellStyle name="Normal 13 15" xfId="497"/>
    <cellStyle name="Normal 13 16" xfId="498"/>
    <cellStyle name="Normal 13 17" xfId="499"/>
    <cellStyle name="Normal 13 18" xfId="500"/>
    <cellStyle name="Normal 13 19" xfId="501"/>
    <cellStyle name="Normal 13 2" xfId="502"/>
    <cellStyle name="Normal 13 2 2" xfId="503"/>
    <cellStyle name="Normal 13 20" xfId="504"/>
    <cellStyle name="Normal 13 21" xfId="505"/>
    <cellStyle name="Normal 13 22" xfId="506"/>
    <cellStyle name="Normal 13 23" xfId="507"/>
    <cellStyle name="Normal 13 24" xfId="508"/>
    <cellStyle name="Normal 13 25" xfId="509"/>
    <cellStyle name="Normal 13 26" xfId="510"/>
    <cellStyle name="Normal 13 27" xfId="511"/>
    <cellStyle name="Normal 13 28" xfId="512"/>
    <cellStyle name="Normal 13 29" xfId="513"/>
    <cellStyle name="Normal 13 3" xfId="514"/>
    <cellStyle name="Normal 13 3 2" xfId="515"/>
    <cellStyle name="Normal 13 30" xfId="516"/>
    <cellStyle name="Normal 13 31" xfId="517"/>
    <cellStyle name="Normal 13 32" xfId="491"/>
    <cellStyle name="Normal 13 4" xfId="518"/>
    <cellStyle name="Normal 13 4 2" xfId="519"/>
    <cellStyle name="Normal 13 5" xfId="520"/>
    <cellStyle name="Normal 13 6" xfId="521"/>
    <cellStyle name="Normal 13 7" xfId="522"/>
    <cellStyle name="Normal 13 8" xfId="523"/>
    <cellStyle name="Normal 13 9" xfId="524"/>
    <cellStyle name="Normal 14" xfId="257"/>
    <cellStyle name="Normal 14 10" xfId="526"/>
    <cellStyle name="Normal 14 11" xfId="527"/>
    <cellStyle name="Normal 14 12" xfId="528"/>
    <cellStyle name="Normal 14 13" xfId="529"/>
    <cellStyle name="Normal 14 14" xfId="530"/>
    <cellStyle name="Normal 14 15" xfId="531"/>
    <cellStyle name="Normal 14 16" xfId="532"/>
    <cellStyle name="Normal 14 17" xfId="533"/>
    <cellStyle name="Normal 14 18" xfId="534"/>
    <cellStyle name="Normal 14 19" xfId="535"/>
    <cellStyle name="Normal 14 2" xfId="536"/>
    <cellStyle name="Normal 14 2 2" xfId="537"/>
    <cellStyle name="Normal 14 20" xfId="538"/>
    <cellStyle name="Normal 14 21" xfId="539"/>
    <cellStyle name="Normal 14 22" xfId="540"/>
    <cellStyle name="Normal 14 23" xfId="541"/>
    <cellStyle name="Normal 14 24" xfId="542"/>
    <cellStyle name="Normal 14 25" xfId="543"/>
    <cellStyle name="Normal 14 26" xfId="544"/>
    <cellStyle name="Normal 14 27" xfId="545"/>
    <cellStyle name="Normal 14 28" xfId="546"/>
    <cellStyle name="Normal 14 29" xfId="547"/>
    <cellStyle name="Normal 14 3" xfId="548"/>
    <cellStyle name="Normal 14 3 2" xfId="549"/>
    <cellStyle name="Normal 14 30" xfId="550"/>
    <cellStyle name="Normal 14 31" xfId="551"/>
    <cellStyle name="Normal 14 32" xfId="525"/>
    <cellStyle name="Normal 14 4" xfId="552"/>
    <cellStyle name="Normal 14 4 2" xfId="553"/>
    <cellStyle name="Normal 14 5" xfId="554"/>
    <cellStyle name="Normal 14 6" xfId="555"/>
    <cellStyle name="Normal 14 7" xfId="556"/>
    <cellStyle name="Normal 14 8" xfId="557"/>
    <cellStyle name="Normal 14 9" xfId="558"/>
    <cellStyle name="Normal 15" xfId="265"/>
    <cellStyle name="Normal 15 10" xfId="560"/>
    <cellStyle name="Normal 15 11" xfId="561"/>
    <cellStyle name="Normal 15 12" xfId="562"/>
    <cellStyle name="Normal 15 13" xfId="563"/>
    <cellStyle name="Normal 15 14" xfId="564"/>
    <cellStyle name="Normal 15 15" xfId="565"/>
    <cellStyle name="Normal 15 16" xfId="566"/>
    <cellStyle name="Normal 15 17" xfId="567"/>
    <cellStyle name="Normal 15 18" xfId="568"/>
    <cellStyle name="Normal 15 19" xfId="569"/>
    <cellStyle name="Normal 15 2" xfId="570"/>
    <cellStyle name="Normal 15 2 2" xfId="571"/>
    <cellStyle name="Normal 15 20" xfId="572"/>
    <cellStyle name="Normal 15 21" xfId="559"/>
    <cellStyle name="Normal 15 3" xfId="573"/>
    <cellStyle name="Normal 15 3 2" xfId="574"/>
    <cellStyle name="Normal 15 4" xfId="575"/>
    <cellStyle name="Normal 15 4 2" xfId="576"/>
    <cellStyle name="Normal 15 5" xfId="577"/>
    <cellStyle name="Normal 15 6" xfId="578"/>
    <cellStyle name="Normal 15 7" xfId="579"/>
    <cellStyle name="Normal 15 8" xfId="580"/>
    <cellStyle name="Normal 15 9" xfId="581"/>
    <cellStyle name="Normal 16" xfId="266"/>
    <cellStyle name="Normal 16 10" xfId="583"/>
    <cellStyle name="Normal 16 11" xfId="584"/>
    <cellStyle name="Normal 16 12" xfId="585"/>
    <cellStyle name="Normal 16 13" xfId="586"/>
    <cellStyle name="Normal 16 14" xfId="587"/>
    <cellStyle name="Normal 16 15" xfId="588"/>
    <cellStyle name="Normal 16 16" xfId="589"/>
    <cellStyle name="Normal 16 17" xfId="590"/>
    <cellStyle name="Normal 16 18" xfId="591"/>
    <cellStyle name="Normal 16 19" xfId="592"/>
    <cellStyle name="Normal 16 2" xfId="593"/>
    <cellStyle name="Normal 16 20" xfId="594"/>
    <cellStyle name="Normal 16 21" xfId="595"/>
    <cellStyle name="Normal 16 22" xfId="596"/>
    <cellStyle name="Normal 16 23" xfId="597"/>
    <cellStyle name="Normal 16 24" xfId="598"/>
    <cellStyle name="Normal 16 25" xfId="599"/>
    <cellStyle name="Normal 16 26" xfId="600"/>
    <cellStyle name="Normal 16 27" xfId="601"/>
    <cellStyle name="Normal 16 28" xfId="602"/>
    <cellStyle name="Normal 16 29" xfId="582"/>
    <cellStyle name="Normal 16 3" xfId="603"/>
    <cellStyle name="Normal 16 4" xfId="604"/>
    <cellStyle name="Normal 16 5" xfId="605"/>
    <cellStyle name="Normal 16 6" xfId="606"/>
    <cellStyle name="Normal 16 7" xfId="607"/>
    <cellStyle name="Normal 16 8" xfId="608"/>
    <cellStyle name="Normal 16 9" xfId="609"/>
    <cellStyle name="Normal 17" xfId="267"/>
    <cellStyle name="Normal 17 10" xfId="611"/>
    <cellStyle name="Normal 17 11" xfId="612"/>
    <cellStyle name="Normal 17 12" xfId="613"/>
    <cellStyle name="Normal 17 13" xfId="614"/>
    <cellStyle name="Normal 17 14" xfId="615"/>
    <cellStyle name="Normal 17 15" xfId="616"/>
    <cellStyle name="Normal 17 16" xfId="617"/>
    <cellStyle name="Normal 17 17" xfId="618"/>
    <cellStyle name="Normal 17 18" xfId="619"/>
    <cellStyle name="Normal 17 19" xfId="620"/>
    <cellStyle name="Normal 17 2" xfId="621"/>
    <cellStyle name="Normal 17 20" xfId="622"/>
    <cellStyle name="Normal 17 21" xfId="610"/>
    <cellStyle name="Normal 17 3" xfId="623"/>
    <cellStyle name="Normal 17 4" xfId="624"/>
    <cellStyle name="Normal 17 5" xfId="625"/>
    <cellStyle name="Normal 17 6" xfId="626"/>
    <cellStyle name="Normal 17 7" xfId="627"/>
    <cellStyle name="Normal 17 8" xfId="628"/>
    <cellStyle name="Normal 17 9" xfId="629"/>
    <cellStyle name="Normal 18" xfId="228"/>
    <cellStyle name="Normal 18 10" xfId="631"/>
    <cellStyle name="Normal 18 11" xfId="632"/>
    <cellStyle name="Normal 18 12" xfId="633"/>
    <cellStyle name="Normal 18 13" xfId="634"/>
    <cellStyle name="Normal 18 14" xfId="635"/>
    <cellStyle name="Normal 18 15" xfId="636"/>
    <cellStyle name="Normal 18 16" xfId="637"/>
    <cellStyle name="Normal 18 17" xfId="638"/>
    <cellStyle name="Normal 18 18" xfId="639"/>
    <cellStyle name="Normal 18 19" xfId="640"/>
    <cellStyle name="Normal 18 2" xfId="641"/>
    <cellStyle name="Normal 18 20" xfId="642"/>
    <cellStyle name="Normal 18 21" xfId="630"/>
    <cellStyle name="Normal 18 22" xfId="1166"/>
    <cellStyle name="Normal 18 3" xfId="643"/>
    <cellStyle name="Normal 18 4" xfId="644"/>
    <cellStyle name="Normal 18 5" xfId="645"/>
    <cellStyle name="Normal 18 6" xfId="646"/>
    <cellStyle name="Normal 18 7" xfId="647"/>
    <cellStyle name="Normal 18 8" xfId="648"/>
    <cellStyle name="Normal 18 9" xfId="649"/>
    <cellStyle name="Normal 188" xfId="650"/>
    <cellStyle name="Normal 188 10" xfId="651"/>
    <cellStyle name="Normal 188 11" xfId="652"/>
    <cellStyle name="Normal 188 12" xfId="653"/>
    <cellStyle name="Normal 188 13" xfId="654"/>
    <cellStyle name="Normal 188 14" xfId="655"/>
    <cellStyle name="Normal 188 15" xfId="656"/>
    <cellStyle name="Normal 188 16" xfId="657"/>
    <cellStyle name="Normal 188 17" xfId="658"/>
    <cellStyle name="Normal 188 18" xfId="659"/>
    <cellStyle name="Normal 188 2" xfId="660"/>
    <cellStyle name="Normal 188 3" xfId="661"/>
    <cellStyle name="Normal 188 4" xfId="662"/>
    <cellStyle name="Normal 188 5" xfId="663"/>
    <cellStyle name="Normal 188 6" xfId="664"/>
    <cellStyle name="Normal 188 7" xfId="665"/>
    <cellStyle name="Normal 188 8" xfId="666"/>
    <cellStyle name="Normal 188 9" xfId="667"/>
    <cellStyle name="Normal 189" xfId="668"/>
    <cellStyle name="Normal 189 2" xfId="669"/>
    <cellStyle name="Normal 189 3" xfId="670"/>
    <cellStyle name="Normal 189 4" xfId="671"/>
    <cellStyle name="Normal 19" xfId="273"/>
    <cellStyle name="Normal 19 2" xfId="1194"/>
    <cellStyle name="Normal 192" xfId="672"/>
    <cellStyle name="Normal 192 2" xfId="673"/>
    <cellStyle name="Normal 193" xfId="674"/>
    <cellStyle name="Normal 193 2" xfId="675"/>
    <cellStyle name="Normal 193 2 2" xfId="676"/>
    <cellStyle name="Normal 193 3" xfId="677"/>
    <cellStyle name="Normal 194" xfId="678"/>
    <cellStyle name="Normal 2" xfId="2"/>
    <cellStyle name="Normal 2 10" xfId="1410"/>
    <cellStyle name="Normal 2 2" xfId="680"/>
    <cellStyle name="Normal 2 2 10" xfId="681"/>
    <cellStyle name="Normal 2 2 11" xfId="682"/>
    <cellStyle name="Normal 2 2 12" xfId="683"/>
    <cellStyle name="Normal 2 2 13" xfId="684"/>
    <cellStyle name="Normal 2 2 14" xfId="1037"/>
    <cellStyle name="Normal 2 2 2" xfId="685"/>
    <cellStyle name="Normal 2 2 2 2" xfId="686"/>
    <cellStyle name="Normal 2 2 2 2 2" xfId="687"/>
    <cellStyle name="Normal 2 2 2 2 3" xfId="688"/>
    <cellStyle name="Normal 2 2 2 3" xfId="689"/>
    <cellStyle name="Normal 2 2 2 3 2" xfId="690"/>
    <cellStyle name="Normal 2 2 2 4" xfId="691"/>
    <cellStyle name="Normal 2 2 2 5" xfId="692"/>
    <cellStyle name="Normal 2 2 3" xfId="693"/>
    <cellStyle name="Normal 2 2 3 2" xfId="694"/>
    <cellStyle name="Normal 2 2 4" xfId="695"/>
    <cellStyle name="Normal 2 2 4 2" xfId="696"/>
    <cellStyle name="Normal 2 2 5" xfId="697"/>
    <cellStyle name="Normal 2 2 5 2" xfId="698"/>
    <cellStyle name="Normal 2 2 6" xfId="699"/>
    <cellStyle name="Normal 2 2 6 2" xfId="700"/>
    <cellStyle name="Normal 2 2 6 2 2" xfId="701"/>
    <cellStyle name="Normal 2 2 6 3" xfId="702"/>
    <cellStyle name="Normal 2 2 7" xfId="703"/>
    <cellStyle name="Normal 2 2 7 2" xfId="704"/>
    <cellStyle name="Normal 2 2 7 3" xfId="705"/>
    <cellStyle name="Normal 2 2 8" xfId="706"/>
    <cellStyle name="Normal 2 2 9" xfId="707"/>
    <cellStyle name="Normal 2 3" xfId="708"/>
    <cellStyle name="Normal 2 3 2" xfId="709"/>
    <cellStyle name="Normal 2 3 2 2" xfId="710"/>
    <cellStyle name="Normal 2 3 2 2 2" xfId="711"/>
    <cellStyle name="Normal 2 3 2 2 3" xfId="712"/>
    <cellStyle name="Normal 2 3 2 3" xfId="713"/>
    <cellStyle name="Normal 2 3 2 3 2" xfId="714"/>
    <cellStyle name="Normal 2 3 2 4" xfId="715"/>
    <cellStyle name="Normal 2 3 3" xfId="716"/>
    <cellStyle name="Normal 2 3 3 2" xfId="717"/>
    <cellStyle name="Normal 2 3 4" xfId="718"/>
    <cellStyle name="Normal 2 3 5" xfId="719"/>
    <cellStyle name="Normal 2 4" xfId="720"/>
    <cellStyle name="Normal 2 4 2" xfId="721"/>
    <cellStyle name="Normal 2 4 2 2" xfId="722"/>
    <cellStyle name="Normal 2 4 2 3" xfId="723"/>
    <cellStyle name="Normal 2 4 3" xfId="724"/>
    <cellStyle name="Normal 2 4 3 2" xfId="725"/>
    <cellStyle name="Normal 2 4 4" xfId="726"/>
    <cellStyle name="Normal 2 4 5" xfId="727"/>
    <cellStyle name="Normal 2 5" xfId="728"/>
    <cellStyle name="Normal 2 5 2" xfId="729"/>
    <cellStyle name="Normal 2 6" xfId="730"/>
    <cellStyle name="Normal 2 6 2" xfId="731"/>
    <cellStyle name="Normal 2 7" xfId="732"/>
    <cellStyle name="Normal 2 8" xfId="679"/>
    <cellStyle name="Normal 2 9" xfId="1094"/>
    <cellStyle name="Normal 20" xfId="274"/>
    <cellStyle name="Normal 21" xfId="1039"/>
    <cellStyle name="Normal 22" xfId="1078"/>
    <cellStyle name="Normal 23" xfId="2115"/>
    <cellStyle name="Normal 24" xfId="2116"/>
    <cellStyle name="Normal 25" xfId="2117"/>
    <cellStyle name="Normal 26" xfId="2118"/>
    <cellStyle name="Normal 26 2" xfId="733"/>
    <cellStyle name="Normal 26 3" xfId="734"/>
    <cellStyle name="Normal 26 4" xfId="735"/>
    <cellStyle name="Normal 26 5" xfId="736"/>
    <cellStyle name="Normal 26 6" xfId="737"/>
    <cellStyle name="Normal 26 7" xfId="738"/>
    <cellStyle name="Normal 26 8" xfId="739"/>
    <cellStyle name="Normal 26 9" xfId="740"/>
    <cellStyle name="Normal 27" xfId="2119"/>
    <cellStyle name="Normal 27 2" xfId="741"/>
    <cellStyle name="Normal 27 3" xfId="742"/>
    <cellStyle name="Normal 27 4" xfId="743"/>
    <cellStyle name="Normal 27 5" xfId="744"/>
    <cellStyle name="Normal 27 6" xfId="745"/>
    <cellStyle name="Normal 27 7" xfId="746"/>
    <cellStyle name="Normal 27 8" xfId="747"/>
    <cellStyle name="Normal 27 9" xfId="748"/>
    <cellStyle name="Normal 28" xfId="2120"/>
    <cellStyle name="Normal 29" xfId="2121"/>
    <cellStyle name="Normal 3" xfId="151"/>
    <cellStyle name="Normal 3 10" xfId="749"/>
    <cellStyle name="Normal 3 11" xfId="750"/>
    <cellStyle name="Normal 3 12" xfId="275"/>
    <cellStyle name="Normal 3 13" xfId="1096"/>
    <cellStyle name="Normal 3 14" xfId="1102"/>
    <cellStyle name="Normal 3 15" xfId="1411"/>
    <cellStyle name="Normal 3 16" xfId="1497"/>
    <cellStyle name="Normal 3 2" xfId="751"/>
    <cellStyle name="Normal 3 2 2" xfId="752"/>
    <cellStyle name="Normal 3 3" xfId="753"/>
    <cellStyle name="Normal 3 3 2" xfId="1504"/>
    <cellStyle name="Normal 3 4" xfId="754"/>
    <cellStyle name="Normal 3 5" xfId="755"/>
    <cellStyle name="Normal 3 6" xfId="756"/>
    <cellStyle name="Normal 3 7" xfId="757"/>
    <cellStyle name="Normal 3 8" xfId="758"/>
    <cellStyle name="Normal 3 9" xfId="759"/>
    <cellStyle name="Normal 30" xfId="2122"/>
    <cellStyle name="Normal 31" xfId="2123"/>
    <cellStyle name="Normal 4" xfId="202"/>
    <cellStyle name="Normal 4 10" xfId="761"/>
    <cellStyle name="Normal 4 11" xfId="760"/>
    <cellStyle name="Normal 4 12" xfId="1505"/>
    <cellStyle name="Normal 4 2" xfId="268"/>
    <cellStyle name="Normal 4 2 2" xfId="763"/>
    <cellStyle name="Normal 4 2 3" xfId="762"/>
    <cellStyle name="Normal 4 2 4" xfId="1101"/>
    <cellStyle name="Normal 4 3" xfId="764"/>
    <cellStyle name="Normal 4 4" xfId="765"/>
    <cellStyle name="Normal 4 5" xfId="766"/>
    <cellStyle name="Normal 4 6" xfId="767"/>
    <cellStyle name="Normal 4 7" xfId="768"/>
    <cellStyle name="Normal 4 8" xfId="769"/>
    <cellStyle name="Normal 4 9" xfId="770"/>
    <cellStyle name="Normal 5" xfId="205"/>
    <cellStyle name="Normal 5 10" xfId="772"/>
    <cellStyle name="Normal 5 11" xfId="771"/>
    <cellStyle name="Normal 5 12" xfId="1148"/>
    <cellStyle name="Normal 5 13" xfId="1506"/>
    <cellStyle name="Normal 5 2" xfId="773"/>
    <cellStyle name="Normal 5 2 2" xfId="774"/>
    <cellStyle name="Normal 5 3" xfId="775"/>
    <cellStyle name="Normal 5 4" xfId="776"/>
    <cellStyle name="Normal 5 5" xfId="777"/>
    <cellStyle name="Normal 5 6" xfId="778"/>
    <cellStyle name="Normal 5 7" xfId="779"/>
    <cellStyle name="Normal 5 8" xfId="780"/>
    <cellStyle name="Normal 5 9" xfId="781"/>
    <cellStyle name="Normal 6" xfId="211"/>
    <cellStyle name="Normal 6 10" xfId="783"/>
    <cellStyle name="Normal 6 11" xfId="784"/>
    <cellStyle name="Normal 6 12" xfId="785"/>
    <cellStyle name="Normal 6 13" xfId="786"/>
    <cellStyle name="Normal 6 14" xfId="787"/>
    <cellStyle name="Normal 6 15" xfId="788"/>
    <cellStyle name="Normal 6 16" xfId="789"/>
    <cellStyle name="Normal 6 17" xfId="790"/>
    <cellStyle name="Normal 6 18" xfId="791"/>
    <cellStyle name="Normal 6 19" xfId="792"/>
    <cellStyle name="Normal 6 2" xfId="793"/>
    <cellStyle name="Normal 6 2 2" xfId="794"/>
    <cellStyle name="Normal 6 20" xfId="795"/>
    <cellStyle name="Normal 6 21" xfId="796"/>
    <cellStyle name="Normal 6 22" xfId="797"/>
    <cellStyle name="Normal 6 23" xfId="798"/>
    <cellStyle name="Normal 6 24" xfId="799"/>
    <cellStyle name="Normal 6 25" xfId="800"/>
    <cellStyle name="Normal 6 26" xfId="801"/>
    <cellStyle name="Normal 6 27" xfId="802"/>
    <cellStyle name="Normal 6 28" xfId="803"/>
    <cellStyle name="Normal 6 29" xfId="804"/>
    <cellStyle name="Normal 6 3" xfId="805"/>
    <cellStyle name="Normal 6 3 2" xfId="806"/>
    <cellStyle name="Normal 6 30" xfId="807"/>
    <cellStyle name="Normal 6 31" xfId="808"/>
    <cellStyle name="Normal 6 32" xfId="782"/>
    <cellStyle name="Normal 6 33" xfId="1152"/>
    <cellStyle name="Normal 6 4" xfId="809"/>
    <cellStyle name="Normal 6 4 2" xfId="810"/>
    <cellStyle name="Normal 6 5" xfId="811"/>
    <cellStyle name="Normal 6 6" xfId="812"/>
    <cellStyle name="Normal 6 7" xfId="813"/>
    <cellStyle name="Normal 6 8" xfId="814"/>
    <cellStyle name="Normal 6 9" xfId="815"/>
    <cellStyle name="Normal 7" xfId="168"/>
    <cellStyle name="Normal 7 10" xfId="817"/>
    <cellStyle name="Normal 7 11" xfId="818"/>
    <cellStyle name="Normal 7 12" xfId="819"/>
    <cellStyle name="Normal 7 13" xfId="820"/>
    <cellStyle name="Normal 7 14" xfId="821"/>
    <cellStyle name="Normal 7 15" xfId="822"/>
    <cellStyle name="Normal 7 16" xfId="823"/>
    <cellStyle name="Normal 7 17" xfId="824"/>
    <cellStyle name="Normal 7 18" xfId="825"/>
    <cellStyle name="Normal 7 19" xfId="826"/>
    <cellStyle name="Normal 7 2" xfId="827"/>
    <cellStyle name="Normal 7 2 2" xfId="828"/>
    <cellStyle name="Normal 7 20" xfId="829"/>
    <cellStyle name="Normal 7 21" xfId="830"/>
    <cellStyle name="Normal 7 22" xfId="831"/>
    <cellStyle name="Normal 7 23" xfId="832"/>
    <cellStyle name="Normal 7 24" xfId="833"/>
    <cellStyle name="Normal 7 25" xfId="834"/>
    <cellStyle name="Normal 7 26" xfId="835"/>
    <cellStyle name="Normal 7 27" xfId="836"/>
    <cellStyle name="Normal 7 28" xfId="837"/>
    <cellStyle name="Normal 7 29" xfId="838"/>
    <cellStyle name="Normal 7 3" xfId="839"/>
    <cellStyle name="Normal 7 3 2" xfId="840"/>
    <cellStyle name="Normal 7 30" xfId="841"/>
    <cellStyle name="Normal 7 31" xfId="842"/>
    <cellStyle name="Normal 7 32" xfId="816"/>
    <cellStyle name="Normal 7 33" xfId="1118"/>
    <cellStyle name="Normal 7 4" xfId="843"/>
    <cellStyle name="Normal 7 4 2" xfId="844"/>
    <cellStyle name="Normal 7 5" xfId="845"/>
    <cellStyle name="Normal 7 6" xfId="846"/>
    <cellStyle name="Normal 7 7" xfId="847"/>
    <cellStyle name="Normal 7 8" xfId="848"/>
    <cellStyle name="Normal 7 9" xfId="849"/>
    <cellStyle name="Normal 8" xfId="214"/>
    <cellStyle name="Normal 8 10" xfId="851"/>
    <cellStyle name="Normal 8 11" xfId="852"/>
    <cellStyle name="Normal 8 12" xfId="853"/>
    <cellStyle name="Normal 8 13" xfId="854"/>
    <cellStyle name="Normal 8 14" xfId="855"/>
    <cellStyle name="Normal 8 15" xfId="856"/>
    <cellStyle name="Normal 8 16" xfId="857"/>
    <cellStyle name="Normal 8 17" xfId="858"/>
    <cellStyle name="Normal 8 18" xfId="859"/>
    <cellStyle name="Normal 8 19" xfId="860"/>
    <cellStyle name="Normal 8 2" xfId="861"/>
    <cellStyle name="Normal 8 2 2" xfId="862"/>
    <cellStyle name="Normal 8 20" xfId="863"/>
    <cellStyle name="Normal 8 21" xfId="864"/>
    <cellStyle name="Normal 8 22" xfId="865"/>
    <cellStyle name="Normal 8 23" xfId="866"/>
    <cellStyle name="Normal 8 24" xfId="867"/>
    <cellStyle name="Normal 8 25" xfId="868"/>
    <cellStyle name="Normal 8 26" xfId="869"/>
    <cellStyle name="Normal 8 27" xfId="870"/>
    <cellStyle name="Normal 8 28" xfId="871"/>
    <cellStyle name="Normal 8 29" xfId="872"/>
    <cellStyle name="Normal 8 3" xfId="873"/>
    <cellStyle name="Normal 8 3 2" xfId="874"/>
    <cellStyle name="Normal 8 30" xfId="875"/>
    <cellStyle name="Normal 8 31" xfId="876"/>
    <cellStyle name="Normal 8 32" xfId="850"/>
    <cellStyle name="Normal 8 33" xfId="1155"/>
    <cellStyle name="Normal 8 4" xfId="877"/>
    <cellStyle name="Normal 8 4 2" xfId="878"/>
    <cellStyle name="Normal 8 5" xfId="879"/>
    <cellStyle name="Normal 8 6" xfId="880"/>
    <cellStyle name="Normal 8 7" xfId="881"/>
    <cellStyle name="Normal 8 8" xfId="882"/>
    <cellStyle name="Normal 8 9" xfId="883"/>
    <cellStyle name="Normal 9" xfId="215"/>
    <cellStyle name="Normal 9 10" xfId="1038"/>
    <cellStyle name="Normal 9 11" xfId="1156"/>
    <cellStyle name="Normal 9 12" xfId="1508"/>
    <cellStyle name="Normal 9 2" xfId="884"/>
    <cellStyle name="Normal 9 3" xfId="885"/>
    <cellStyle name="Normal 9 4" xfId="886"/>
    <cellStyle name="Normal 9 5" xfId="887"/>
    <cellStyle name="Normal 9 6" xfId="888"/>
    <cellStyle name="Normal 9 7" xfId="889"/>
    <cellStyle name="Normal 9 8" xfId="890"/>
    <cellStyle name="Normal 9 9" xfId="891"/>
    <cellStyle name="Normal(0)" xfId="1412"/>
    <cellStyle name="Normal_CSF" xfId="1082"/>
    <cellStyle name="Normal_DisclaimerSheet Samples" xfId="3376"/>
    <cellStyle name="Normal_VRTX (2)" xfId="101"/>
    <cellStyle name="Normale_LSCO0697" xfId="1413"/>
    <cellStyle name="Note 2" xfId="892"/>
    <cellStyle name="Notes" xfId="102"/>
    <cellStyle name="Notes 2" xfId="189"/>
    <cellStyle name="Notes 2 2" xfId="1137"/>
    <cellStyle name="Number" xfId="1414"/>
    <cellStyle name="Number0" xfId="1415"/>
    <cellStyle name="Number1" xfId="1416"/>
    <cellStyle name="Number2" xfId="1417"/>
    <cellStyle name="Numbers" xfId="1418"/>
    <cellStyle name="Numbers - Bold" xfId="1419"/>
    <cellStyle name="Numbers - Bold - Italic" xfId="1420"/>
    <cellStyle name="Numbers - Bold_SMRT Model" xfId="1421"/>
    <cellStyle name="Numbers - Large" xfId="1422"/>
    <cellStyle name="Numbers_BoardBS" xfId="1423"/>
    <cellStyle name="Œ…‹æØ‚è [0.00]_GE 3 MINIMUM" xfId="1424"/>
    <cellStyle name="Œ…‹æØ‚è_GE 3 MINIMUM" xfId="1425"/>
    <cellStyle name="OSW_ColumnLabels" xfId="1426"/>
    <cellStyle name="outh America" xfId="103"/>
    <cellStyle name="Output 2" xfId="104"/>
    <cellStyle name="Output 2 2" xfId="893"/>
    <cellStyle name="Output Labels" xfId="105"/>
    <cellStyle name="OutputPct" xfId="106"/>
    <cellStyle name="OutputPlain" xfId="107"/>
    <cellStyle name="over" xfId="1427"/>
    <cellStyle name="p " xfId="1090"/>
    <cellStyle name="Page Heading" xfId="108"/>
    <cellStyle name="PageSubtitle" xfId="109"/>
    <cellStyle name="PageTitle" xfId="110"/>
    <cellStyle name="Palatino" xfId="111"/>
    <cellStyle name="Pass" xfId="2124"/>
    <cellStyle name="pe" xfId="112"/>
    <cellStyle name="PEG" xfId="113"/>
    <cellStyle name="per.style" xfId="1428"/>
    <cellStyle name="Percent" xfId="1" builtinId="5"/>
    <cellStyle name="Percent (0)" xfId="115"/>
    <cellStyle name="Percent (0.0)" xfId="116"/>
    <cellStyle name="Percent [0]" xfId="117"/>
    <cellStyle name="Percent [0] 2" xfId="195"/>
    <cellStyle name="Percent [0] 2 2" xfId="1141"/>
    <cellStyle name="Percent [00]" xfId="1429"/>
    <cellStyle name="Percent [1]" xfId="1064"/>
    <cellStyle name="Percent [2]" xfId="118"/>
    <cellStyle name="Percent 10" xfId="221"/>
    <cellStyle name="Percent 10 2" xfId="1162"/>
    <cellStyle name="Percent 11" xfId="244"/>
    <cellStyle name="Percent 11 2" xfId="1176"/>
    <cellStyle name="Percent 12" xfId="253"/>
    <cellStyle name="Percent 12 2" xfId="1184"/>
    <cellStyle name="Percent 13" xfId="246"/>
    <cellStyle name="Percent 13 2" xfId="1178"/>
    <cellStyle name="Percent 14" xfId="255"/>
    <cellStyle name="Percent 14 2" xfId="1186"/>
    <cellStyle name="Percent 15" xfId="243"/>
    <cellStyle name="Percent 15 2" xfId="1175"/>
    <cellStyle name="Percent 16" xfId="259"/>
    <cellStyle name="Percent 16 2" xfId="1187"/>
    <cellStyle name="Percent 17" xfId="247"/>
    <cellStyle name="Percent 17 2" xfId="1179"/>
    <cellStyle name="Percent 18" xfId="271"/>
    <cellStyle name="Percent 18 2" xfId="1192"/>
    <cellStyle name="Percent 19" xfId="216"/>
    <cellStyle name="Percent 19 2" xfId="1157"/>
    <cellStyle name="Percent 2" xfId="114"/>
    <cellStyle name="Percent 2 10" xfId="894"/>
    <cellStyle name="Percent 2 11" xfId="895"/>
    <cellStyle name="Percent 2 12" xfId="896"/>
    <cellStyle name="Percent 2 13" xfId="1430"/>
    <cellStyle name="Percent 2 14" xfId="1431"/>
    <cellStyle name="Percent 2 15" xfId="1498"/>
    <cellStyle name="Percent 2 2" xfId="897"/>
    <cellStyle name="Percent 2 2 2" xfId="898"/>
    <cellStyle name="Percent 2 2 3" xfId="1507"/>
    <cellStyle name="Percent 2 3" xfId="899"/>
    <cellStyle name="Percent 2 3 2" xfId="900"/>
    <cellStyle name="Percent 2 4" xfId="901"/>
    <cellStyle name="Percent 2 5" xfId="902"/>
    <cellStyle name="Percent 2 6" xfId="903"/>
    <cellStyle name="Percent 2 7" xfId="904"/>
    <cellStyle name="Percent 2 8" xfId="905"/>
    <cellStyle name="Percent 2 9" xfId="906"/>
    <cellStyle name="Percent 20" xfId="1063"/>
    <cellStyle name="Percent 21" xfId="1081"/>
    <cellStyle name="Percent 22" xfId="907"/>
    <cellStyle name="Percent 22 2" xfId="908"/>
    <cellStyle name="Percent 25" xfId="909"/>
    <cellStyle name="Percent 3" xfId="194"/>
    <cellStyle name="Percent 3 2" xfId="911"/>
    <cellStyle name="Percent 3 3" xfId="912"/>
    <cellStyle name="Percent 3 4" xfId="910"/>
    <cellStyle name="Percent 3 5" xfId="1140"/>
    <cellStyle name="Percent 4" xfId="203"/>
    <cellStyle name="Percent 4 2" xfId="1147"/>
    <cellStyle name="Percent 5" xfId="208"/>
    <cellStyle name="Percent 5 2" xfId="1149"/>
    <cellStyle name="Percent 6" xfId="169"/>
    <cellStyle name="Percent 6 2" xfId="1119"/>
    <cellStyle name="Percent 7" xfId="212"/>
    <cellStyle name="Percent 7 2" xfId="1153"/>
    <cellStyle name="Percent 8" xfId="191"/>
    <cellStyle name="Percent 8 2" xfId="1139"/>
    <cellStyle name="Percent 9" xfId="241"/>
    <cellStyle name="Percent 9 2" xfId="1173"/>
    <cellStyle name="Percent F [0]" xfId="1065"/>
    <cellStyle name="Percent F [1]" xfId="1066"/>
    <cellStyle name="Percent F [2]" xfId="1067"/>
    <cellStyle name="Percent H [0]" xfId="1068"/>
    <cellStyle name="Percent Hard" xfId="119"/>
    <cellStyle name="Percent total [0]" xfId="1069"/>
    <cellStyle name="Percent total [1]" xfId="1070"/>
    <cellStyle name="Percent0" xfId="120"/>
    <cellStyle name="Percent1" xfId="1432"/>
    <cellStyle name="Percent2" xfId="1433"/>
    <cellStyle name="Percentage" xfId="913"/>
    <cellStyle name="Percentage 2" xfId="1434"/>
    <cellStyle name="Percentage 2 2" xfId="2125"/>
    <cellStyle name="Percentage 2 3" xfId="2126"/>
    <cellStyle name="Percentage 3" xfId="2127"/>
    <cellStyle name="Percentage 4" xfId="2128"/>
    <cellStyle name="PercentChange" xfId="121"/>
    <cellStyle name="PercentChange 2" xfId="196"/>
    <cellStyle name="PercentChange 2 2" xfId="1142"/>
    <cellStyle name="posit" xfId="1435"/>
    <cellStyle name="PrePop Currency (0)" xfId="1436"/>
    <cellStyle name="PrePop Currency (2)" xfId="1437"/>
    <cellStyle name="PrePop Units (0)" xfId="1438"/>
    <cellStyle name="PrePop Units (1)" xfId="1439"/>
    <cellStyle name="PrePop Units (2)" xfId="1440"/>
    <cellStyle name="PRICE" xfId="122"/>
    <cellStyle name="PRICE 10" xfId="1441"/>
    <cellStyle name="PRICE 10 10" xfId="2129"/>
    <cellStyle name="PRICE 10 2" xfId="2130"/>
    <cellStyle name="PRICE 10 3" xfId="2131"/>
    <cellStyle name="PRICE 10 4" xfId="2132"/>
    <cellStyle name="PRICE 10 5" xfId="2133"/>
    <cellStyle name="PRICE 10 6" xfId="2134"/>
    <cellStyle name="PRICE 10 7" xfId="2135"/>
    <cellStyle name="PRICE 10 8" xfId="2136"/>
    <cellStyle name="PRICE 10 9" xfId="2137"/>
    <cellStyle name="PRICE 11" xfId="1442"/>
    <cellStyle name="PRICE 11 2" xfId="2138"/>
    <cellStyle name="PRICE 11 3" xfId="2139"/>
    <cellStyle name="PRICE 11 4" xfId="2140"/>
    <cellStyle name="PRICE 11 5" xfId="2141"/>
    <cellStyle name="PRICE 11 6" xfId="2142"/>
    <cellStyle name="PRICE 11 7" xfId="2143"/>
    <cellStyle name="PRICE 11 8" xfId="2144"/>
    <cellStyle name="PRICE 11 9" xfId="2145"/>
    <cellStyle name="PRICE 12" xfId="2146"/>
    <cellStyle name="PRICE 13" xfId="2147"/>
    <cellStyle name="PRICE 14" xfId="2148"/>
    <cellStyle name="PRICE 15" xfId="2149"/>
    <cellStyle name="PRICE 16" xfId="2150"/>
    <cellStyle name="PRICE 17" xfId="2151"/>
    <cellStyle name="PRICE 18" xfId="2152"/>
    <cellStyle name="PRICE 19" xfId="2153"/>
    <cellStyle name="price 2" xfId="250"/>
    <cellStyle name="PRICE 3" xfId="1443"/>
    <cellStyle name="PRICE 3 10" xfId="2154"/>
    <cellStyle name="PRICE 3 2" xfId="2155"/>
    <cellStyle name="PRICE 3 3" xfId="2156"/>
    <cellStyle name="PRICE 3 4" xfId="2157"/>
    <cellStyle name="PRICE 3 5" xfId="2158"/>
    <cellStyle name="PRICE 3 6" xfId="2159"/>
    <cellStyle name="PRICE 3 7" xfId="2160"/>
    <cellStyle name="PRICE 3 8" xfId="2161"/>
    <cellStyle name="PRICE 3 9" xfId="2162"/>
    <cellStyle name="PRICE 4" xfId="1444"/>
    <cellStyle name="PRICE 4 10" xfId="2163"/>
    <cellStyle name="PRICE 4 2" xfId="2164"/>
    <cellStyle name="PRICE 4 3" xfId="2165"/>
    <cellStyle name="PRICE 4 4" xfId="2166"/>
    <cellStyle name="PRICE 4 5" xfId="2167"/>
    <cellStyle name="PRICE 4 6" xfId="2168"/>
    <cellStyle name="PRICE 4 7" xfId="2169"/>
    <cellStyle name="PRICE 4 8" xfId="2170"/>
    <cellStyle name="PRICE 4 9" xfId="2171"/>
    <cellStyle name="PRICE 5" xfId="1445"/>
    <cellStyle name="PRICE 5 10" xfId="2172"/>
    <cellStyle name="PRICE 5 2" xfId="2173"/>
    <cellStyle name="PRICE 5 3" xfId="2174"/>
    <cellStyle name="PRICE 5 4" xfId="2175"/>
    <cellStyle name="PRICE 5 5" xfId="2176"/>
    <cellStyle name="PRICE 5 6" xfId="2177"/>
    <cellStyle name="PRICE 5 7" xfId="2178"/>
    <cellStyle name="PRICE 5 8" xfId="2179"/>
    <cellStyle name="PRICE 5 9" xfId="2180"/>
    <cellStyle name="PRICE 6" xfId="1446"/>
    <cellStyle name="PRICE 6 10" xfId="2181"/>
    <cellStyle name="PRICE 6 2" xfId="2182"/>
    <cellStyle name="PRICE 6 3" xfId="2183"/>
    <cellStyle name="PRICE 6 4" xfId="2184"/>
    <cellStyle name="PRICE 6 5" xfId="2185"/>
    <cellStyle name="PRICE 6 6" xfId="2186"/>
    <cellStyle name="PRICE 6 7" xfId="2187"/>
    <cellStyle name="PRICE 6 8" xfId="2188"/>
    <cellStyle name="PRICE 6 9" xfId="2189"/>
    <cellStyle name="PRICE 7" xfId="1447"/>
    <cellStyle name="PRICE 7 10" xfId="2190"/>
    <cellStyle name="PRICE 7 2" xfId="2191"/>
    <cellStyle name="PRICE 7 3" xfId="2192"/>
    <cellStyle name="PRICE 7 4" xfId="2193"/>
    <cellStyle name="PRICE 7 5" xfId="2194"/>
    <cellStyle name="PRICE 7 6" xfId="2195"/>
    <cellStyle name="PRICE 7 7" xfId="2196"/>
    <cellStyle name="PRICE 7 8" xfId="2197"/>
    <cellStyle name="PRICE 7 9" xfId="2198"/>
    <cellStyle name="PRICE 8" xfId="1448"/>
    <cellStyle name="PRICE 8 10" xfId="2199"/>
    <cellStyle name="PRICE 8 2" xfId="2200"/>
    <cellStyle name="PRICE 8 3" xfId="2201"/>
    <cellStyle name="PRICE 8 4" xfId="2202"/>
    <cellStyle name="PRICE 8 5" xfId="2203"/>
    <cellStyle name="PRICE 8 6" xfId="2204"/>
    <cellStyle name="PRICE 8 7" xfId="2205"/>
    <cellStyle name="PRICE 8 8" xfId="2206"/>
    <cellStyle name="PRICE 8 9" xfId="2207"/>
    <cellStyle name="PRICE 9" xfId="1449"/>
    <cellStyle name="PRICE 9 10" xfId="2208"/>
    <cellStyle name="PRICE 9 2" xfId="2209"/>
    <cellStyle name="PRICE 9 3" xfId="2210"/>
    <cellStyle name="PRICE 9 4" xfId="2211"/>
    <cellStyle name="PRICE 9 5" xfId="2212"/>
    <cellStyle name="PRICE 9 6" xfId="2213"/>
    <cellStyle name="PRICE 9 7" xfId="2214"/>
    <cellStyle name="PRICE 9 8" xfId="2215"/>
    <cellStyle name="PRICE 9 9" xfId="2216"/>
    <cellStyle name="pricing" xfId="1450"/>
    <cellStyle name="PSChar" xfId="1451"/>
    <cellStyle name="PSDate" xfId="1452"/>
    <cellStyle name="PSDec" xfId="1453"/>
    <cellStyle name="PSHeading" xfId="1454"/>
    <cellStyle name="PSInt" xfId="1455"/>
    <cellStyle name="PSSpacer" xfId="1456"/>
    <cellStyle name="q" xfId="123"/>
    <cellStyle name="QEPS-h" xfId="124"/>
    <cellStyle name="QEPS-H1" xfId="125"/>
    <cellStyle name="QEPS-H1 2" xfId="1099"/>
    <cellStyle name="qRange" xfId="126"/>
    <cellStyle name="r" xfId="1457"/>
    <cellStyle name="r_increm pf" xfId="1458"/>
    <cellStyle name="r_Valuation_Arthur3" xfId="1459"/>
    <cellStyle name="range" xfId="127"/>
    <cellStyle name="RangeBelow" xfId="1460"/>
    <cellStyle name="RatioX" xfId="128"/>
    <cellStyle name="RatioX 2" xfId="197"/>
    <cellStyle name="RatioX 2 2" xfId="1143"/>
    <cellStyle name="regstoresfromspecstores" xfId="1461"/>
    <cellStyle name="Remove Border" xfId="129"/>
    <cellStyle name="RevList" xfId="1462"/>
    <cellStyle name="Right" xfId="130"/>
    <cellStyle name="ROC [1]" xfId="1071"/>
    <cellStyle name="ROC alt [1]" xfId="1072"/>
    <cellStyle name="ROC F [1]" xfId="1073"/>
    <cellStyle name="RRSInstruction" xfId="1496"/>
    <cellStyle name="s_HardInc " xfId="1091"/>
    <cellStyle name="s_Valuation " xfId="1092"/>
    <cellStyle name="s_Valuation  2" xfId="2217"/>
    <cellStyle name="SAPBEXaggData" xfId="914"/>
    <cellStyle name="SAPBEXaggData 10" xfId="2218"/>
    <cellStyle name="SAPBEXaggData 11" xfId="2219"/>
    <cellStyle name="SAPBEXaggData 12" xfId="2220"/>
    <cellStyle name="SAPBEXaggData 13" xfId="2221"/>
    <cellStyle name="SAPBEXaggData 2" xfId="915"/>
    <cellStyle name="SAPBEXaggData 2 10" xfId="2222"/>
    <cellStyle name="SAPBEXaggData 2 11" xfId="2223"/>
    <cellStyle name="SAPBEXaggData 2 2" xfId="2224"/>
    <cellStyle name="SAPBEXaggData 2 3" xfId="2225"/>
    <cellStyle name="SAPBEXaggData 2 4" xfId="2226"/>
    <cellStyle name="SAPBEXaggData 2 5" xfId="2227"/>
    <cellStyle name="SAPBEXaggData 2 6" xfId="2228"/>
    <cellStyle name="SAPBEXaggData 2 7" xfId="2229"/>
    <cellStyle name="SAPBEXaggData 2 8" xfId="2230"/>
    <cellStyle name="SAPBEXaggData 2 9" xfId="2231"/>
    <cellStyle name="SAPBEXaggData 3" xfId="916"/>
    <cellStyle name="SAPBEXaggData 3 10" xfId="2232"/>
    <cellStyle name="SAPBEXaggData 3 11" xfId="2233"/>
    <cellStyle name="SAPBEXaggData 3 2" xfId="2234"/>
    <cellStyle name="SAPBEXaggData 3 3" xfId="2235"/>
    <cellStyle name="SAPBEXaggData 3 4" xfId="2236"/>
    <cellStyle name="SAPBEXaggData 3 5" xfId="2237"/>
    <cellStyle name="SAPBEXaggData 3 6" xfId="2238"/>
    <cellStyle name="SAPBEXaggData 3 7" xfId="2239"/>
    <cellStyle name="SAPBEXaggData 3 8" xfId="2240"/>
    <cellStyle name="SAPBEXaggData 3 9" xfId="2241"/>
    <cellStyle name="SAPBEXaggData 4" xfId="2242"/>
    <cellStyle name="SAPBEXaggData 5" xfId="2243"/>
    <cellStyle name="SAPBEXaggData 6" xfId="2244"/>
    <cellStyle name="SAPBEXaggData 7" xfId="2245"/>
    <cellStyle name="SAPBEXaggData 8" xfId="2246"/>
    <cellStyle name="SAPBEXaggData 9" xfId="2247"/>
    <cellStyle name="SAPBEXaggDataEmph" xfId="917"/>
    <cellStyle name="SAPBEXaggDataEmph 10" xfId="2248"/>
    <cellStyle name="SAPBEXaggDataEmph 11" xfId="2249"/>
    <cellStyle name="SAPBEXaggDataEmph 2" xfId="2250"/>
    <cellStyle name="SAPBEXaggDataEmph 3" xfId="2251"/>
    <cellStyle name="SAPBEXaggDataEmph 4" xfId="2252"/>
    <cellStyle name="SAPBEXaggDataEmph 5" xfId="2253"/>
    <cellStyle name="SAPBEXaggDataEmph 6" xfId="2254"/>
    <cellStyle name="SAPBEXaggDataEmph 7" xfId="2255"/>
    <cellStyle name="SAPBEXaggDataEmph 8" xfId="2256"/>
    <cellStyle name="SAPBEXaggDataEmph 9" xfId="2257"/>
    <cellStyle name="SAPBEXaggItem" xfId="918"/>
    <cellStyle name="SAPBEXaggItem 10" xfId="2258"/>
    <cellStyle name="SAPBEXaggItem 11" xfId="2259"/>
    <cellStyle name="SAPBEXaggItem 12" xfId="2260"/>
    <cellStyle name="SAPBEXaggItem 13" xfId="2261"/>
    <cellStyle name="SAPBEXaggItem 2" xfId="919"/>
    <cellStyle name="SAPBEXaggItem 2 10" xfId="2262"/>
    <cellStyle name="SAPBEXaggItem 2 11" xfId="2263"/>
    <cellStyle name="SAPBEXaggItem 2 2" xfId="2264"/>
    <cellStyle name="SAPBEXaggItem 2 3" xfId="2265"/>
    <cellStyle name="SAPBEXaggItem 2 4" xfId="2266"/>
    <cellStyle name="SAPBEXaggItem 2 5" xfId="2267"/>
    <cellStyle name="SAPBEXaggItem 2 6" xfId="2268"/>
    <cellStyle name="SAPBEXaggItem 2 7" xfId="2269"/>
    <cellStyle name="SAPBEXaggItem 2 8" xfId="2270"/>
    <cellStyle name="SAPBEXaggItem 2 9" xfId="2271"/>
    <cellStyle name="SAPBEXaggItem 3" xfId="920"/>
    <cellStyle name="SAPBEXaggItem 3 10" xfId="2272"/>
    <cellStyle name="SAPBEXaggItem 3 11" xfId="2273"/>
    <cellStyle name="SAPBEXaggItem 3 2" xfId="2274"/>
    <cellStyle name="SAPBEXaggItem 3 3" xfId="2275"/>
    <cellStyle name="SAPBEXaggItem 3 4" xfId="2276"/>
    <cellStyle name="SAPBEXaggItem 3 5" xfId="2277"/>
    <cellStyle name="SAPBEXaggItem 3 6" xfId="2278"/>
    <cellStyle name="SAPBEXaggItem 3 7" xfId="2279"/>
    <cellStyle name="SAPBEXaggItem 3 8" xfId="2280"/>
    <cellStyle name="SAPBEXaggItem 3 9" xfId="2281"/>
    <cellStyle name="SAPBEXaggItem 4" xfId="2282"/>
    <cellStyle name="SAPBEXaggItem 5" xfId="2283"/>
    <cellStyle name="SAPBEXaggItem 6" xfId="2284"/>
    <cellStyle name="SAPBEXaggItem 7" xfId="2285"/>
    <cellStyle name="SAPBEXaggItem 8" xfId="2286"/>
    <cellStyle name="SAPBEXaggItem 9" xfId="2287"/>
    <cellStyle name="SAPBEXaggItemX" xfId="921"/>
    <cellStyle name="SAPBEXaggItemX 10" xfId="2288"/>
    <cellStyle name="SAPBEXaggItemX 11" xfId="2289"/>
    <cellStyle name="SAPBEXaggItemX 2" xfId="2290"/>
    <cellStyle name="SAPBEXaggItemX 3" xfId="2291"/>
    <cellStyle name="SAPBEXaggItemX 4" xfId="2292"/>
    <cellStyle name="SAPBEXaggItemX 5" xfId="2293"/>
    <cellStyle name="SAPBEXaggItemX 6" xfId="2294"/>
    <cellStyle name="SAPBEXaggItemX 7" xfId="2295"/>
    <cellStyle name="SAPBEXaggItemX 8" xfId="2296"/>
    <cellStyle name="SAPBEXaggItemX 9" xfId="2297"/>
    <cellStyle name="SAPBEXchaText" xfId="922"/>
    <cellStyle name="SAPBEXexcBad7" xfId="923"/>
    <cellStyle name="SAPBEXexcBad7 10" xfId="2298"/>
    <cellStyle name="SAPBEXexcBad7 11" xfId="2299"/>
    <cellStyle name="SAPBEXexcBad7 2" xfId="2300"/>
    <cellStyle name="SAPBEXexcBad7 3" xfId="2301"/>
    <cellStyle name="SAPBEXexcBad7 4" xfId="2302"/>
    <cellStyle name="SAPBEXexcBad7 5" xfId="2303"/>
    <cellStyle name="SAPBEXexcBad7 6" xfId="2304"/>
    <cellStyle name="SAPBEXexcBad7 7" xfId="2305"/>
    <cellStyle name="SAPBEXexcBad7 8" xfId="2306"/>
    <cellStyle name="SAPBEXexcBad7 9" xfId="2307"/>
    <cellStyle name="SAPBEXexcBad8" xfId="924"/>
    <cellStyle name="SAPBEXexcBad8 10" xfId="2308"/>
    <cellStyle name="SAPBEXexcBad8 11" xfId="2309"/>
    <cellStyle name="SAPBEXexcBad8 2" xfId="2310"/>
    <cellStyle name="SAPBEXexcBad8 3" xfId="2311"/>
    <cellStyle name="SAPBEXexcBad8 4" xfId="2312"/>
    <cellStyle name="SAPBEXexcBad8 5" xfId="2313"/>
    <cellStyle name="SAPBEXexcBad8 6" xfId="2314"/>
    <cellStyle name="SAPBEXexcBad8 7" xfId="2315"/>
    <cellStyle name="SAPBEXexcBad8 8" xfId="2316"/>
    <cellStyle name="SAPBEXexcBad8 9" xfId="2317"/>
    <cellStyle name="SAPBEXexcBad9" xfId="925"/>
    <cellStyle name="SAPBEXexcBad9 10" xfId="2318"/>
    <cellStyle name="SAPBEXexcBad9 11" xfId="2319"/>
    <cellStyle name="SAPBEXexcBad9 2" xfId="2320"/>
    <cellStyle name="SAPBEXexcBad9 3" xfId="2321"/>
    <cellStyle name="SAPBEXexcBad9 4" xfId="2322"/>
    <cellStyle name="SAPBEXexcBad9 5" xfId="2323"/>
    <cellStyle name="SAPBEXexcBad9 6" xfId="2324"/>
    <cellStyle name="SAPBEXexcBad9 7" xfId="2325"/>
    <cellStyle name="SAPBEXexcBad9 8" xfId="2326"/>
    <cellStyle name="SAPBEXexcBad9 9" xfId="2327"/>
    <cellStyle name="SAPBEXexcCritical4" xfId="926"/>
    <cellStyle name="SAPBEXexcCritical4 10" xfId="2328"/>
    <cellStyle name="SAPBEXexcCritical4 11" xfId="2329"/>
    <cellStyle name="SAPBEXexcCritical4 2" xfId="2330"/>
    <cellStyle name="SAPBEXexcCritical4 3" xfId="2331"/>
    <cellStyle name="SAPBEXexcCritical4 4" xfId="2332"/>
    <cellStyle name="SAPBEXexcCritical4 5" xfId="2333"/>
    <cellStyle name="SAPBEXexcCritical4 6" xfId="2334"/>
    <cellStyle name="SAPBEXexcCritical4 7" xfId="2335"/>
    <cellStyle name="SAPBEXexcCritical4 8" xfId="2336"/>
    <cellStyle name="SAPBEXexcCritical4 9" xfId="2337"/>
    <cellStyle name="SAPBEXexcCritical5" xfId="927"/>
    <cellStyle name="SAPBEXexcCritical5 10" xfId="2338"/>
    <cellStyle name="SAPBEXexcCritical5 11" xfId="2339"/>
    <cellStyle name="SAPBEXexcCritical5 2" xfId="2340"/>
    <cellStyle name="SAPBEXexcCritical5 3" xfId="2341"/>
    <cellStyle name="SAPBEXexcCritical5 4" xfId="2342"/>
    <cellStyle name="SAPBEXexcCritical5 5" xfId="2343"/>
    <cellStyle name="SAPBEXexcCritical5 6" xfId="2344"/>
    <cellStyle name="SAPBEXexcCritical5 7" xfId="2345"/>
    <cellStyle name="SAPBEXexcCritical5 8" xfId="2346"/>
    <cellStyle name="SAPBEXexcCritical5 9" xfId="2347"/>
    <cellStyle name="SAPBEXexcCritical6" xfId="928"/>
    <cellStyle name="SAPBEXexcCritical6 10" xfId="2348"/>
    <cellStyle name="SAPBEXexcCritical6 11" xfId="2349"/>
    <cellStyle name="SAPBEXexcCritical6 2" xfId="2350"/>
    <cellStyle name="SAPBEXexcCritical6 3" xfId="2351"/>
    <cellStyle name="SAPBEXexcCritical6 4" xfId="2352"/>
    <cellStyle name="SAPBEXexcCritical6 5" xfId="2353"/>
    <cellStyle name="SAPBEXexcCritical6 6" xfId="2354"/>
    <cellStyle name="SAPBEXexcCritical6 7" xfId="2355"/>
    <cellStyle name="SAPBEXexcCritical6 8" xfId="2356"/>
    <cellStyle name="SAPBEXexcCritical6 9" xfId="2357"/>
    <cellStyle name="SAPBEXexcGood1" xfId="929"/>
    <cellStyle name="SAPBEXexcGood1 10" xfId="2358"/>
    <cellStyle name="SAPBEXexcGood1 11" xfId="2359"/>
    <cellStyle name="SAPBEXexcGood1 2" xfId="2360"/>
    <cellStyle name="SAPBEXexcGood1 3" xfId="2361"/>
    <cellStyle name="SAPBEXexcGood1 4" xfId="2362"/>
    <cellStyle name="SAPBEXexcGood1 5" xfId="2363"/>
    <cellStyle name="SAPBEXexcGood1 6" xfId="2364"/>
    <cellStyle name="SAPBEXexcGood1 7" xfId="2365"/>
    <cellStyle name="SAPBEXexcGood1 8" xfId="2366"/>
    <cellStyle name="SAPBEXexcGood1 9" xfId="2367"/>
    <cellStyle name="SAPBEXexcGood2" xfId="930"/>
    <cellStyle name="SAPBEXexcGood2 10" xfId="2368"/>
    <cellStyle name="SAPBEXexcGood2 11" xfId="2369"/>
    <cellStyle name="SAPBEXexcGood2 2" xfId="2370"/>
    <cellStyle name="SAPBEXexcGood2 3" xfId="2371"/>
    <cellStyle name="SAPBEXexcGood2 4" xfId="2372"/>
    <cellStyle name="SAPBEXexcGood2 5" xfId="2373"/>
    <cellStyle name="SAPBEXexcGood2 6" xfId="2374"/>
    <cellStyle name="SAPBEXexcGood2 7" xfId="2375"/>
    <cellStyle name="SAPBEXexcGood2 8" xfId="2376"/>
    <cellStyle name="SAPBEXexcGood2 9" xfId="2377"/>
    <cellStyle name="SAPBEXexcGood3" xfId="931"/>
    <cellStyle name="SAPBEXexcGood3 10" xfId="2378"/>
    <cellStyle name="SAPBEXexcGood3 11" xfId="2379"/>
    <cellStyle name="SAPBEXexcGood3 2" xfId="2380"/>
    <cellStyle name="SAPBEXexcGood3 3" xfId="2381"/>
    <cellStyle name="SAPBEXexcGood3 4" xfId="2382"/>
    <cellStyle name="SAPBEXexcGood3 5" xfId="2383"/>
    <cellStyle name="SAPBEXexcGood3 6" xfId="2384"/>
    <cellStyle name="SAPBEXexcGood3 7" xfId="2385"/>
    <cellStyle name="SAPBEXexcGood3 8" xfId="2386"/>
    <cellStyle name="SAPBEXexcGood3 9" xfId="2387"/>
    <cellStyle name="SAPBEXfilterDrill" xfId="932"/>
    <cellStyle name="SAPBEXfilterItem" xfId="933"/>
    <cellStyle name="SAPBEXfilterText" xfId="934"/>
    <cellStyle name="SAPBEXformats" xfId="935"/>
    <cellStyle name="SAPBEXformats 10" xfId="2388"/>
    <cellStyle name="SAPBEXformats 11" xfId="2389"/>
    <cellStyle name="SAPBEXformats 2" xfId="2390"/>
    <cellStyle name="SAPBEXformats 3" xfId="2391"/>
    <cellStyle name="SAPBEXformats 4" xfId="2392"/>
    <cellStyle name="SAPBEXformats 5" xfId="2393"/>
    <cellStyle name="SAPBEXformats 6" xfId="2394"/>
    <cellStyle name="SAPBEXformats 7" xfId="2395"/>
    <cellStyle name="SAPBEXformats 8" xfId="2396"/>
    <cellStyle name="SAPBEXformats 9" xfId="2397"/>
    <cellStyle name="SAPBEXheaderItem" xfId="936"/>
    <cellStyle name="SAPBEXheaderItem 2" xfId="937"/>
    <cellStyle name="SAPBEXheaderText" xfId="938"/>
    <cellStyle name="SAPBEXheaderText 2" xfId="939"/>
    <cellStyle name="SAPBEXHLevel0" xfId="940"/>
    <cellStyle name="SAPBEXHLevel0 10" xfId="2398"/>
    <cellStyle name="SAPBEXHLevel0 11" xfId="2399"/>
    <cellStyle name="SAPBEXHLevel0 12" xfId="2400"/>
    <cellStyle name="SAPBEXHLevel0 13" xfId="2401"/>
    <cellStyle name="SAPBEXHLevel0 2" xfId="941"/>
    <cellStyle name="SAPBEXHLevel0 2 10" xfId="2402"/>
    <cellStyle name="SAPBEXHLevel0 2 11" xfId="2403"/>
    <cellStyle name="SAPBEXHLevel0 2 12" xfId="2404"/>
    <cellStyle name="SAPBEXHLevel0 2 2" xfId="942"/>
    <cellStyle name="SAPBEXHLevel0 2 2 10" xfId="2405"/>
    <cellStyle name="SAPBEXHLevel0 2 2 11" xfId="2406"/>
    <cellStyle name="SAPBEXHLevel0 2 2 2" xfId="2407"/>
    <cellStyle name="SAPBEXHLevel0 2 2 3" xfId="2408"/>
    <cellStyle name="SAPBEXHLevel0 2 2 4" xfId="2409"/>
    <cellStyle name="SAPBEXHLevel0 2 2 5" xfId="2410"/>
    <cellStyle name="SAPBEXHLevel0 2 2 6" xfId="2411"/>
    <cellStyle name="SAPBEXHLevel0 2 2 7" xfId="2412"/>
    <cellStyle name="SAPBEXHLevel0 2 2 8" xfId="2413"/>
    <cellStyle name="SAPBEXHLevel0 2 2 9" xfId="2414"/>
    <cellStyle name="SAPBEXHLevel0 2 3" xfId="2415"/>
    <cellStyle name="SAPBEXHLevel0 2 4" xfId="2416"/>
    <cellStyle name="SAPBEXHLevel0 2 5" xfId="2417"/>
    <cellStyle name="SAPBEXHLevel0 2 6" xfId="2418"/>
    <cellStyle name="SAPBEXHLevel0 2 7" xfId="2419"/>
    <cellStyle name="SAPBEXHLevel0 2 8" xfId="2420"/>
    <cellStyle name="SAPBEXHLevel0 2 9" xfId="2421"/>
    <cellStyle name="SAPBEXHLevel0 3" xfId="943"/>
    <cellStyle name="SAPBEXHLevel0 3 10" xfId="2422"/>
    <cellStyle name="SAPBEXHLevel0 3 11" xfId="2423"/>
    <cellStyle name="SAPBEXHLevel0 3 12" xfId="2424"/>
    <cellStyle name="SAPBEXHLevel0 3 2" xfId="944"/>
    <cellStyle name="SAPBEXHLevel0 3 2 10" xfId="2425"/>
    <cellStyle name="SAPBEXHLevel0 3 2 11" xfId="2426"/>
    <cellStyle name="SAPBEXHLevel0 3 2 2" xfId="2427"/>
    <cellStyle name="SAPBEXHLevel0 3 2 3" xfId="2428"/>
    <cellStyle name="SAPBEXHLevel0 3 2 4" xfId="2429"/>
    <cellStyle name="SAPBEXHLevel0 3 2 5" xfId="2430"/>
    <cellStyle name="SAPBEXHLevel0 3 2 6" xfId="2431"/>
    <cellStyle name="SAPBEXHLevel0 3 2 7" xfId="2432"/>
    <cellStyle name="SAPBEXHLevel0 3 2 8" xfId="2433"/>
    <cellStyle name="SAPBEXHLevel0 3 2 9" xfId="2434"/>
    <cellStyle name="SAPBEXHLevel0 3 3" xfId="2435"/>
    <cellStyle name="SAPBEXHLevel0 3 4" xfId="2436"/>
    <cellStyle name="SAPBEXHLevel0 3 5" xfId="2437"/>
    <cellStyle name="SAPBEXHLevel0 3 6" xfId="2438"/>
    <cellStyle name="SAPBEXHLevel0 3 7" xfId="2439"/>
    <cellStyle name="SAPBEXHLevel0 3 8" xfId="2440"/>
    <cellStyle name="SAPBEXHLevel0 3 9" xfId="2441"/>
    <cellStyle name="SAPBEXHLevel0 4" xfId="2442"/>
    <cellStyle name="SAPBEXHLevel0 5" xfId="2443"/>
    <cellStyle name="SAPBEXHLevel0 6" xfId="2444"/>
    <cellStyle name="SAPBEXHLevel0 7" xfId="2445"/>
    <cellStyle name="SAPBEXHLevel0 8" xfId="2446"/>
    <cellStyle name="SAPBEXHLevel0 9" xfId="2447"/>
    <cellStyle name="SAPBEXHLevel0X" xfId="945"/>
    <cellStyle name="SAPBEXHLevel0X 10" xfId="2448"/>
    <cellStyle name="SAPBEXHLevel0X 11" xfId="2449"/>
    <cellStyle name="SAPBEXHLevel0X 12" xfId="2450"/>
    <cellStyle name="SAPBEXHLevel0X 13" xfId="2451"/>
    <cellStyle name="SAPBEXHLevel0X 2" xfId="946"/>
    <cellStyle name="SAPBEXHLevel0X 2 10" xfId="2452"/>
    <cellStyle name="SAPBEXHLevel0X 2 11" xfId="2453"/>
    <cellStyle name="SAPBEXHLevel0X 2 12" xfId="2454"/>
    <cellStyle name="SAPBEXHLevel0X 2 2" xfId="947"/>
    <cellStyle name="SAPBEXHLevel0X 2 2 10" xfId="2455"/>
    <cellStyle name="SAPBEXHLevel0X 2 2 11" xfId="2456"/>
    <cellStyle name="SAPBEXHLevel0X 2 2 2" xfId="2457"/>
    <cellStyle name="SAPBEXHLevel0X 2 2 3" xfId="2458"/>
    <cellStyle name="SAPBEXHLevel0X 2 2 4" xfId="2459"/>
    <cellStyle name="SAPBEXHLevel0X 2 2 5" xfId="2460"/>
    <cellStyle name="SAPBEXHLevel0X 2 2 6" xfId="2461"/>
    <cellStyle name="SAPBEXHLevel0X 2 2 7" xfId="2462"/>
    <cellStyle name="SAPBEXHLevel0X 2 2 8" xfId="2463"/>
    <cellStyle name="SAPBEXHLevel0X 2 2 9" xfId="2464"/>
    <cellStyle name="SAPBEXHLevel0X 2 3" xfId="2465"/>
    <cellStyle name="SAPBEXHLevel0X 2 4" xfId="2466"/>
    <cellStyle name="SAPBEXHLevel0X 2 5" xfId="2467"/>
    <cellStyle name="SAPBEXHLevel0X 2 6" xfId="2468"/>
    <cellStyle name="SAPBEXHLevel0X 2 7" xfId="2469"/>
    <cellStyle name="SAPBEXHLevel0X 2 8" xfId="2470"/>
    <cellStyle name="SAPBEXHLevel0X 2 9" xfId="2471"/>
    <cellStyle name="SAPBEXHLevel0X 3" xfId="948"/>
    <cellStyle name="SAPBEXHLevel0X 3 10" xfId="2472"/>
    <cellStyle name="SAPBEXHLevel0X 3 11" xfId="2473"/>
    <cellStyle name="SAPBEXHLevel0X 3 12" xfId="2474"/>
    <cellStyle name="SAPBEXHLevel0X 3 2" xfId="949"/>
    <cellStyle name="SAPBEXHLevel0X 3 2 10" xfId="2475"/>
    <cellStyle name="SAPBEXHLevel0X 3 2 11" xfId="2476"/>
    <cellStyle name="SAPBEXHLevel0X 3 2 2" xfId="2477"/>
    <cellStyle name="SAPBEXHLevel0X 3 2 3" xfId="2478"/>
    <cellStyle name="SAPBEXHLevel0X 3 2 4" xfId="2479"/>
    <cellStyle name="SAPBEXHLevel0X 3 2 5" xfId="2480"/>
    <cellStyle name="SAPBEXHLevel0X 3 2 6" xfId="2481"/>
    <cellStyle name="SAPBEXHLevel0X 3 2 7" xfId="2482"/>
    <cellStyle name="SAPBEXHLevel0X 3 2 8" xfId="2483"/>
    <cellStyle name="SAPBEXHLevel0X 3 2 9" xfId="2484"/>
    <cellStyle name="SAPBEXHLevel0X 3 3" xfId="2485"/>
    <cellStyle name="SAPBEXHLevel0X 3 4" xfId="2486"/>
    <cellStyle name="SAPBEXHLevel0X 3 5" xfId="2487"/>
    <cellStyle name="SAPBEXHLevel0X 3 6" xfId="2488"/>
    <cellStyle name="SAPBEXHLevel0X 3 7" xfId="2489"/>
    <cellStyle name="SAPBEXHLevel0X 3 8" xfId="2490"/>
    <cellStyle name="SAPBEXHLevel0X 3 9" xfId="2491"/>
    <cellStyle name="SAPBEXHLevel0X 4" xfId="2492"/>
    <cellStyle name="SAPBEXHLevel0X 5" xfId="2493"/>
    <cellStyle name="SAPBEXHLevel0X 6" xfId="2494"/>
    <cellStyle name="SAPBEXHLevel0X 7" xfId="2495"/>
    <cellStyle name="SAPBEXHLevel0X 8" xfId="2496"/>
    <cellStyle name="SAPBEXHLevel0X 9" xfId="2497"/>
    <cellStyle name="SAPBEXHLevel1" xfId="950"/>
    <cellStyle name="SAPBEXHLevel1 10" xfId="2498"/>
    <cellStyle name="SAPBEXHLevel1 11" xfId="2499"/>
    <cellStyle name="SAPBEXHLevel1 12" xfId="2500"/>
    <cellStyle name="SAPBEXHLevel1 13" xfId="2501"/>
    <cellStyle name="SAPBEXHLevel1 2" xfId="951"/>
    <cellStyle name="SAPBEXHLevel1 2 10" xfId="2502"/>
    <cellStyle name="SAPBEXHLevel1 2 11" xfId="2503"/>
    <cellStyle name="SAPBEXHLevel1 2 12" xfId="2504"/>
    <cellStyle name="SAPBEXHLevel1 2 2" xfId="952"/>
    <cellStyle name="SAPBEXHLevel1 2 2 10" xfId="2505"/>
    <cellStyle name="SAPBEXHLevel1 2 2 11" xfId="2506"/>
    <cellStyle name="SAPBEXHLevel1 2 2 2" xfId="2507"/>
    <cellStyle name="SAPBEXHLevel1 2 2 3" xfId="2508"/>
    <cellStyle name="SAPBEXHLevel1 2 2 4" xfId="2509"/>
    <cellStyle name="SAPBEXHLevel1 2 2 5" xfId="2510"/>
    <cellStyle name="SAPBEXHLevel1 2 2 6" xfId="2511"/>
    <cellStyle name="SAPBEXHLevel1 2 2 7" xfId="2512"/>
    <cellStyle name="SAPBEXHLevel1 2 2 8" xfId="2513"/>
    <cellStyle name="SAPBEXHLevel1 2 2 9" xfId="2514"/>
    <cellStyle name="SAPBEXHLevel1 2 3" xfId="2515"/>
    <cellStyle name="SAPBEXHLevel1 2 4" xfId="2516"/>
    <cellStyle name="SAPBEXHLevel1 2 5" xfId="2517"/>
    <cellStyle name="SAPBEXHLevel1 2 6" xfId="2518"/>
    <cellStyle name="SAPBEXHLevel1 2 7" xfId="2519"/>
    <cellStyle name="SAPBEXHLevel1 2 8" xfId="2520"/>
    <cellStyle name="SAPBEXHLevel1 2 9" xfId="2521"/>
    <cellStyle name="SAPBEXHLevel1 3" xfId="953"/>
    <cellStyle name="SAPBEXHLevel1 3 10" xfId="2522"/>
    <cellStyle name="SAPBEXHLevel1 3 11" xfId="2523"/>
    <cellStyle name="SAPBEXHLevel1 3 12" xfId="2524"/>
    <cellStyle name="SAPBEXHLevel1 3 2" xfId="954"/>
    <cellStyle name="SAPBEXHLevel1 3 2 10" xfId="2525"/>
    <cellStyle name="SAPBEXHLevel1 3 2 11" xfId="2526"/>
    <cellStyle name="SAPBEXHLevel1 3 2 2" xfId="2527"/>
    <cellStyle name="SAPBEXHLevel1 3 2 3" xfId="2528"/>
    <cellStyle name="SAPBEXHLevel1 3 2 4" xfId="2529"/>
    <cellStyle name="SAPBEXHLevel1 3 2 5" xfId="2530"/>
    <cellStyle name="SAPBEXHLevel1 3 2 6" xfId="2531"/>
    <cellStyle name="SAPBEXHLevel1 3 2 7" xfId="2532"/>
    <cellStyle name="SAPBEXHLevel1 3 2 8" xfId="2533"/>
    <cellStyle name="SAPBEXHLevel1 3 2 9" xfId="2534"/>
    <cellStyle name="SAPBEXHLevel1 3 3" xfId="2535"/>
    <cellStyle name="SAPBEXHLevel1 3 4" xfId="2536"/>
    <cellStyle name="SAPBEXHLevel1 3 5" xfId="2537"/>
    <cellStyle name="SAPBEXHLevel1 3 6" xfId="2538"/>
    <cellStyle name="SAPBEXHLevel1 3 7" xfId="2539"/>
    <cellStyle name="SAPBEXHLevel1 3 8" xfId="2540"/>
    <cellStyle name="SAPBEXHLevel1 3 9" xfId="2541"/>
    <cellStyle name="SAPBEXHLevel1 4" xfId="2542"/>
    <cellStyle name="SAPBEXHLevel1 5" xfId="2543"/>
    <cellStyle name="SAPBEXHLevel1 6" xfId="2544"/>
    <cellStyle name="SAPBEXHLevel1 7" xfId="2545"/>
    <cellStyle name="SAPBEXHLevel1 8" xfId="2546"/>
    <cellStyle name="SAPBEXHLevel1 9" xfId="2547"/>
    <cellStyle name="SAPBEXHLevel1X" xfId="955"/>
    <cellStyle name="SAPBEXHLevel1X 10" xfId="2548"/>
    <cellStyle name="SAPBEXHLevel1X 11" xfId="2549"/>
    <cellStyle name="SAPBEXHLevel1X 12" xfId="2550"/>
    <cellStyle name="SAPBEXHLevel1X 13" xfId="2551"/>
    <cellStyle name="SAPBEXHLevel1X 2" xfId="956"/>
    <cellStyle name="SAPBEXHLevel1X 2 10" xfId="2552"/>
    <cellStyle name="SAPBEXHLevel1X 2 11" xfId="2553"/>
    <cellStyle name="SAPBEXHLevel1X 2 12" xfId="2554"/>
    <cellStyle name="SAPBEXHLevel1X 2 2" xfId="957"/>
    <cellStyle name="SAPBEXHLevel1X 2 2 10" xfId="2555"/>
    <cellStyle name="SAPBEXHLevel1X 2 2 11" xfId="2556"/>
    <cellStyle name="SAPBEXHLevel1X 2 2 2" xfId="2557"/>
    <cellStyle name="SAPBEXHLevel1X 2 2 3" xfId="2558"/>
    <cellStyle name="SAPBEXHLevel1X 2 2 4" xfId="2559"/>
    <cellStyle name="SAPBEXHLevel1X 2 2 5" xfId="2560"/>
    <cellStyle name="SAPBEXHLevel1X 2 2 6" xfId="2561"/>
    <cellStyle name="SAPBEXHLevel1X 2 2 7" xfId="2562"/>
    <cellStyle name="SAPBEXHLevel1X 2 2 8" xfId="2563"/>
    <cellStyle name="SAPBEXHLevel1X 2 2 9" xfId="2564"/>
    <cellStyle name="SAPBEXHLevel1X 2 3" xfId="2565"/>
    <cellStyle name="SAPBEXHLevel1X 2 4" xfId="2566"/>
    <cellStyle name="SAPBEXHLevel1X 2 5" xfId="2567"/>
    <cellStyle name="SAPBEXHLevel1X 2 6" xfId="2568"/>
    <cellStyle name="SAPBEXHLevel1X 2 7" xfId="2569"/>
    <cellStyle name="SAPBEXHLevel1X 2 8" xfId="2570"/>
    <cellStyle name="SAPBEXHLevel1X 2 9" xfId="2571"/>
    <cellStyle name="SAPBEXHLevel1X 3" xfId="958"/>
    <cellStyle name="SAPBEXHLevel1X 3 10" xfId="2572"/>
    <cellStyle name="SAPBEXHLevel1X 3 11" xfId="2573"/>
    <cellStyle name="SAPBEXHLevel1X 3 12" xfId="2574"/>
    <cellStyle name="SAPBEXHLevel1X 3 2" xfId="959"/>
    <cellStyle name="SAPBEXHLevel1X 3 2 10" xfId="2575"/>
    <cellStyle name="SAPBEXHLevel1X 3 2 11" xfId="2576"/>
    <cellStyle name="SAPBEXHLevel1X 3 2 2" xfId="2577"/>
    <cellStyle name="SAPBEXHLevel1X 3 2 3" xfId="2578"/>
    <cellStyle name="SAPBEXHLevel1X 3 2 4" xfId="2579"/>
    <cellStyle name="SAPBEXHLevel1X 3 2 5" xfId="2580"/>
    <cellStyle name="SAPBEXHLevel1X 3 2 6" xfId="2581"/>
    <cellStyle name="SAPBEXHLevel1X 3 2 7" xfId="2582"/>
    <cellStyle name="SAPBEXHLevel1X 3 2 8" xfId="2583"/>
    <cellStyle name="SAPBEXHLevel1X 3 2 9" xfId="2584"/>
    <cellStyle name="SAPBEXHLevel1X 3 3" xfId="2585"/>
    <cellStyle name="SAPBEXHLevel1X 3 4" xfId="2586"/>
    <cellStyle name="SAPBEXHLevel1X 3 5" xfId="2587"/>
    <cellStyle name="SAPBEXHLevel1X 3 6" xfId="2588"/>
    <cellStyle name="SAPBEXHLevel1X 3 7" xfId="2589"/>
    <cellStyle name="SAPBEXHLevel1X 3 8" xfId="2590"/>
    <cellStyle name="SAPBEXHLevel1X 3 9" xfId="2591"/>
    <cellStyle name="SAPBEXHLevel1X 4" xfId="2592"/>
    <cellStyle name="SAPBEXHLevel1X 5" xfId="2593"/>
    <cellStyle name="SAPBEXHLevel1X 6" xfId="2594"/>
    <cellStyle name="SAPBEXHLevel1X 7" xfId="2595"/>
    <cellStyle name="SAPBEXHLevel1X 8" xfId="2596"/>
    <cellStyle name="SAPBEXHLevel1X 9" xfId="2597"/>
    <cellStyle name="SAPBEXHLevel2" xfId="960"/>
    <cellStyle name="SAPBEXHLevel2 10" xfId="2598"/>
    <cellStyle name="SAPBEXHLevel2 11" xfId="2599"/>
    <cellStyle name="SAPBEXHLevel2 12" xfId="2600"/>
    <cellStyle name="SAPBEXHLevel2 13" xfId="2601"/>
    <cellStyle name="SAPBEXHLevel2 2" xfId="961"/>
    <cellStyle name="SAPBEXHLevel2 2 10" xfId="2602"/>
    <cellStyle name="SAPBEXHLevel2 2 11" xfId="2603"/>
    <cellStyle name="SAPBEXHLevel2 2 12" xfId="2604"/>
    <cellStyle name="SAPBEXHLevel2 2 2" xfId="962"/>
    <cellStyle name="SAPBEXHLevel2 2 2 10" xfId="2605"/>
    <cellStyle name="SAPBEXHLevel2 2 2 11" xfId="2606"/>
    <cellStyle name="SAPBEXHLevel2 2 2 2" xfId="2607"/>
    <cellStyle name="SAPBEXHLevel2 2 2 3" xfId="2608"/>
    <cellStyle name="SAPBEXHLevel2 2 2 4" xfId="2609"/>
    <cellStyle name="SAPBEXHLevel2 2 2 5" xfId="2610"/>
    <cellStyle name="SAPBEXHLevel2 2 2 6" xfId="2611"/>
    <cellStyle name="SAPBEXHLevel2 2 2 7" xfId="2612"/>
    <cellStyle name="SAPBEXHLevel2 2 2 8" xfId="2613"/>
    <cellStyle name="SAPBEXHLevel2 2 2 9" xfId="2614"/>
    <cellStyle name="SAPBEXHLevel2 2 3" xfId="2615"/>
    <cellStyle name="SAPBEXHLevel2 2 4" xfId="2616"/>
    <cellStyle name="SAPBEXHLevel2 2 5" xfId="2617"/>
    <cellStyle name="SAPBEXHLevel2 2 6" xfId="2618"/>
    <cellStyle name="SAPBEXHLevel2 2 7" xfId="2619"/>
    <cellStyle name="SAPBEXHLevel2 2 8" xfId="2620"/>
    <cellStyle name="SAPBEXHLevel2 2 9" xfId="2621"/>
    <cellStyle name="SAPBEXHLevel2 3" xfId="963"/>
    <cellStyle name="SAPBEXHLevel2 3 10" xfId="2622"/>
    <cellStyle name="SAPBEXHLevel2 3 11" xfId="2623"/>
    <cellStyle name="SAPBEXHLevel2 3 12" xfId="2624"/>
    <cellStyle name="SAPBEXHLevel2 3 2" xfId="964"/>
    <cellStyle name="SAPBEXHLevel2 3 2 10" xfId="2625"/>
    <cellStyle name="SAPBEXHLevel2 3 2 11" xfId="2626"/>
    <cellStyle name="SAPBEXHLevel2 3 2 2" xfId="2627"/>
    <cellStyle name="SAPBEXHLevel2 3 2 3" xfId="2628"/>
    <cellStyle name="SAPBEXHLevel2 3 2 4" xfId="2629"/>
    <cellStyle name="SAPBEXHLevel2 3 2 5" xfId="2630"/>
    <cellStyle name="SAPBEXHLevel2 3 2 6" xfId="2631"/>
    <cellStyle name="SAPBEXHLevel2 3 2 7" xfId="2632"/>
    <cellStyle name="SAPBEXHLevel2 3 2 8" xfId="2633"/>
    <cellStyle name="SAPBEXHLevel2 3 2 9" xfId="2634"/>
    <cellStyle name="SAPBEXHLevel2 3 3" xfId="2635"/>
    <cellStyle name="SAPBEXHLevel2 3 4" xfId="2636"/>
    <cellStyle name="SAPBEXHLevel2 3 5" xfId="2637"/>
    <cellStyle name="SAPBEXHLevel2 3 6" xfId="2638"/>
    <cellStyle name="SAPBEXHLevel2 3 7" xfId="2639"/>
    <cellStyle name="SAPBEXHLevel2 3 8" xfId="2640"/>
    <cellStyle name="SAPBEXHLevel2 3 9" xfId="2641"/>
    <cellStyle name="SAPBEXHLevel2 4" xfId="2642"/>
    <cellStyle name="SAPBEXHLevel2 5" xfId="2643"/>
    <cellStyle name="SAPBEXHLevel2 6" xfId="2644"/>
    <cellStyle name="SAPBEXHLevel2 7" xfId="2645"/>
    <cellStyle name="SAPBEXHLevel2 8" xfId="2646"/>
    <cellStyle name="SAPBEXHLevel2 9" xfId="2647"/>
    <cellStyle name="SAPBEXHLevel2X" xfId="965"/>
    <cellStyle name="SAPBEXHLevel2X 10" xfId="2648"/>
    <cellStyle name="SAPBEXHLevel2X 11" xfId="2649"/>
    <cellStyle name="SAPBEXHLevel2X 12" xfId="2650"/>
    <cellStyle name="SAPBEXHLevel2X 13" xfId="2651"/>
    <cellStyle name="SAPBEXHLevel2X 2" xfId="966"/>
    <cellStyle name="SAPBEXHLevel2X 2 10" xfId="2652"/>
    <cellStyle name="SAPBEXHLevel2X 2 11" xfId="2653"/>
    <cellStyle name="SAPBEXHLevel2X 2 12" xfId="2654"/>
    <cellStyle name="SAPBEXHLevel2X 2 2" xfId="967"/>
    <cellStyle name="SAPBEXHLevel2X 2 2 10" xfId="2655"/>
    <cellStyle name="SAPBEXHLevel2X 2 2 11" xfId="2656"/>
    <cellStyle name="SAPBEXHLevel2X 2 2 2" xfId="2657"/>
    <cellStyle name="SAPBEXHLevel2X 2 2 3" xfId="2658"/>
    <cellStyle name="SAPBEXHLevel2X 2 2 4" xfId="2659"/>
    <cellStyle name="SAPBEXHLevel2X 2 2 5" xfId="2660"/>
    <cellStyle name="SAPBEXHLevel2X 2 2 6" xfId="2661"/>
    <cellStyle name="SAPBEXHLevel2X 2 2 7" xfId="2662"/>
    <cellStyle name="SAPBEXHLevel2X 2 2 8" xfId="2663"/>
    <cellStyle name="SAPBEXHLevel2X 2 2 9" xfId="2664"/>
    <cellStyle name="SAPBEXHLevel2X 2 3" xfId="2665"/>
    <cellStyle name="SAPBEXHLevel2X 2 4" xfId="2666"/>
    <cellStyle name="SAPBEXHLevel2X 2 5" xfId="2667"/>
    <cellStyle name="SAPBEXHLevel2X 2 6" xfId="2668"/>
    <cellStyle name="SAPBEXHLevel2X 2 7" xfId="2669"/>
    <cellStyle name="SAPBEXHLevel2X 2 8" xfId="2670"/>
    <cellStyle name="SAPBEXHLevel2X 2 9" xfId="2671"/>
    <cellStyle name="SAPBEXHLevel2X 3" xfId="968"/>
    <cellStyle name="SAPBEXHLevel2X 3 10" xfId="2672"/>
    <cellStyle name="SAPBEXHLevel2X 3 11" xfId="2673"/>
    <cellStyle name="SAPBEXHLevel2X 3 12" xfId="2674"/>
    <cellStyle name="SAPBEXHLevel2X 3 2" xfId="969"/>
    <cellStyle name="SAPBEXHLevel2X 3 2 10" xfId="2675"/>
    <cellStyle name="SAPBEXHLevel2X 3 2 11" xfId="2676"/>
    <cellStyle name="SAPBEXHLevel2X 3 2 2" xfId="2677"/>
    <cellStyle name="SAPBEXHLevel2X 3 2 3" xfId="2678"/>
    <cellStyle name="SAPBEXHLevel2X 3 2 4" xfId="2679"/>
    <cellStyle name="SAPBEXHLevel2X 3 2 5" xfId="2680"/>
    <cellStyle name="SAPBEXHLevel2X 3 2 6" xfId="2681"/>
    <cellStyle name="SAPBEXHLevel2X 3 2 7" xfId="2682"/>
    <cellStyle name="SAPBEXHLevel2X 3 2 8" xfId="2683"/>
    <cellStyle name="SAPBEXHLevel2X 3 2 9" xfId="2684"/>
    <cellStyle name="SAPBEXHLevel2X 3 3" xfId="2685"/>
    <cellStyle name="SAPBEXHLevel2X 3 4" xfId="2686"/>
    <cellStyle name="SAPBEXHLevel2X 3 5" xfId="2687"/>
    <cellStyle name="SAPBEXHLevel2X 3 6" xfId="2688"/>
    <cellStyle name="SAPBEXHLevel2X 3 7" xfId="2689"/>
    <cellStyle name="SAPBEXHLevel2X 3 8" xfId="2690"/>
    <cellStyle name="SAPBEXHLevel2X 3 9" xfId="2691"/>
    <cellStyle name="SAPBEXHLevel2X 4" xfId="2692"/>
    <cellStyle name="SAPBEXHLevel2X 5" xfId="2693"/>
    <cellStyle name="SAPBEXHLevel2X 6" xfId="2694"/>
    <cellStyle name="SAPBEXHLevel2X 7" xfId="2695"/>
    <cellStyle name="SAPBEXHLevel2X 8" xfId="2696"/>
    <cellStyle name="SAPBEXHLevel2X 9" xfId="2697"/>
    <cellStyle name="SAPBEXHLevel3" xfId="970"/>
    <cellStyle name="SAPBEXHLevel3 10" xfId="2698"/>
    <cellStyle name="SAPBEXHLevel3 11" xfId="2699"/>
    <cellStyle name="SAPBEXHLevel3 12" xfId="2700"/>
    <cellStyle name="SAPBEXHLevel3 13" xfId="2701"/>
    <cellStyle name="SAPBEXHLevel3 2" xfId="971"/>
    <cellStyle name="SAPBEXHLevel3 2 10" xfId="2702"/>
    <cellStyle name="SAPBEXHLevel3 2 11" xfId="2703"/>
    <cellStyle name="SAPBEXHLevel3 2 12" xfId="2704"/>
    <cellStyle name="SAPBEXHLevel3 2 2" xfId="972"/>
    <cellStyle name="SAPBEXHLevel3 2 2 10" xfId="2705"/>
    <cellStyle name="SAPBEXHLevel3 2 2 11" xfId="2706"/>
    <cellStyle name="SAPBEXHLevel3 2 2 2" xfId="2707"/>
    <cellStyle name="SAPBEXHLevel3 2 2 3" xfId="2708"/>
    <cellStyle name="SAPBEXHLevel3 2 2 4" xfId="2709"/>
    <cellStyle name="SAPBEXHLevel3 2 2 5" xfId="2710"/>
    <cellStyle name="SAPBEXHLevel3 2 2 6" xfId="2711"/>
    <cellStyle name="SAPBEXHLevel3 2 2 7" xfId="2712"/>
    <cellStyle name="SAPBEXHLevel3 2 2 8" xfId="2713"/>
    <cellStyle name="SAPBEXHLevel3 2 2 9" xfId="2714"/>
    <cellStyle name="SAPBEXHLevel3 2 3" xfId="2715"/>
    <cellStyle name="SAPBEXHLevel3 2 4" xfId="2716"/>
    <cellStyle name="SAPBEXHLevel3 2 5" xfId="2717"/>
    <cellStyle name="SAPBEXHLevel3 2 6" xfId="2718"/>
    <cellStyle name="SAPBEXHLevel3 2 7" xfId="2719"/>
    <cellStyle name="SAPBEXHLevel3 2 8" xfId="2720"/>
    <cellStyle name="SAPBEXHLevel3 2 9" xfId="2721"/>
    <cellStyle name="SAPBEXHLevel3 3" xfId="973"/>
    <cellStyle name="SAPBEXHLevel3 3 10" xfId="2722"/>
    <cellStyle name="SAPBEXHLevel3 3 11" xfId="2723"/>
    <cellStyle name="SAPBEXHLevel3 3 12" xfId="2724"/>
    <cellStyle name="SAPBEXHLevel3 3 2" xfId="974"/>
    <cellStyle name="SAPBEXHLevel3 3 2 10" xfId="2725"/>
    <cellStyle name="SAPBEXHLevel3 3 2 11" xfId="2726"/>
    <cellStyle name="SAPBEXHLevel3 3 2 2" xfId="2727"/>
    <cellStyle name="SAPBEXHLevel3 3 2 3" xfId="2728"/>
    <cellStyle name="SAPBEXHLevel3 3 2 4" xfId="2729"/>
    <cellStyle name="SAPBEXHLevel3 3 2 5" xfId="2730"/>
    <cellStyle name="SAPBEXHLevel3 3 2 6" xfId="2731"/>
    <cellStyle name="SAPBEXHLevel3 3 2 7" xfId="2732"/>
    <cellStyle name="SAPBEXHLevel3 3 2 8" xfId="2733"/>
    <cellStyle name="SAPBEXHLevel3 3 2 9" xfId="2734"/>
    <cellStyle name="SAPBEXHLevel3 3 3" xfId="2735"/>
    <cellStyle name="SAPBEXHLevel3 3 4" xfId="2736"/>
    <cellStyle name="SAPBEXHLevel3 3 5" xfId="2737"/>
    <cellStyle name="SAPBEXHLevel3 3 6" xfId="2738"/>
    <cellStyle name="SAPBEXHLevel3 3 7" xfId="2739"/>
    <cellStyle name="SAPBEXHLevel3 3 8" xfId="2740"/>
    <cellStyle name="SAPBEXHLevel3 3 9" xfId="2741"/>
    <cellStyle name="SAPBEXHLevel3 4" xfId="2742"/>
    <cellStyle name="SAPBEXHLevel3 5" xfId="2743"/>
    <cellStyle name="SAPBEXHLevel3 6" xfId="2744"/>
    <cellStyle name="SAPBEXHLevel3 7" xfId="2745"/>
    <cellStyle name="SAPBEXHLevel3 8" xfId="2746"/>
    <cellStyle name="SAPBEXHLevel3 9" xfId="2747"/>
    <cellStyle name="SAPBEXHLevel3X" xfId="975"/>
    <cellStyle name="SAPBEXHLevel3X 10" xfId="2748"/>
    <cellStyle name="SAPBEXHLevel3X 11" xfId="2749"/>
    <cellStyle name="SAPBEXHLevel3X 12" xfId="2750"/>
    <cellStyle name="SAPBEXHLevel3X 13" xfId="2751"/>
    <cellStyle name="SAPBEXHLevel3X 2" xfId="976"/>
    <cellStyle name="SAPBEXHLevel3X 2 10" xfId="2752"/>
    <cellStyle name="SAPBEXHLevel3X 2 11" xfId="2753"/>
    <cellStyle name="SAPBEXHLevel3X 2 12" xfId="2754"/>
    <cellStyle name="SAPBEXHLevel3X 2 2" xfId="977"/>
    <cellStyle name="SAPBEXHLevel3X 2 2 10" xfId="2755"/>
    <cellStyle name="SAPBEXHLevel3X 2 2 11" xfId="2756"/>
    <cellStyle name="SAPBEXHLevel3X 2 2 2" xfId="2757"/>
    <cellStyle name="SAPBEXHLevel3X 2 2 3" xfId="2758"/>
    <cellStyle name="SAPBEXHLevel3X 2 2 4" xfId="2759"/>
    <cellStyle name="SAPBEXHLevel3X 2 2 5" xfId="2760"/>
    <cellStyle name="SAPBEXHLevel3X 2 2 6" xfId="2761"/>
    <cellStyle name="SAPBEXHLevel3X 2 2 7" xfId="2762"/>
    <cellStyle name="SAPBEXHLevel3X 2 2 8" xfId="2763"/>
    <cellStyle name="SAPBEXHLevel3X 2 2 9" xfId="2764"/>
    <cellStyle name="SAPBEXHLevel3X 2 3" xfId="2765"/>
    <cellStyle name="SAPBEXHLevel3X 2 4" xfId="2766"/>
    <cellStyle name="SAPBEXHLevel3X 2 5" xfId="2767"/>
    <cellStyle name="SAPBEXHLevel3X 2 6" xfId="2768"/>
    <cellStyle name="SAPBEXHLevel3X 2 7" xfId="2769"/>
    <cellStyle name="SAPBEXHLevel3X 2 8" xfId="2770"/>
    <cellStyle name="SAPBEXHLevel3X 2 9" xfId="2771"/>
    <cellStyle name="SAPBEXHLevel3X 3" xfId="978"/>
    <cellStyle name="SAPBEXHLevel3X 3 10" xfId="2772"/>
    <cellStyle name="SAPBEXHLevel3X 3 11" xfId="2773"/>
    <cellStyle name="SAPBEXHLevel3X 3 12" xfId="2774"/>
    <cellStyle name="SAPBEXHLevel3X 3 2" xfId="979"/>
    <cellStyle name="SAPBEXHLevel3X 3 2 10" xfId="2775"/>
    <cellStyle name="SAPBEXHLevel3X 3 2 11" xfId="2776"/>
    <cellStyle name="SAPBEXHLevel3X 3 2 2" xfId="2777"/>
    <cellStyle name="SAPBEXHLevel3X 3 2 3" xfId="2778"/>
    <cellStyle name="SAPBEXHLevel3X 3 2 4" xfId="2779"/>
    <cellStyle name="SAPBEXHLevel3X 3 2 5" xfId="2780"/>
    <cellStyle name="SAPBEXHLevel3X 3 2 6" xfId="2781"/>
    <cellStyle name="SAPBEXHLevel3X 3 2 7" xfId="2782"/>
    <cellStyle name="SAPBEXHLevel3X 3 2 8" xfId="2783"/>
    <cellStyle name="SAPBEXHLevel3X 3 2 9" xfId="2784"/>
    <cellStyle name="SAPBEXHLevel3X 3 3" xfId="2785"/>
    <cellStyle name="SAPBEXHLevel3X 3 4" xfId="2786"/>
    <cellStyle name="SAPBEXHLevel3X 3 5" xfId="2787"/>
    <cellStyle name="SAPBEXHLevel3X 3 6" xfId="2788"/>
    <cellStyle name="SAPBEXHLevel3X 3 7" xfId="2789"/>
    <cellStyle name="SAPBEXHLevel3X 3 8" xfId="2790"/>
    <cellStyle name="SAPBEXHLevel3X 3 9" xfId="2791"/>
    <cellStyle name="SAPBEXHLevel3X 4" xfId="2792"/>
    <cellStyle name="SAPBEXHLevel3X 5" xfId="2793"/>
    <cellStyle name="SAPBEXHLevel3X 6" xfId="2794"/>
    <cellStyle name="SAPBEXHLevel3X 7" xfId="2795"/>
    <cellStyle name="SAPBEXHLevel3X 8" xfId="2796"/>
    <cellStyle name="SAPBEXHLevel3X 9" xfId="2797"/>
    <cellStyle name="SAPBEXresData" xfId="980"/>
    <cellStyle name="SAPBEXresData 10" xfId="2798"/>
    <cellStyle name="SAPBEXresData 11" xfId="2799"/>
    <cellStyle name="SAPBEXresData 2" xfId="2800"/>
    <cellStyle name="SAPBEXresData 3" xfId="2801"/>
    <cellStyle name="SAPBEXresData 4" xfId="2802"/>
    <cellStyle name="SAPBEXresData 5" xfId="2803"/>
    <cellStyle name="SAPBEXresData 6" xfId="2804"/>
    <cellStyle name="SAPBEXresData 7" xfId="2805"/>
    <cellStyle name="SAPBEXresData 8" xfId="2806"/>
    <cellStyle name="SAPBEXresData 9" xfId="2807"/>
    <cellStyle name="SAPBEXresDataEmph" xfId="981"/>
    <cellStyle name="SAPBEXresDataEmph 10" xfId="2808"/>
    <cellStyle name="SAPBEXresDataEmph 11" xfId="2809"/>
    <cellStyle name="SAPBEXresDataEmph 2" xfId="2810"/>
    <cellStyle name="SAPBEXresDataEmph 3" xfId="2811"/>
    <cellStyle name="SAPBEXresDataEmph 4" xfId="2812"/>
    <cellStyle name="SAPBEXresDataEmph 5" xfId="2813"/>
    <cellStyle name="SAPBEXresDataEmph 6" xfId="2814"/>
    <cellStyle name="SAPBEXresDataEmph 7" xfId="2815"/>
    <cellStyle name="SAPBEXresDataEmph 8" xfId="2816"/>
    <cellStyle name="SAPBEXresDataEmph 9" xfId="2817"/>
    <cellStyle name="SAPBEXresItem" xfId="982"/>
    <cellStyle name="SAPBEXresItem 10" xfId="2818"/>
    <cellStyle name="SAPBEXresItem 11" xfId="2819"/>
    <cellStyle name="SAPBEXresItem 2" xfId="2820"/>
    <cellStyle name="SAPBEXresItem 3" xfId="2821"/>
    <cellStyle name="SAPBEXresItem 4" xfId="2822"/>
    <cellStyle name="SAPBEXresItem 5" xfId="2823"/>
    <cellStyle name="SAPBEXresItem 6" xfId="2824"/>
    <cellStyle name="SAPBEXresItem 7" xfId="2825"/>
    <cellStyle name="SAPBEXresItem 8" xfId="2826"/>
    <cellStyle name="SAPBEXresItem 9" xfId="2827"/>
    <cellStyle name="SAPBEXresItemX" xfId="983"/>
    <cellStyle name="SAPBEXresItemX 10" xfId="2828"/>
    <cellStyle name="SAPBEXresItemX 11" xfId="2829"/>
    <cellStyle name="SAPBEXresItemX 2" xfId="2830"/>
    <cellStyle name="SAPBEXresItemX 3" xfId="2831"/>
    <cellStyle name="SAPBEXresItemX 4" xfId="2832"/>
    <cellStyle name="SAPBEXresItemX 5" xfId="2833"/>
    <cellStyle name="SAPBEXresItemX 6" xfId="2834"/>
    <cellStyle name="SAPBEXresItemX 7" xfId="2835"/>
    <cellStyle name="SAPBEXresItemX 8" xfId="2836"/>
    <cellStyle name="SAPBEXresItemX 9" xfId="2837"/>
    <cellStyle name="SAPBEXstdData" xfId="984"/>
    <cellStyle name="SAPBEXstdData 10" xfId="2838"/>
    <cellStyle name="SAPBEXstdData 11" xfId="2839"/>
    <cellStyle name="SAPBEXstdData 2" xfId="2840"/>
    <cellStyle name="SAPBEXstdData 3" xfId="2841"/>
    <cellStyle name="SAPBEXstdData 4" xfId="2842"/>
    <cellStyle name="SAPBEXstdData 5" xfId="2843"/>
    <cellStyle name="SAPBEXstdData 6" xfId="2844"/>
    <cellStyle name="SAPBEXstdData 7" xfId="2845"/>
    <cellStyle name="SAPBEXstdData 8" xfId="2846"/>
    <cellStyle name="SAPBEXstdData 9" xfId="2847"/>
    <cellStyle name="SAPBEXstdDataEmph" xfId="985"/>
    <cellStyle name="SAPBEXstdDataEmph 10" xfId="2848"/>
    <cellStyle name="SAPBEXstdDataEmph 11" xfId="2849"/>
    <cellStyle name="SAPBEXstdDataEmph 2" xfId="2850"/>
    <cellStyle name="SAPBEXstdDataEmph 3" xfId="2851"/>
    <cellStyle name="SAPBEXstdDataEmph 4" xfId="2852"/>
    <cellStyle name="SAPBEXstdDataEmph 5" xfId="2853"/>
    <cellStyle name="SAPBEXstdDataEmph 6" xfId="2854"/>
    <cellStyle name="SAPBEXstdDataEmph 7" xfId="2855"/>
    <cellStyle name="SAPBEXstdDataEmph 8" xfId="2856"/>
    <cellStyle name="SAPBEXstdDataEmph 9" xfId="2857"/>
    <cellStyle name="SAPBEXstdItem" xfId="986"/>
    <cellStyle name="SAPBEXstdItem 10" xfId="987"/>
    <cellStyle name="SAPBEXstdItem 10 10" xfId="2858"/>
    <cellStyle name="SAPBEXstdItem 10 11" xfId="2859"/>
    <cellStyle name="SAPBEXstdItem 10 12" xfId="2860"/>
    <cellStyle name="SAPBEXstdItem 10 2" xfId="988"/>
    <cellStyle name="SAPBEXstdItem 10 2 10" xfId="2861"/>
    <cellStyle name="SAPBEXstdItem 10 2 11" xfId="2862"/>
    <cellStyle name="SAPBEXstdItem 10 2 2" xfId="2863"/>
    <cellStyle name="SAPBEXstdItem 10 2 3" xfId="2864"/>
    <cellStyle name="SAPBEXstdItem 10 2 4" xfId="2865"/>
    <cellStyle name="SAPBEXstdItem 10 2 5" xfId="2866"/>
    <cellStyle name="SAPBEXstdItem 10 2 6" xfId="2867"/>
    <cellStyle name="SAPBEXstdItem 10 2 7" xfId="2868"/>
    <cellStyle name="SAPBEXstdItem 10 2 8" xfId="2869"/>
    <cellStyle name="SAPBEXstdItem 10 2 9" xfId="2870"/>
    <cellStyle name="SAPBEXstdItem 10 3" xfId="2871"/>
    <cellStyle name="SAPBEXstdItem 10 4" xfId="2872"/>
    <cellStyle name="SAPBEXstdItem 10 5" xfId="2873"/>
    <cellStyle name="SAPBEXstdItem 10 6" xfId="2874"/>
    <cellStyle name="SAPBEXstdItem 10 7" xfId="2875"/>
    <cellStyle name="SAPBEXstdItem 10 8" xfId="2876"/>
    <cellStyle name="SAPBEXstdItem 10 9" xfId="2877"/>
    <cellStyle name="SAPBEXstdItem 11" xfId="989"/>
    <cellStyle name="SAPBEXstdItem 11 10" xfId="2878"/>
    <cellStyle name="SAPBEXstdItem 11 11" xfId="2879"/>
    <cellStyle name="SAPBEXstdItem 11 12" xfId="2880"/>
    <cellStyle name="SAPBEXstdItem 11 2" xfId="990"/>
    <cellStyle name="SAPBEXstdItem 11 2 10" xfId="2881"/>
    <cellStyle name="SAPBEXstdItem 11 2 11" xfId="2882"/>
    <cellStyle name="SAPBEXstdItem 11 2 2" xfId="2883"/>
    <cellStyle name="SAPBEXstdItem 11 2 3" xfId="2884"/>
    <cellStyle name="SAPBEXstdItem 11 2 4" xfId="2885"/>
    <cellStyle name="SAPBEXstdItem 11 2 5" xfId="2886"/>
    <cellStyle name="SAPBEXstdItem 11 2 6" xfId="2887"/>
    <cellStyle name="SAPBEXstdItem 11 2 7" xfId="2888"/>
    <cellStyle name="SAPBEXstdItem 11 2 8" xfId="2889"/>
    <cellStyle name="SAPBEXstdItem 11 2 9" xfId="2890"/>
    <cellStyle name="SAPBEXstdItem 11 3" xfId="2891"/>
    <cellStyle name="SAPBEXstdItem 11 4" xfId="2892"/>
    <cellStyle name="SAPBEXstdItem 11 5" xfId="2893"/>
    <cellStyle name="SAPBEXstdItem 11 6" xfId="2894"/>
    <cellStyle name="SAPBEXstdItem 11 7" xfId="2895"/>
    <cellStyle name="SAPBEXstdItem 11 8" xfId="2896"/>
    <cellStyle name="SAPBEXstdItem 11 9" xfId="2897"/>
    <cellStyle name="SAPBEXstdItem 12" xfId="991"/>
    <cellStyle name="SAPBEXstdItem 12 10" xfId="2898"/>
    <cellStyle name="SAPBEXstdItem 12 11" xfId="2899"/>
    <cellStyle name="SAPBEXstdItem 12 12" xfId="2900"/>
    <cellStyle name="SAPBEXstdItem 12 2" xfId="992"/>
    <cellStyle name="SAPBEXstdItem 12 2 10" xfId="2901"/>
    <cellStyle name="SAPBEXstdItem 12 2 11" xfId="2902"/>
    <cellStyle name="SAPBEXstdItem 12 2 2" xfId="2903"/>
    <cellStyle name="SAPBEXstdItem 12 2 3" xfId="2904"/>
    <cellStyle name="SAPBEXstdItem 12 2 4" xfId="2905"/>
    <cellStyle name="SAPBEXstdItem 12 2 5" xfId="2906"/>
    <cellStyle name="SAPBEXstdItem 12 2 6" xfId="2907"/>
    <cellStyle name="SAPBEXstdItem 12 2 7" xfId="2908"/>
    <cellStyle name="SAPBEXstdItem 12 2 8" xfId="2909"/>
    <cellStyle name="SAPBEXstdItem 12 2 9" xfId="2910"/>
    <cellStyle name="SAPBEXstdItem 12 3" xfId="2911"/>
    <cellStyle name="SAPBEXstdItem 12 4" xfId="2912"/>
    <cellStyle name="SAPBEXstdItem 12 5" xfId="2913"/>
    <cellStyle name="SAPBEXstdItem 12 6" xfId="2914"/>
    <cellStyle name="SAPBEXstdItem 12 7" xfId="2915"/>
    <cellStyle name="SAPBEXstdItem 12 8" xfId="2916"/>
    <cellStyle name="SAPBEXstdItem 12 9" xfId="2917"/>
    <cellStyle name="SAPBEXstdItem 13" xfId="993"/>
    <cellStyle name="SAPBEXstdItem 13 10" xfId="2918"/>
    <cellStyle name="SAPBEXstdItem 13 11" xfId="2919"/>
    <cellStyle name="SAPBEXstdItem 13 12" xfId="2920"/>
    <cellStyle name="SAPBEXstdItem 13 2" xfId="994"/>
    <cellStyle name="SAPBEXstdItem 13 2 10" xfId="2921"/>
    <cellStyle name="SAPBEXstdItem 13 2 11" xfId="2922"/>
    <cellStyle name="SAPBEXstdItem 13 2 2" xfId="2923"/>
    <cellStyle name="SAPBEXstdItem 13 2 3" xfId="2924"/>
    <cellStyle name="SAPBEXstdItem 13 2 4" xfId="2925"/>
    <cellStyle name="SAPBEXstdItem 13 2 5" xfId="2926"/>
    <cellStyle name="SAPBEXstdItem 13 2 6" xfId="2927"/>
    <cellStyle name="SAPBEXstdItem 13 2 7" xfId="2928"/>
    <cellStyle name="SAPBEXstdItem 13 2 8" xfId="2929"/>
    <cellStyle name="SAPBEXstdItem 13 2 9" xfId="2930"/>
    <cellStyle name="SAPBEXstdItem 13 3" xfId="2931"/>
    <cellStyle name="SAPBEXstdItem 13 4" xfId="2932"/>
    <cellStyle name="SAPBEXstdItem 13 5" xfId="2933"/>
    <cellStyle name="SAPBEXstdItem 13 6" xfId="2934"/>
    <cellStyle name="SAPBEXstdItem 13 7" xfId="2935"/>
    <cellStyle name="SAPBEXstdItem 13 8" xfId="2936"/>
    <cellStyle name="SAPBEXstdItem 13 9" xfId="2937"/>
    <cellStyle name="SAPBEXstdItem 14" xfId="995"/>
    <cellStyle name="SAPBEXstdItem 14 10" xfId="2938"/>
    <cellStyle name="SAPBEXstdItem 14 11" xfId="2939"/>
    <cellStyle name="SAPBEXstdItem 14 12" xfId="2940"/>
    <cellStyle name="SAPBEXstdItem 14 2" xfId="996"/>
    <cellStyle name="SAPBEXstdItem 14 2 10" xfId="2941"/>
    <cellStyle name="SAPBEXstdItem 14 2 11" xfId="2942"/>
    <cellStyle name="SAPBEXstdItem 14 2 2" xfId="2943"/>
    <cellStyle name="SAPBEXstdItem 14 2 3" xfId="2944"/>
    <cellStyle name="SAPBEXstdItem 14 2 4" xfId="2945"/>
    <cellStyle name="SAPBEXstdItem 14 2 5" xfId="2946"/>
    <cellStyle name="SAPBEXstdItem 14 2 6" xfId="2947"/>
    <cellStyle name="SAPBEXstdItem 14 2 7" xfId="2948"/>
    <cellStyle name="SAPBEXstdItem 14 2 8" xfId="2949"/>
    <cellStyle name="SAPBEXstdItem 14 2 9" xfId="2950"/>
    <cellStyle name="SAPBEXstdItem 14 3" xfId="2951"/>
    <cellStyle name="SAPBEXstdItem 14 4" xfId="2952"/>
    <cellStyle name="SAPBEXstdItem 14 5" xfId="2953"/>
    <cellStyle name="SAPBEXstdItem 14 6" xfId="2954"/>
    <cellStyle name="SAPBEXstdItem 14 7" xfId="2955"/>
    <cellStyle name="SAPBEXstdItem 14 8" xfId="2956"/>
    <cellStyle name="SAPBEXstdItem 14 9" xfId="2957"/>
    <cellStyle name="SAPBEXstdItem 15" xfId="997"/>
    <cellStyle name="SAPBEXstdItem 15 10" xfId="2958"/>
    <cellStyle name="SAPBEXstdItem 15 11" xfId="2959"/>
    <cellStyle name="SAPBEXstdItem 15 12" xfId="2960"/>
    <cellStyle name="SAPBEXstdItem 15 2" xfId="998"/>
    <cellStyle name="SAPBEXstdItem 15 2 10" xfId="2961"/>
    <cellStyle name="SAPBEXstdItem 15 2 11" xfId="2962"/>
    <cellStyle name="SAPBEXstdItem 15 2 2" xfId="2963"/>
    <cellStyle name="SAPBEXstdItem 15 2 3" xfId="2964"/>
    <cellStyle name="SAPBEXstdItem 15 2 4" xfId="2965"/>
    <cellStyle name="SAPBEXstdItem 15 2 5" xfId="2966"/>
    <cellStyle name="SAPBEXstdItem 15 2 6" xfId="2967"/>
    <cellStyle name="SAPBEXstdItem 15 2 7" xfId="2968"/>
    <cellStyle name="SAPBEXstdItem 15 2 8" xfId="2969"/>
    <cellStyle name="SAPBEXstdItem 15 2 9" xfId="2970"/>
    <cellStyle name="SAPBEXstdItem 15 3" xfId="2971"/>
    <cellStyle name="SAPBEXstdItem 15 4" xfId="2972"/>
    <cellStyle name="SAPBEXstdItem 15 5" xfId="2973"/>
    <cellStyle name="SAPBEXstdItem 15 6" xfId="2974"/>
    <cellStyle name="SAPBEXstdItem 15 7" xfId="2975"/>
    <cellStyle name="SAPBEXstdItem 15 8" xfId="2976"/>
    <cellStyle name="SAPBEXstdItem 15 9" xfId="2977"/>
    <cellStyle name="SAPBEXstdItem 16" xfId="999"/>
    <cellStyle name="SAPBEXstdItem 16 10" xfId="2978"/>
    <cellStyle name="SAPBEXstdItem 16 11" xfId="2979"/>
    <cellStyle name="SAPBEXstdItem 16 12" xfId="2980"/>
    <cellStyle name="SAPBEXstdItem 16 2" xfId="1000"/>
    <cellStyle name="SAPBEXstdItem 16 2 10" xfId="2981"/>
    <cellStyle name="SAPBEXstdItem 16 2 11" xfId="2982"/>
    <cellStyle name="SAPBEXstdItem 16 2 2" xfId="2983"/>
    <cellStyle name="SAPBEXstdItem 16 2 3" xfId="2984"/>
    <cellStyle name="SAPBEXstdItem 16 2 4" xfId="2985"/>
    <cellStyle name="SAPBEXstdItem 16 2 5" xfId="2986"/>
    <cellStyle name="SAPBEXstdItem 16 2 6" xfId="2987"/>
    <cellStyle name="SAPBEXstdItem 16 2 7" xfId="2988"/>
    <cellStyle name="SAPBEXstdItem 16 2 8" xfId="2989"/>
    <cellStyle name="SAPBEXstdItem 16 2 9" xfId="2990"/>
    <cellStyle name="SAPBEXstdItem 16 3" xfId="2991"/>
    <cellStyle name="SAPBEXstdItem 16 4" xfId="2992"/>
    <cellStyle name="SAPBEXstdItem 16 5" xfId="2993"/>
    <cellStyle name="SAPBEXstdItem 16 6" xfId="2994"/>
    <cellStyle name="SAPBEXstdItem 16 7" xfId="2995"/>
    <cellStyle name="SAPBEXstdItem 16 8" xfId="2996"/>
    <cellStyle name="SAPBEXstdItem 16 9" xfId="2997"/>
    <cellStyle name="SAPBEXstdItem 17" xfId="1001"/>
    <cellStyle name="SAPBEXstdItem 17 10" xfId="2998"/>
    <cellStyle name="SAPBEXstdItem 17 11" xfId="2999"/>
    <cellStyle name="SAPBEXstdItem 17 12" xfId="3000"/>
    <cellStyle name="SAPBEXstdItem 17 2" xfId="1002"/>
    <cellStyle name="SAPBEXstdItem 17 2 10" xfId="3001"/>
    <cellStyle name="SAPBEXstdItem 17 2 11" xfId="3002"/>
    <cellStyle name="SAPBEXstdItem 17 2 2" xfId="3003"/>
    <cellStyle name="SAPBEXstdItem 17 2 3" xfId="3004"/>
    <cellStyle name="SAPBEXstdItem 17 2 4" xfId="3005"/>
    <cellStyle name="SAPBEXstdItem 17 2 5" xfId="3006"/>
    <cellStyle name="SAPBEXstdItem 17 2 6" xfId="3007"/>
    <cellStyle name="SAPBEXstdItem 17 2 7" xfId="3008"/>
    <cellStyle name="SAPBEXstdItem 17 2 8" xfId="3009"/>
    <cellStyle name="SAPBEXstdItem 17 2 9" xfId="3010"/>
    <cellStyle name="SAPBEXstdItem 17 3" xfId="3011"/>
    <cellStyle name="SAPBEXstdItem 17 4" xfId="3012"/>
    <cellStyle name="SAPBEXstdItem 17 5" xfId="3013"/>
    <cellStyle name="SAPBEXstdItem 17 6" xfId="3014"/>
    <cellStyle name="SAPBEXstdItem 17 7" xfId="3015"/>
    <cellStyle name="SAPBEXstdItem 17 8" xfId="3016"/>
    <cellStyle name="SAPBEXstdItem 17 9" xfId="3017"/>
    <cellStyle name="SAPBEXstdItem 18" xfId="1003"/>
    <cellStyle name="SAPBEXstdItem 18 10" xfId="3018"/>
    <cellStyle name="SAPBEXstdItem 18 11" xfId="3019"/>
    <cellStyle name="SAPBEXstdItem 18 12" xfId="3020"/>
    <cellStyle name="SAPBEXstdItem 18 2" xfId="1004"/>
    <cellStyle name="SAPBEXstdItem 18 2 10" xfId="3021"/>
    <cellStyle name="SAPBEXstdItem 18 2 11" xfId="3022"/>
    <cellStyle name="SAPBEXstdItem 18 2 2" xfId="3023"/>
    <cellStyle name="SAPBEXstdItem 18 2 3" xfId="3024"/>
    <cellStyle name="SAPBEXstdItem 18 2 4" xfId="3025"/>
    <cellStyle name="SAPBEXstdItem 18 2 5" xfId="3026"/>
    <cellStyle name="SAPBEXstdItem 18 2 6" xfId="3027"/>
    <cellStyle name="SAPBEXstdItem 18 2 7" xfId="3028"/>
    <cellStyle name="SAPBEXstdItem 18 2 8" xfId="3029"/>
    <cellStyle name="SAPBEXstdItem 18 2 9" xfId="3030"/>
    <cellStyle name="SAPBEXstdItem 18 3" xfId="3031"/>
    <cellStyle name="SAPBEXstdItem 18 4" xfId="3032"/>
    <cellStyle name="SAPBEXstdItem 18 5" xfId="3033"/>
    <cellStyle name="SAPBEXstdItem 18 6" xfId="3034"/>
    <cellStyle name="SAPBEXstdItem 18 7" xfId="3035"/>
    <cellStyle name="SAPBEXstdItem 18 8" xfId="3036"/>
    <cellStyle name="SAPBEXstdItem 18 9" xfId="3037"/>
    <cellStyle name="SAPBEXstdItem 19" xfId="1005"/>
    <cellStyle name="SAPBEXstdItem 19 10" xfId="3038"/>
    <cellStyle name="SAPBEXstdItem 19 11" xfId="3039"/>
    <cellStyle name="SAPBEXstdItem 19 12" xfId="3040"/>
    <cellStyle name="SAPBEXstdItem 19 2" xfId="1006"/>
    <cellStyle name="SAPBEXstdItem 19 2 10" xfId="3041"/>
    <cellStyle name="SAPBEXstdItem 19 2 11" xfId="3042"/>
    <cellStyle name="SAPBEXstdItem 19 2 2" xfId="3043"/>
    <cellStyle name="SAPBEXstdItem 19 2 3" xfId="3044"/>
    <cellStyle name="SAPBEXstdItem 19 2 4" xfId="3045"/>
    <cellStyle name="SAPBEXstdItem 19 2 5" xfId="3046"/>
    <cellStyle name="SAPBEXstdItem 19 2 6" xfId="3047"/>
    <cellStyle name="SAPBEXstdItem 19 2 7" xfId="3048"/>
    <cellStyle name="SAPBEXstdItem 19 2 8" xfId="3049"/>
    <cellStyle name="SAPBEXstdItem 19 2 9" xfId="3050"/>
    <cellStyle name="SAPBEXstdItem 19 3" xfId="3051"/>
    <cellStyle name="SAPBEXstdItem 19 4" xfId="3052"/>
    <cellStyle name="SAPBEXstdItem 19 5" xfId="3053"/>
    <cellStyle name="SAPBEXstdItem 19 6" xfId="3054"/>
    <cellStyle name="SAPBEXstdItem 19 7" xfId="3055"/>
    <cellStyle name="SAPBEXstdItem 19 8" xfId="3056"/>
    <cellStyle name="SAPBEXstdItem 19 9" xfId="3057"/>
    <cellStyle name="SAPBEXstdItem 2" xfId="1007"/>
    <cellStyle name="SAPBEXstdItem 2 10" xfId="3058"/>
    <cellStyle name="SAPBEXstdItem 2 11" xfId="3059"/>
    <cellStyle name="SAPBEXstdItem 2 12" xfId="3060"/>
    <cellStyle name="SAPBEXstdItem 2 13" xfId="3061"/>
    <cellStyle name="SAPBEXstdItem 2 2" xfId="1008"/>
    <cellStyle name="SAPBEXstdItem 2 2 10" xfId="3062"/>
    <cellStyle name="SAPBEXstdItem 2 2 11" xfId="3063"/>
    <cellStyle name="SAPBEXstdItem 2 2 12" xfId="3064"/>
    <cellStyle name="SAPBEXstdItem 2 2 2" xfId="1009"/>
    <cellStyle name="SAPBEXstdItem 2 2 2 10" xfId="3065"/>
    <cellStyle name="SAPBEXstdItem 2 2 2 11" xfId="3066"/>
    <cellStyle name="SAPBEXstdItem 2 2 2 2" xfId="3067"/>
    <cellStyle name="SAPBEXstdItem 2 2 2 3" xfId="3068"/>
    <cellStyle name="SAPBEXstdItem 2 2 2 4" xfId="3069"/>
    <cellStyle name="SAPBEXstdItem 2 2 2 5" xfId="3070"/>
    <cellStyle name="SAPBEXstdItem 2 2 2 6" xfId="3071"/>
    <cellStyle name="SAPBEXstdItem 2 2 2 7" xfId="3072"/>
    <cellStyle name="SAPBEXstdItem 2 2 2 8" xfId="3073"/>
    <cellStyle name="SAPBEXstdItem 2 2 2 9" xfId="3074"/>
    <cellStyle name="SAPBEXstdItem 2 2 3" xfId="3075"/>
    <cellStyle name="SAPBEXstdItem 2 2 4" xfId="3076"/>
    <cellStyle name="SAPBEXstdItem 2 2 5" xfId="3077"/>
    <cellStyle name="SAPBEXstdItem 2 2 6" xfId="3078"/>
    <cellStyle name="SAPBEXstdItem 2 2 7" xfId="3079"/>
    <cellStyle name="SAPBEXstdItem 2 2 8" xfId="3080"/>
    <cellStyle name="SAPBEXstdItem 2 2 9" xfId="3081"/>
    <cellStyle name="SAPBEXstdItem 2 3" xfId="1010"/>
    <cellStyle name="SAPBEXstdItem 2 3 10" xfId="3082"/>
    <cellStyle name="SAPBEXstdItem 2 3 11" xfId="3083"/>
    <cellStyle name="SAPBEXstdItem 2 3 2" xfId="3084"/>
    <cellStyle name="SAPBEXstdItem 2 3 3" xfId="3085"/>
    <cellStyle name="SAPBEXstdItem 2 3 4" xfId="3086"/>
    <cellStyle name="SAPBEXstdItem 2 3 5" xfId="3087"/>
    <cellStyle name="SAPBEXstdItem 2 3 6" xfId="3088"/>
    <cellStyle name="SAPBEXstdItem 2 3 7" xfId="3089"/>
    <cellStyle name="SAPBEXstdItem 2 3 8" xfId="3090"/>
    <cellStyle name="SAPBEXstdItem 2 3 9" xfId="3091"/>
    <cellStyle name="SAPBEXstdItem 2 4" xfId="3092"/>
    <cellStyle name="SAPBEXstdItem 2 5" xfId="3093"/>
    <cellStyle name="SAPBEXstdItem 2 6" xfId="3094"/>
    <cellStyle name="SAPBEXstdItem 2 7" xfId="3095"/>
    <cellStyle name="SAPBEXstdItem 2 8" xfId="3096"/>
    <cellStyle name="SAPBEXstdItem 2 9" xfId="3097"/>
    <cellStyle name="SAPBEXstdItem 20" xfId="1011"/>
    <cellStyle name="SAPBEXstdItem 20 10" xfId="3098"/>
    <cellStyle name="SAPBEXstdItem 20 11" xfId="3099"/>
    <cellStyle name="SAPBEXstdItem 20 12" xfId="3100"/>
    <cellStyle name="SAPBEXstdItem 20 2" xfId="1012"/>
    <cellStyle name="SAPBEXstdItem 20 2 10" xfId="3101"/>
    <cellStyle name="SAPBEXstdItem 20 2 11" xfId="3102"/>
    <cellStyle name="SAPBEXstdItem 20 2 2" xfId="3103"/>
    <cellStyle name="SAPBEXstdItem 20 2 3" xfId="3104"/>
    <cellStyle name="SAPBEXstdItem 20 2 4" xfId="3105"/>
    <cellStyle name="SAPBEXstdItem 20 2 5" xfId="3106"/>
    <cellStyle name="SAPBEXstdItem 20 2 6" xfId="3107"/>
    <cellStyle name="SAPBEXstdItem 20 2 7" xfId="3108"/>
    <cellStyle name="SAPBEXstdItem 20 2 8" xfId="3109"/>
    <cellStyle name="SAPBEXstdItem 20 2 9" xfId="3110"/>
    <cellStyle name="SAPBEXstdItem 20 3" xfId="3111"/>
    <cellStyle name="SAPBEXstdItem 20 4" xfId="3112"/>
    <cellStyle name="SAPBEXstdItem 20 5" xfId="3113"/>
    <cellStyle name="SAPBEXstdItem 20 6" xfId="3114"/>
    <cellStyle name="SAPBEXstdItem 20 7" xfId="3115"/>
    <cellStyle name="SAPBEXstdItem 20 8" xfId="3116"/>
    <cellStyle name="SAPBEXstdItem 20 9" xfId="3117"/>
    <cellStyle name="SAPBEXstdItem 21" xfId="3118"/>
    <cellStyle name="SAPBEXstdItem 22" xfId="3119"/>
    <cellStyle name="SAPBEXstdItem 23" xfId="3120"/>
    <cellStyle name="SAPBEXstdItem 24" xfId="3121"/>
    <cellStyle name="SAPBEXstdItem 25" xfId="3122"/>
    <cellStyle name="SAPBEXstdItem 26" xfId="3123"/>
    <cellStyle name="SAPBEXstdItem 27" xfId="3124"/>
    <cellStyle name="SAPBEXstdItem 28" xfId="3125"/>
    <cellStyle name="SAPBEXstdItem 29" xfId="3126"/>
    <cellStyle name="SAPBEXstdItem 3" xfId="1013"/>
    <cellStyle name="SAPBEXstdItem 3 10" xfId="3127"/>
    <cellStyle name="SAPBEXstdItem 3 11" xfId="3128"/>
    <cellStyle name="SAPBEXstdItem 3 12" xfId="3129"/>
    <cellStyle name="SAPBEXstdItem 3 2" xfId="1014"/>
    <cellStyle name="SAPBEXstdItem 3 2 10" xfId="3130"/>
    <cellStyle name="SAPBEXstdItem 3 2 11" xfId="3131"/>
    <cellStyle name="SAPBEXstdItem 3 2 2" xfId="3132"/>
    <cellStyle name="SAPBEXstdItem 3 2 3" xfId="3133"/>
    <cellStyle name="SAPBEXstdItem 3 2 4" xfId="3134"/>
    <cellStyle name="SAPBEXstdItem 3 2 5" xfId="3135"/>
    <cellStyle name="SAPBEXstdItem 3 2 6" xfId="3136"/>
    <cellStyle name="SAPBEXstdItem 3 2 7" xfId="3137"/>
    <cellStyle name="SAPBEXstdItem 3 2 8" xfId="3138"/>
    <cellStyle name="SAPBEXstdItem 3 2 9" xfId="3139"/>
    <cellStyle name="SAPBEXstdItem 3 3" xfId="3140"/>
    <cellStyle name="SAPBEXstdItem 3 4" xfId="3141"/>
    <cellStyle name="SAPBEXstdItem 3 5" xfId="3142"/>
    <cellStyle name="SAPBEXstdItem 3 6" xfId="3143"/>
    <cellStyle name="SAPBEXstdItem 3 7" xfId="3144"/>
    <cellStyle name="SAPBEXstdItem 3 8" xfId="3145"/>
    <cellStyle name="SAPBEXstdItem 3 9" xfId="3146"/>
    <cellStyle name="SAPBEXstdItem 30" xfId="3147"/>
    <cellStyle name="SAPBEXstdItem 4" xfId="1015"/>
    <cellStyle name="SAPBEXstdItem 4 10" xfId="3148"/>
    <cellStyle name="SAPBEXstdItem 4 11" xfId="3149"/>
    <cellStyle name="SAPBEXstdItem 4 12" xfId="3150"/>
    <cellStyle name="SAPBEXstdItem 4 2" xfId="1016"/>
    <cellStyle name="SAPBEXstdItem 4 2 10" xfId="3151"/>
    <cellStyle name="SAPBEXstdItem 4 2 11" xfId="3152"/>
    <cellStyle name="SAPBEXstdItem 4 2 2" xfId="3153"/>
    <cellStyle name="SAPBEXstdItem 4 2 3" xfId="3154"/>
    <cellStyle name="SAPBEXstdItem 4 2 4" xfId="3155"/>
    <cellStyle name="SAPBEXstdItem 4 2 5" xfId="3156"/>
    <cellStyle name="SAPBEXstdItem 4 2 6" xfId="3157"/>
    <cellStyle name="SAPBEXstdItem 4 2 7" xfId="3158"/>
    <cellStyle name="SAPBEXstdItem 4 2 8" xfId="3159"/>
    <cellStyle name="SAPBEXstdItem 4 2 9" xfId="3160"/>
    <cellStyle name="SAPBEXstdItem 4 3" xfId="3161"/>
    <cellStyle name="SAPBEXstdItem 4 4" xfId="3162"/>
    <cellStyle name="SAPBEXstdItem 4 5" xfId="3163"/>
    <cellStyle name="SAPBEXstdItem 4 6" xfId="3164"/>
    <cellStyle name="SAPBEXstdItem 4 7" xfId="3165"/>
    <cellStyle name="SAPBEXstdItem 4 8" xfId="3166"/>
    <cellStyle name="SAPBEXstdItem 4 9" xfId="3167"/>
    <cellStyle name="SAPBEXstdItem 5" xfId="1017"/>
    <cellStyle name="SAPBEXstdItem 5 10" xfId="3168"/>
    <cellStyle name="SAPBEXstdItem 5 11" xfId="3169"/>
    <cellStyle name="SAPBEXstdItem 5 12" xfId="3170"/>
    <cellStyle name="SAPBEXstdItem 5 2" xfId="1018"/>
    <cellStyle name="SAPBEXstdItem 5 2 10" xfId="3171"/>
    <cellStyle name="SAPBEXstdItem 5 2 11" xfId="3172"/>
    <cellStyle name="SAPBEXstdItem 5 2 2" xfId="3173"/>
    <cellStyle name="SAPBEXstdItem 5 2 3" xfId="3174"/>
    <cellStyle name="SAPBEXstdItem 5 2 4" xfId="3175"/>
    <cellStyle name="SAPBEXstdItem 5 2 5" xfId="3176"/>
    <cellStyle name="SAPBEXstdItem 5 2 6" xfId="3177"/>
    <cellStyle name="SAPBEXstdItem 5 2 7" xfId="3178"/>
    <cellStyle name="SAPBEXstdItem 5 2 8" xfId="3179"/>
    <cellStyle name="SAPBEXstdItem 5 2 9" xfId="3180"/>
    <cellStyle name="SAPBEXstdItem 5 3" xfId="3181"/>
    <cellStyle name="SAPBEXstdItem 5 4" xfId="3182"/>
    <cellStyle name="SAPBEXstdItem 5 5" xfId="3183"/>
    <cellStyle name="SAPBEXstdItem 5 6" xfId="3184"/>
    <cellStyle name="SAPBEXstdItem 5 7" xfId="3185"/>
    <cellStyle name="SAPBEXstdItem 5 8" xfId="3186"/>
    <cellStyle name="SAPBEXstdItem 5 9" xfId="3187"/>
    <cellStyle name="SAPBEXstdItem 6" xfId="1019"/>
    <cellStyle name="SAPBEXstdItem 6 10" xfId="3188"/>
    <cellStyle name="SAPBEXstdItem 6 11" xfId="3189"/>
    <cellStyle name="SAPBEXstdItem 6 12" xfId="3190"/>
    <cellStyle name="SAPBEXstdItem 6 2" xfId="1020"/>
    <cellStyle name="SAPBEXstdItem 6 2 10" xfId="3191"/>
    <cellStyle name="SAPBEXstdItem 6 2 11" xfId="3192"/>
    <cellStyle name="SAPBEXstdItem 6 2 2" xfId="3193"/>
    <cellStyle name="SAPBEXstdItem 6 2 3" xfId="3194"/>
    <cellStyle name="SAPBEXstdItem 6 2 4" xfId="3195"/>
    <cellStyle name="SAPBEXstdItem 6 2 5" xfId="3196"/>
    <cellStyle name="SAPBEXstdItem 6 2 6" xfId="3197"/>
    <cellStyle name="SAPBEXstdItem 6 2 7" xfId="3198"/>
    <cellStyle name="SAPBEXstdItem 6 2 8" xfId="3199"/>
    <cellStyle name="SAPBEXstdItem 6 2 9" xfId="3200"/>
    <cellStyle name="SAPBEXstdItem 6 3" xfId="3201"/>
    <cellStyle name="SAPBEXstdItem 6 4" xfId="3202"/>
    <cellStyle name="SAPBEXstdItem 6 5" xfId="3203"/>
    <cellStyle name="SAPBEXstdItem 6 6" xfId="3204"/>
    <cellStyle name="SAPBEXstdItem 6 7" xfId="3205"/>
    <cellStyle name="SAPBEXstdItem 6 8" xfId="3206"/>
    <cellStyle name="SAPBEXstdItem 6 9" xfId="3207"/>
    <cellStyle name="SAPBEXstdItem 7" xfId="1021"/>
    <cellStyle name="SAPBEXstdItem 7 10" xfId="3208"/>
    <cellStyle name="SAPBEXstdItem 7 11" xfId="3209"/>
    <cellStyle name="SAPBEXstdItem 7 12" xfId="3210"/>
    <cellStyle name="SAPBEXstdItem 7 2" xfId="1022"/>
    <cellStyle name="SAPBEXstdItem 7 2 10" xfId="3211"/>
    <cellStyle name="SAPBEXstdItem 7 2 11" xfId="3212"/>
    <cellStyle name="SAPBEXstdItem 7 2 2" xfId="3213"/>
    <cellStyle name="SAPBEXstdItem 7 2 3" xfId="3214"/>
    <cellStyle name="SAPBEXstdItem 7 2 4" xfId="3215"/>
    <cellStyle name="SAPBEXstdItem 7 2 5" xfId="3216"/>
    <cellStyle name="SAPBEXstdItem 7 2 6" xfId="3217"/>
    <cellStyle name="SAPBEXstdItem 7 2 7" xfId="3218"/>
    <cellStyle name="SAPBEXstdItem 7 2 8" xfId="3219"/>
    <cellStyle name="SAPBEXstdItem 7 2 9" xfId="3220"/>
    <cellStyle name="SAPBEXstdItem 7 3" xfId="3221"/>
    <cellStyle name="SAPBEXstdItem 7 4" xfId="3222"/>
    <cellStyle name="SAPBEXstdItem 7 5" xfId="3223"/>
    <cellStyle name="SAPBEXstdItem 7 6" xfId="3224"/>
    <cellStyle name="SAPBEXstdItem 7 7" xfId="3225"/>
    <cellStyle name="SAPBEXstdItem 7 8" xfId="3226"/>
    <cellStyle name="SAPBEXstdItem 7 9" xfId="3227"/>
    <cellStyle name="SAPBEXstdItem 8" xfId="1023"/>
    <cellStyle name="SAPBEXstdItem 8 10" xfId="3228"/>
    <cellStyle name="SAPBEXstdItem 8 11" xfId="3229"/>
    <cellStyle name="SAPBEXstdItem 8 12" xfId="3230"/>
    <cellStyle name="SAPBEXstdItem 8 2" xfId="1024"/>
    <cellStyle name="SAPBEXstdItem 8 2 10" xfId="3231"/>
    <cellStyle name="SAPBEXstdItem 8 2 11" xfId="3232"/>
    <cellStyle name="SAPBEXstdItem 8 2 2" xfId="3233"/>
    <cellStyle name="SAPBEXstdItem 8 2 3" xfId="3234"/>
    <cellStyle name="SAPBEXstdItem 8 2 4" xfId="3235"/>
    <cellStyle name="SAPBEXstdItem 8 2 5" xfId="3236"/>
    <cellStyle name="SAPBEXstdItem 8 2 6" xfId="3237"/>
    <cellStyle name="SAPBEXstdItem 8 2 7" xfId="3238"/>
    <cellStyle name="SAPBEXstdItem 8 2 8" xfId="3239"/>
    <cellStyle name="SAPBEXstdItem 8 2 9" xfId="3240"/>
    <cellStyle name="SAPBEXstdItem 8 3" xfId="3241"/>
    <cellStyle name="SAPBEXstdItem 8 4" xfId="3242"/>
    <cellStyle name="SAPBEXstdItem 8 5" xfId="3243"/>
    <cellStyle name="SAPBEXstdItem 8 6" xfId="3244"/>
    <cellStyle name="SAPBEXstdItem 8 7" xfId="3245"/>
    <cellStyle name="SAPBEXstdItem 8 8" xfId="3246"/>
    <cellStyle name="SAPBEXstdItem 8 9" xfId="3247"/>
    <cellStyle name="SAPBEXstdItem 9" xfId="1025"/>
    <cellStyle name="SAPBEXstdItem 9 10" xfId="3248"/>
    <cellStyle name="SAPBEXstdItem 9 11" xfId="3249"/>
    <cellStyle name="SAPBEXstdItem 9 12" xfId="3250"/>
    <cellStyle name="SAPBEXstdItem 9 2" xfId="1026"/>
    <cellStyle name="SAPBEXstdItem 9 2 10" xfId="3251"/>
    <cellStyle name="SAPBEXstdItem 9 2 11" xfId="3252"/>
    <cellStyle name="SAPBEXstdItem 9 2 2" xfId="3253"/>
    <cellStyle name="SAPBEXstdItem 9 2 3" xfId="3254"/>
    <cellStyle name="SAPBEXstdItem 9 2 4" xfId="3255"/>
    <cellStyle name="SAPBEXstdItem 9 2 5" xfId="3256"/>
    <cellStyle name="SAPBEXstdItem 9 2 6" xfId="3257"/>
    <cellStyle name="SAPBEXstdItem 9 2 7" xfId="3258"/>
    <cellStyle name="SAPBEXstdItem 9 2 8" xfId="3259"/>
    <cellStyle name="SAPBEXstdItem 9 2 9" xfId="3260"/>
    <cellStyle name="SAPBEXstdItem 9 3" xfId="3261"/>
    <cellStyle name="SAPBEXstdItem 9 4" xfId="3262"/>
    <cellStyle name="SAPBEXstdItem 9 5" xfId="3263"/>
    <cellStyle name="SAPBEXstdItem 9 6" xfId="3264"/>
    <cellStyle name="SAPBEXstdItem 9 7" xfId="3265"/>
    <cellStyle name="SAPBEXstdItem 9 8" xfId="3266"/>
    <cellStyle name="SAPBEXstdItem 9 9" xfId="3267"/>
    <cellStyle name="SAPBEXstdItem_Sheet1" xfId="1027"/>
    <cellStyle name="SAPBEXstdItemX" xfId="1028"/>
    <cellStyle name="SAPBEXstdItemX 10" xfId="3268"/>
    <cellStyle name="SAPBEXstdItemX 11" xfId="3269"/>
    <cellStyle name="SAPBEXstdItemX 2" xfId="3270"/>
    <cellStyle name="SAPBEXstdItemX 3" xfId="3271"/>
    <cellStyle name="SAPBEXstdItemX 4" xfId="3272"/>
    <cellStyle name="SAPBEXstdItemX 5" xfId="3273"/>
    <cellStyle name="SAPBEXstdItemX 6" xfId="3274"/>
    <cellStyle name="SAPBEXstdItemX 7" xfId="3275"/>
    <cellStyle name="SAPBEXstdItemX 8" xfId="3276"/>
    <cellStyle name="SAPBEXstdItemX 9" xfId="3277"/>
    <cellStyle name="SAPBEXtitle" xfId="1029"/>
    <cellStyle name="SAPBEXundefined" xfId="1030"/>
    <cellStyle name="SAPBEXundefined 10" xfId="3278"/>
    <cellStyle name="SAPBEXundefined 11" xfId="3279"/>
    <cellStyle name="SAPBEXundefined 12" xfId="3280"/>
    <cellStyle name="SAPBEXundefined 13" xfId="3281"/>
    <cellStyle name="SAPBEXundefined 14" xfId="3282"/>
    <cellStyle name="SAPBEXundefined 2" xfId="1031"/>
    <cellStyle name="SAPBEXundefined 2 10" xfId="3283"/>
    <cellStyle name="SAPBEXundefined 2 11" xfId="3284"/>
    <cellStyle name="SAPBEXundefined 2 2" xfId="3285"/>
    <cellStyle name="SAPBEXundefined 2 3" xfId="3286"/>
    <cellStyle name="SAPBEXundefined 2 4" xfId="3287"/>
    <cellStyle name="SAPBEXundefined 2 5" xfId="3288"/>
    <cellStyle name="SAPBEXundefined 2 6" xfId="3289"/>
    <cellStyle name="SAPBEXundefined 2 7" xfId="3290"/>
    <cellStyle name="SAPBEXundefined 2 8" xfId="3291"/>
    <cellStyle name="SAPBEXundefined 2 9" xfId="3292"/>
    <cellStyle name="SAPBEXundefined 3" xfId="1032"/>
    <cellStyle name="SAPBEXundefined 3 10" xfId="3293"/>
    <cellStyle name="SAPBEXundefined 3 11" xfId="3294"/>
    <cellStyle name="SAPBEXundefined 3 2" xfId="3295"/>
    <cellStyle name="SAPBEXundefined 3 3" xfId="3296"/>
    <cellStyle name="SAPBEXundefined 3 4" xfId="3297"/>
    <cellStyle name="SAPBEXundefined 3 5" xfId="3298"/>
    <cellStyle name="SAPBEXundefined 3 6" xfId="3299"/>
    <cellStyle name="SAPBEXundefined 3 7" xfId="3300"/>
    <cellStyle name="SAPBEXundefined 3 8" xfId="3301"/>
    <cellStyle name="SAPBEXundefined 3 9" xfId="3302"/>
    <cellStyle name="SAPBEXundefined 4" xfId="1033"/>
    <cellStyle name="SAPBEXundefined 4 10" xfId="3303"/>
    <cellStyle name="SAPBEXundefined 4 11" xfId="3304"/>
    <cellStyle name="SAPBEXundefined 4 2" xfId="3305"/>
    <cellStyle name="SAPBEXundefined 4 3" xfId="3306"/>
    <cellStyle name="SAPBEXundefined 4 4" xfId="3307"/>
    <cellStyle name="SAPBEXundefined 4 5" xfId="3308"/>
    <cellStyle name="SAPBEXundefined 4 6" xfId="3309"/>
    <cellStyle name="SAPBEXundefined 4 7" xfId="3310"/>
    <cellStyle name="SAPBEXundefined 4 8" xfId="3311"/>
    <cellStyle name="SAPBEXundefined 4 9" xfId="3312"/>
    <cellStyle name="SAPBEXundefined 5" xfId="3313"/>
    <cellStyle name="SAPBEXundefined 6" xfId="3314"/>
    <cellStyle name="SAPBEXundefined 7" xfId="3315"/>
    <cellStyle name="SAPBEXundefined 8" xfId="3316"/>
    <cellStyle name="SAPBEXundefined 9" xfId="3317"/>
    <cellStyle name="ScripFactor" xfId="131"/>
    <cellStyle name="Shaded" xfId="1463"/>
    <cellStyle name="SHADEDSTORES" xfId="1464"/>
    <cellStyle name="SHADEDSTORES 2" xfId="3318"/>
    <cellStyle name="SHADEDSTORES 3" xfId="3319"/>
    <cellStyle name="SHADEDSTORES 4" xfId="3320"/>
    <cellStyle name="SHADEDSTORES 5" xfId="3321"/>
    <cellStyle name="SHADEDSTORES 6" xfId="3322"/>
    <cellStyle name="SHADEDSTORES 7" xfId="3323"/>
    <cellStyle name="SHADEDSTORES 8" xfId="3324"/>
    <cellStyle name="SHADEDSTORES 9" xfId="3325"/>
    <cellStyle name="SingleTopDoubleBott" xfId="1465"/>
    <cellStyle name="SingleTopDoubleBott 10" xfId="3326"/>
    <cellStyle name="SingleTopDoubleBott 11" xfId="3327"/>
    <cellStyle name="SingleTopDoubleBott 2" xfId="1466"/>
    <cellStyle name="SingleTopDoubleBott 2 10" xfId="3328"/>
    <cellStyle name="SingleTopDoubleBott 2 2" xfId="3329"/>
    <cellStyle name="SingleTopDoubleBott 2 3" xfId="3330"/>
    <cellStyle name="SingleTopDoubleBott 2 4" xfId="3331"/>
    <cellStyle name="SingleTopDoubleBott 2 5" xfId="3332"/>
    <cellStyle name="SingleTopDoubleBott 2 6" xfId="3333"/>
    <cellStyle name="SingleTopDoubleBott 2 7" xfId="3334"/>
    <cellStyle name="SingleTopDoubleBott 2 8" xfId="3335"/>
    <cellStyle name="SingleTopDoubleBott 2 9" xfId="3336"/>
    <cellStyle name="SingleTopDoubleBott 3" xfId="3337"/>
    <cellStyle name="SingleTopDoubleBott 4" xfId="3338"/>
    <cellStyle name="SingleTopDoubleBott 5" xfId="3339"/>
    <cellStyle name="SingleTopDoubleBott 6" xfId="3340"/>
    <cellStyle name="SingleTopDoubleBott 7" xfId="3341"/>
    <cellStyle name="SingleTopDoubleBott 8" xfId="3342"/>
    <cellStyle name="SingleTopDoubleBott 9" xfId="3343"/>
    <cellStyle name="Special9" xfId="1467"/>
    <cellStyle name="specstores" xfId="1468"/>
    <cellStyle name="ssp " xfId="1093"/>
    <cellStyle name="ssp  2" xfId="3344"/>
    <cellStyle name="Style 1" xfId="1040"/>
    <cellStyle name="Subhead" xfId="132"/>
    <cellStyle name="Subheading" xfId="133"/>
    <cellStyle name="SubRoutine" xfId="1469"/>
    <cellStyle name="Subtitle" xfId="1470"/>
    <cellStyle name="Subtotal" xfId="1471"/>
    <cellStyle name="System Consultants" xfId="1034"/>
    <cellStyle name="Table Title" xfId="134"/>
    <cellStyle name="Table Units" xfId="135"/>
    <cellStyle name="Table-#" xfId="1472"/>
    <cellStyle name="TableBody" xfId="136"/>
    <cellStyle name="TableColHeads" xfId="137"/>
    <cellStyle name="Table-Headings" xfId="1473"/>
    <cellStyle name="Table-Titles" xfId="1474"/>
    <cellStyle name="tcn" xfId="138"/>
    <cellStyle name="TEXT" xfId="139"/>
    <cellStyle name="TEXT 10" xfId="3345"/>
    <cellStyle name="TEXT 11" xfId="3346"/>
    <cellStyle name="TEXT 2" xfId="1475"/>
    <cellStyle name="TEXT 2 10" xfId="3347"/>
    <cellStyle name="TEXT 2 2" xfId="3348"/>
    <cellStyle name="TEXT 2 3" xfId="3349"/>
    <cellStyle name="TEXT 2 4" xfId="3350"/>
    <cellStyle name="TEXT 2 5" xfId="3351"/>
    <cellStyle name="TEXT 2 6" xfId="3352"/>
    <cellStyle name="TEXT 2 7" xfId="3353"/>
    <cellStyle name="TEXT 2 8" xfId="3354"/>
    <cellStyle name="TEXT 2 9" xfId="3355"/>
    <cellStyle name="TEXT 3" xfId="1476"/>
    <cellStyle name="TEXT 3 2" xfId="3356"/>
    <cellStyle name="TEXT 3 3" xfId="3357"/>
    <cellStyle name="TEXT 3 4" xfId="3358"/>
    <cellStyle name="TEXT 3 5" xfId="3359"/>
    <cellStyle name="TEXT 3 6" xfId="3360"/>
    <cellStyle name="TEXT 3 7" xfId="3361"/>
    <cellStyle name="TEXT 3 8" xfId="3362"/>
    <cellStyle name="TEXT 3 9" xfId="3363"/>
    <cellStyle name="TEXT 4" xfId="3364"/>
    <cellStyle name="TEXT 5" xfId="3365"/>
    <cellStyle name="TEXT 6" xfId="3366"/>
    <cellStyle name="TEXT 7" xfId="3367"/>
    <cellStyle name="TEXT 8" xfId="3368"/>
    <cellStyle name="TEXT 9" xfId="3369"/>
    <cellStyle name="Text Indent A" xfId="1477"/>
    <cellStyle name="Text Indent B" xfId="1478"/>
    <cellStyle name="Text Indent C" xfId="1479"/>
    <cellStyle name="Title - PROJECT" xfId="1480"/>
    <cellStyle name="Title - Underline" xfId="1481"/>
    <cellStyle name="Title 2" xfId="140"/>
    <cellStyle name="title1" xfId="141"/>
    <cellStyle name="title2" xfId="142"/>
    <cellStyle name="Titles" xfId="143"/>
    <cellStyle name="Titles - Col. Headings" xfId="1482"/>
    <cellStyle name="Titles - Other" xfId="1483"/>
    <cellStyle name="Titles 2" xfId="200"/>
    <cellStyle name="Titles 2 2" xfId="1145"/>
    <cellStyle name="tn" xfId="144"/>
    <cellStyle name="Top Heading" xfId="145"/>
    <cellStyle name="Top Heading 2" xfId="1100"/>
    <cellStyle name="Top Line Light" xfId="1484"/>
    <cellStyle name="Top Line Light 2" xfId="1485"/>
    <cellStyle name="Top Line Light 2 2" xfId="3370"/>
    <cellStyle name="Top Line Light 3" xfId="3371"/>
    <cellStyle name="total [0]" xfId="1074"/>
    <cellStyle name="total [1]" xfId="1075"/>
    <cellStyle name="Total [2]" xfId="1076"/>
    <cellStyle name="total [3]" xfId="1077"/>
    <cellStyle name="Total 2" xfId="1035"/>
    <cellStyle name="Twodig" xfId="1486"/>
    <cellStyle name="Underline" xfId="1487"/>
    <cellStyle name="Underline 2" xfId="1488"/>
    <cellStyle name="UnderlineDouble" xfId="1489"/>
    <cellStyle name="UnderlineDouble 2" xfId="1490"/>
    <cellStyle name="Underscore" xfId="146"/>
    <cellStyle name="Underscore 2" xfId="1491"/>
    <cellStyle name="Underscore 2 2" xfId="3372"/>
    <cellStyle name="Underscore 2 3" xfId="3373"/>
    <cellStyle name="Underscore 3" xfId="3374"/>
    <cellStyle name="Underscore 4" xfId="3375"/>
    <cellStyle name="Unshaded" xfId="1492"/>
    <cellStyle name="Unsure" xfId="1493"/>
    <cellStyle name="Upload Only" xfId="147"/>
    <cellStyle name="ValCht - Style1" xfId="148"/>
    <cellStyle name="VOID" xfId="1494"/>
    <cellStyle name="Warning Text 2" xfId="1036"/>
    <cellStyle name="Year" xfId="149"/>
    <cellStyle name="桁区切り [0.0]" xfId="1495"/>
    <cellStyle name="標準_4519PL" xfId="15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externalLinks/externalLink1.xml" Type="http://schemas.openxmlformats.org/officeDocument/2006/relationships/externalLink"/>
<Relationship Id="rId16" Target="externalLinks/externalLink2.xml" Type="http://schemas.openxmlformats.org/officeDocument/2006/relationships/externalLink"/>
<Relationship Id="rId17" Target="externalLinks/externalLink3.xml" Type="http://schemas.openxmlformats.org/officeDocument/2006/relationships/externalLink"/>
<Relationship Id="rId18" Target="externalLinks/externalLink4.xml" Type="http://schemas.openxmlformats.org/officeDocument/2006/relationships/externalLink"/>
<Relationship Id="rId19" Target="externalLinks/externalLink5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6.xml" Type="http://schemas.openxmlformats.org/officeDocument/2006/relationships/externalLink"/>
<Relationship Id="rId21" Target="externalLinks/externalLink7.xml" Type="http://schemas.openxmlformats.org/officeDocument/2006/relationships/externalLink"/>
<Relationship Id="rId22" Target="externalLinks/externalLink8.xml" Type="http://schemas.openxmlformats.org/officeDocument/2006/relationships/externalLink"/>
<Relationship Id="rId23" Target="externalLinks/externalLink9.xml" Type="http://schemas.openxmlformats.org/officeDocument/2006/relationships/externalLink"/>
<Relationship Id="rId24" Target="externalLinks/externalLink10.xml" Type="http://schemas.openxmlformats.org/officeDocument/2006/relationships/externalLink"/>
<Relationship Id="rId25" Target="externalLinks/externalLink11.xml" Type="http://schemas.openxmlformats.org/officeDocument/2006/relationships/externalLink"/>
<Relationship Id="rId26" Target="externalLinks/externalLink12.xml" Type="http://schemas.openxmlformats.org/officeDocument/2006/relationships/externalLink"/>
<Relationship Id="rId27" Target="externalLinks/externalLink13.xml" Type="http://schemas.openxmlformats.org/officeDocument/2006/relationships/externalLink"/>
<Relationship Id="rId28" Target="externalLinks/externalLink14.xml" Type="http://schemas.openxmlformats.org/officeDocument/2006/relationships/externalLink"/>
<Relationship Id="rId29" Target="externalLinks/externalLink15.xml" Type="http://schemas.openxmlformats.org/officeDocument/2006/relationships/externalLink"/>
<Relationship Id="rId3" Target="worksheets/sheet3.xml" Type="http://schemas.openxmlformats.org/officeDocument/2006/relationships/worksheet"/>
<Relationship Id="rId30" Target="externalLinks/externalLink16.xml" Type="http://schemas.openxmlformats.org/officeDocument/2006/relationships/externalLink"/>
<Relationship Id="rId31" Target="externalLinks/externalLink17.xml" Type="http://schemas.openxmlformats.org/officeDocument/2006/relationships/externalLink"/>
<Relationship Id="rId32" Target="externalLinks/externalLink18.xml" Type="http://schemas.openxmlformats.org/officeDocument/2006/relationships/externalLink"/>
<Relationship Id="rId33" Target="externalLinks/externalLink19.xml" Type="http://schemas.openxmlformats.org/officeDocument/2006/relationships/externalLink"/>
<Relationship Id="rId34" Target="externalLinks/externalLink20.xml" Type="http://schemas.openxmlformats.org/officeDocument/2006/relationships/externalLink"/>
<Relationship Id="rId35" Target="externalLinks/externalLink21.xml" Type="http://schemas.openxmlformats.org/officeDocument/2006/relationships/externalLink"/>
<Relationship Id="rId36" Target="externalLinks/externalLink22.xml" Type="http://schemas.openxmlformats.org/officeDocument/2006/relationships/externalLink"/>
<Relationship Id="rId37" Target="externalLinks/externalLink23.xml" Type="http://schemas.openxmlformats.org/officeDocument/2006/relationships/externalLink"/>
<Relationship Id="rId38" Target="externalLinks/externalLink24.xml" Type="http://schemas.openxmlformats.org/officeDocument/2006/relationships/externalLink"/>
<Relationship Id="rId39" Target="externalLinks/externalLink25.xml" Type="http://schemas.openxmlformats.org/officeDocument/2006/relationships/externalLink"/>
<Relationship Id="rId4" Target="worksheets/sheet4.xml" Type="http://schemas.openxmlformats.org/officeDocument/2006/relationships/worksheet"/>
<Relationship Id="rId40" Target="externalLinks/externalLink26.xml" Type="http://schemas.openxmlformats.org/officeDocument/2006/relationships/externalLink"/>
<Relationship Id="rId41" Target="externalLinks/externalLink27.xml" Type="http://schemas.openxmlformats.org/officeDocument/2006/relationships/externalLink"/>
<Relationship Id="rId42" Target="externalLinks/externalLink28.xml" Type="http://schemas.openxmlformats.org/officeDocument/2006/relationships/externalLink"/>
<Relationship Id="rId43" Target="externalLinks/externalLink29.xml" Type="http://schemas.openxmlformats.org/officeDocument/2006/relationships/externalLink"/>
<Relationship Id="rId44" Target="externalLinks/externalLink30.xml" Type="http://schemas.openxmlformats.org/officeDocument/2006/relationships/externalLink"/>
<Relationship Id="rId45" Target="externalLinks/externalLink31.xml" Type="http://schemas.openxmlformats.org/officeDocument/2006/relationships/externalLink"/>
<Relationship Id="rId46" Target="externalLinks/externalLink32.xml" Type="http://schemas.openxmlformats.org/officeDocument/2006/relationships/externalLink"/>
<Relationship Id="rId47" Target="externalLinks/externalLink33.xml" Type="http://schemas.openxmlformats.org/officeDocument/2006/relationships/externalLink"/>
<Relationship Id="rId48" Target="externalLinks/externalLink34.xml" Type="http://schemas.openxmlformats.org/officeDocument/2006/relationships/externalLink"/>
<Relationship Id="rId49" Target="externalLinks/externalLink35.xml" Type="http://schemas.openxmlformats.org/officeDocument/2006/relationships/externalLink"/>
<Relationship Id="rId5" Target="worksheets/sheet5.xml" Type="http://schemas.openxmlformats.org/officeDocument/2006/relationships/worksheet"/>
<Relationship Id="rId50" Target="externalLinks/externalLink36.xml" Type="http://schemas.openxmlformats.org/officeDocument/2006/relationships/externalLink"/>
<Relationship Id="rId51" Target="theme/theme1.xml" Type="http://schemas.openxmlformats.org/officeDocument/2006/relationships/theme"/>
<Relationship Id="rId52" Target="styles.xml" Type="http://schemas.openxmlformats.org/officeDocument/2006/relationships/styles"/>
<Relationship Id="rId53" Target="sharedStrings.xml" Type="http://schemas.openxmlformats.org/officeDocument/2006/relationships/sharedStrings"/>
<Relationship Id="rId54" Target="calcChain.xml" Type="http://schemas.openxmlformats.org/officeDocument/2006/relationships/calcChain"/>
<Relationship Id="rId55" Target="../customXml/item1.xml" Type="http://schemas.openxmlformats.org/officeDocument/2006/relationships/customXml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Value by Molecule</a:t>
            </a:r>
          </a:p>
        </c:rich>
      </c:tx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1.5222192135103099E-3"/>
          <c:y val="0.18659869439397"/>
          <c:w val="0.76685164617447799"/>
          <c:h val="0.754901070058551"/>
        </c:manualLayout>
      </c:layout>
      <c:pie3D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6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Valuation!$B$38:$B$40</c:f>
              <c:strCache>
                <c:ptCount val="3"/>
                <c:pt idx="0">
                  <c:v>Luspatercept (ACE-536)</c:v>
                </c:pt>
                <c:pt idx="1">
                  <c:v>TGF-beta in MF</c:v>
                </c:pt>
                <c:pt idx="2">
                  <c:v>Muscle Franchise</c:v>
                </c:pt>
              </c:strCache>
            </c:strRef>
          </c:cat>
          <c:val>
            <c:numRef>
              <c:f>Valuation!$C$38:$C$40</c:f>
              <c:numCache>
                <c:formatCode>"$"#,##0.00</c:formatCode>
                <c:ptCount val="3"/>
                <c:pt idx="0">
                  <c:v>29.819084109402471</c:v>
                </c:pt>
                <c:pt idx="1">
                  <c:v>5.5432372505543235</c:v>
                </c:pt>
                <c:pt idx="2" formatCode="&quot;$&quot;#,##0">
                  <c:v>1.6629711751662972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64605298027815194"/>
          <c:y val="0.178342755232519"/>
          <c:w val="0.24425855712637701"/>
          <c:h val="0.64320782017632505"/>
        </c:manualLayout>
      </c:layout>
      <c:overlay val="0"/>
      <c:txPr>
        <a:bodyPr/>
        <a:lstStyle/>
        <a:p>
          <a:pPr rtl="0">
            <a:defRPr sz="1400"/>
          </a:pPr>
          <a:endParaRPr lang="en-US"/>
        </a:p>
      </c:txPr>
    </c:legend>
    <c:plotVisOnly val="1"/>
    <c:dispBlanksAs val="gap"/>
    <c:showDLblsOverMax val="0"/>
  </c:chart>
  <c:spPr>
    <a:ln w="12700">
      <a:solidFill>
        <a:schemeClr val="tx1"/>
      </a:solidFill>
    </a:ln>
  </c:spPr>
  <c:txPr>
    <a:bodyPr/>
    <a:lstStyle/>
    <a:p>
      <a:pPr>
        <a:defRPr b="1"/>
      </a:pPr>
      <a:endParaRPr lang="en-US"/>
    </a:p>
  </c:txPr>
  <c:printSettings>
    <c:headerFooter/>
    <c:pageMargins b="0.750000000000002" l="0.70000000000000095" r="0.70000000000000095" t="0.750000000000002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Value by Therapeutic</a:t>
            </a:r>
            <a:r>
              <a:rPr lang="en-US" baseline="0"/>
              <a:t> Area</a:t>
            </a:r>
            <a:endParaRPr lang="en-US"/>
          </a:p>
        </c:rich>
      </c:tx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0.130312626794132"/>
          <c:w val="0.90878235038655797"/>
          <c:h val="0.86968737320586798"/>
        </c:manualLayout>
      </c:layout>
      <c:pie3DChart>
        <c:varyColors val="1"/>
        <c:ser>
          <c:idx val="0"/>
          <c:order val="0"/>
          <c:dPt>
            <c:idx val="3"/>
            <c:bubble3D val="0"/>
            <c:explosion val="27"/>
          </c:dPt>
          <c:dLbls>
            <c:txPr>
              <a:bodyPr/>
              <a:lstStyle/>
              <a:p>
                <a:pPr>
                  <a:defRPr sz="14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Valuation!$B$54:$B$57</c:f>
              <c:strCache>
                <c:ptCount val="4"/>
                <c:pt idx="0">
                  <c:v>MDS</c:v>
                </c:pt>
                <c:pt idx="1">
                  <c:v>CKD</c:v>
                </c:pt>
                <c:pt idx="2">
                  <c:v>Beta Thalassemia</c:v>
                </c:pt>
                <c:pt idx="3">
                  <c:v>TGF-Beta Milestones</c:v>
                </c:pt>
              </c:strCache>
            </c:strRef>
          </c:cat>
          <c:val>
            <c:numRef>
              <c:f>Valuation!$C$54:$C$57</c:f>
              <c:numCache>
                <c:formatCode>"$"#,##0.00</c:formatCode>
                <c:ptCount val="4"/>
                <c:pt idx="0">
                  <c:v>21.738689421045098</c:v>
                </c:pt>
                <c:pt idx="1">
                  <c:v>5.5432372505543235</c:v>
                </c:pt>
                <c:pt idx="2">
                  <c:v>6.2260153202962298</c:v>
                </c:pt>
                <c:pt idx="3">
                  <c:v>1.8543793680611413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0245508354215302"/>
          <c:y val="0.32755649545033499"/>
          <c:w val="0.248954111743905"/>
          <c:h val="0.44099889307491602"/>
        </c:manualLayout>
      </c:layout>
      <c:overlay val="0"/>
      <c:txPr>
        <a:bodyPr/>
        <a:lstStyle/>
        <a:p>
          <a:pPr rtl="0">
            <a:defRPr sz="1400" b="1"/>
          </a:pPr>
          <a:endParaRPr lang="en-US"/>
        </a:p>
      </c:txPr>
    </c:legend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WW Sales of Acceleron Molecules and Royalty Rates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Royalties!$B$42</c:f>
              <c:strCache>
                <c:ptCount val="1"/>
                <c:pt idx="0">
                  <c:v>Luspatercept (ACE-536)</c:v>
                </c:pt>
              </c:strCache>
            </c:strRef>
          </c:tx>
          <c:invertIfNegative val="0"/>
          <c:cat>
            <c:numRef>
              <c:f>Royalties!$I$2:$V$2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numCache>
            </c:numRef>
          </c:cat>
          <c:val>
            <c:numRef>
              <c:f>Royalties!$I$42:$V$42</c:f>
              <c:numCache>
                <c:formatCode>"$"#,##0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135959173.5353502</c:v>
                </c:pt>
                <c:pt idx="3">
                  <c:v>401648920.72068268</c:v>
                </c:pt>
                <c:pt idx="4">
                  <c:v>891090205.08124375</c:v>
                </c:pt>
                <c:pt idx="5">
                  <c:v>1280266995.8305728</c:v>
                </c:pt>
                <c:pt idx="6">
                  <c:v>1670318964.5734563</c:v>
                </c:pt>
                <c:pt idx="7">
                  <c:v>2034547800.0622945</c:v>
                </c:pt>
                <c:pt idx="8">
                  <c:v>2302994082.313097</c:v>
                </c:pt>
                <c:pt idx="9">
                  <c:v>2555954803.5192924</c:v>
                </c:pt>
                <c:pt idx="10">
                  <c:v>2797105236.9713936</c:v>
                </c:pt>
                <c:pt idx="11">
                  <c:v>3039192912.909327</c:v>
                </c:pt>
                <c:pt idx="12">
                  <c:v>3277483155.489027</c:v>
                </c:pt>
                <c:pt idx="13">
                  <c:v>3465292907.5352173</c:v>
                </c:pt>
              </c:numCache>
            </c:numRef>
          </c:val>
        </c:ser>
        <c:ser>
          <c:idx val="1"/>
          <c:order val="1"/>
          <c:tx>
            <c:strRef>
              <c:f>Royalties!$B$45</c:f>
              <c:strCache>
                <c:ptCount val="1"/>
                <c:pt idx="0">
                  <c:v>Sotatercept (ACE-011)</c:v>
                </c:pt>
              </c:strCache>
            </c:strRef>
          </c:tx>
          <c:invertIfNegative val="0"/>
          <c:cat>
            <c:numRef>
              <c:f>Royalties!$I$2:$V$2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numCache>
            </c:numRef>
          </c:cat>
          <c:val>
            <c:numRef>
              <c:f>Royalties!$I$45:$V$45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4727296"/>
        <c:axId val="854732800"/>
      </c:barChart>
      <c:lineChart>
        <c:grouping val="standard"/>
        <c:varyColors val="0"/>
        <c:ser>
          <c:idx val="3"/>
          <c:order val="2"/>
          <c:tx>
            <c:v>Sotatercept Effective Royalty Rate</c:v>
          </c:tx>
          <c:marker>
            <c:symbol val="none"/>
          </c:marker>
          <c:val>
            <c:numRef>
              <c:f>Royalties!$I$28:$V$28</c:f>
            </c:numRef>
          </c:val>
          <c:smooth val="0"/>
        </c:ser>
        <c:ser>
          <c:idx val="2"/>
          <c:order val="3"/>
          <c:tx>
            <c:v>Luspatercept Effective Royalty Rate</c:v>
          </c:tx>
          <c:marker>
            <c:symbol val="none"/>
          </c:marker>
          <c:val>
            <c:numRef>
              <c:f>Royalties!$I$13:$V$13</c:f>
              <c:numCache>
                <c:formatCode>0.0%</c:formatCode>
                <c:ptCount val="14"/>
                <c:pt idx="2">
                  <c:v>0.2</c:v>
                </c:pt>
                <c:pt idx="3">
                  <c:v>0.19999999999999998</c:v>
                </c:pt>
                <c:pt idx="4">
                  <c:v>0.20438889579137037</c:v>
                </c:pt>
                <c:pt idx="5">
                  <c:v>0.20828369391005916</c:v>
                </c:pt>
                <c:pt idx="6">
                  <c:v>0.21203935856786432</c:v>
                </c:pt>
                <c:pt idx="7">
                  <c:v>0.21542451448008787</c:v>
                </c:pt>
                <c:pt idx="8">
                  <c:v>0.21828913222834656</c:v>
                </c:pt>
                <c:pt idx="9">
                  <c:v>0.22065675813330793</c:v>
                </c:pt>
                <c:pt idx="10">
                  <c:v>0.22318656480683319</c:v>
                </c:pt>
                <c:pt idx="11">
                  <c:v>0.22545135402428709</c:v>
                </c:pt>
                <c:pt idx="12">
                  <c:v>0.22796322207662631</c:v>
                </c:pt>
                <c:pt idx="13">
                  <c:v>0.22969953109254362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760448"/>
        <c:axId val="854754816"/>
      </c:lineChart>
      <c:catAx>
        <c:axId val="85472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854732800"/>
        <c:crosses val="autoZero"/>
        <c:auto val="1"/>
        <c:lblAlgn val="ctr"/>
        <c:lblOffset val="100"/>
        <c:noMultiLvlLbl val="0"/>
      </c:catAx>
      <c:valAx>
        <c:axId val="854732800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854727296"/>
        <c:crosses val="autoZero"/>
        <c:crossBetween val="between"/>
      </c:valAx>
      <c:valAx>
        <c:axId val="854754816"/>
        <c:scaling>
          <c:orientation val="minMax"/>
          <c:max val="0.25"/>
          <c:min val="0.15000000000000002"/>
        </c:scaling>
        <c:delete val="0"/>
        <c:axPos val="r"/>
        <c:numFmt formatCode="0.0%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854760448"/>
        <c:crosses val="max"/>
        <c:crossBetween val="between"/>
      </c:valAx>
      <c:catAx>
        <c:axId val="854760448"/>
        <c:scaling>
          <c:orientation val="minMax"/>
        </c:scaling>
        <c:delete val="1"/>
        <c:axPos val="b"/>
        <c:majorTickMark val="out"/>
        <c:minorTickMark val="none"/>
        <c:tickLblPos val="nextTo"/>
        <c:crossAx val="854754816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ACE-536 MDS U.S. Patients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'MDS Revs'!$B$21</c:f>
              <c:strCache>
                <c:ptCount val="1"/>
                <c:pt idx="0">
                  <c:v>EPO-R Patients</c:v>
                </c:pt>
              </c:strCache>
            </c:strRef>
          </c:tx>
          <c:invertIfNegative val="0"/>
          <c:cat>
            <c:numRef>
              <c:f>'MDS Revs'!$J$11:$V$11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'MDS Revs'!$J$21:$V$21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250.37897685585776</c:v>
                </c:pt>
                <c:pt idx="2">
                  <c:v>642.27622691882732</c:v>
                </c:pt>
                <c:pt idx="3">
                  <c:v>1648.2532554515958</c:v>
                </c:pt>
                <c:pt idx="4">
                  <c:v>2382.2027880391283</c:v>
                </c:pt>
                <c:pt idx="5">
                  <c:v>3163.8585540981335</c:v>
                </c:pt>
                <c:pt idx="6">
                  <c:v>3996.9764722673094</c:v>
                </c:pt>
                <c:pt idx="7">
                  <c:v>4509.8092424734032</c:v>
                </c:pt>
                <c:pt idx="8">
                  <c:v>4900.7448211642904</c:v>
                </c:pt>
                <c:pt idx="9">
                  <c:v>5236.3516562650811</c:v>
                </c:pt>
                <c:pt idx="10">
                  <c:v>5509.7895917640299</c:v>
                </c:pt>
                <c:pt idx="11">
                  <c:v>5799.9653540902873</c:v>
                </c:pt>
                <c:pt idx="12">
                  <c:v>6108.0811562326444</c:v>
                </c:pt>
              </c:numCache>
            </c:numRef>
          </c:val>
        </c:ser>
        <c:ser>
          <c:idx val="0"/>
          <c:order val="1"/>
          <c:tx>
            <c:strRef>
              <c:f>'MDS Revs'!$B$20</c:f>
              <c:strCache>
                <c:ptCount val="1"/>
                <c:pt idx="0">
                  <c:v>EPO-S Patients</c:v>
                </c:pt>
              </c:strCache>
            </c:strRef>
          </c:tx>
          <c:invertIfNegative val="0"/>
          <c:cat>
            <c:numRef>
              <c:f>'MDS Revs'!$J$11:$V$11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'MDS Revs'!$J$20:$V$20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125.18948842792888</c:v>
                </c:pt>
                <c:pt idx="2">
                  <c:v>513.82098153506183</c:v>
                </c:pt>
                <c:pt idx="3">
                  <c:v>1054.8820834890214</c:v>
                </c:pt>
                <c:pt idx="4">
                  <c:v>1497.384609624595</c:v>
                </c:pt>
                <c:pt idx="5">
                  <c:v>1968.6231003277276</c:v>
                </c:pt>
                <c:pt idx="6">
                  <c:v>2325.5135838646161</c:v>
                </c:pt>
                <c:pt idx="7">
                  <c:v>2630.7220581094853</c:v>
                </c:pt>
                <c:pt idx="8">
                  <c:v>2956.0048127657628</c:v>
                </c:pt>
                <c:pt idx="9">
                  <c:v>3302.9295062595124</c:v>
                </c:pt>
                <c:pt idx="10">
                  <c:v>3673.1930611760199</c:v>
                </c:pt>
                <c:pt idx="11">
                  <c:v>4068.6324125707984</c:v>
                </c:pt>
                <c:pt idx="12">
                  <c:v>4311.5866985171597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854831872"/>
        <c:axId val="854841216"/>
      </c:barChart>
      <c:catAx>
        <c:axId val="854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54841216"/>
        <c:crosses val="autoZero"/>
        <c:auto val="1"/>
        <c:lblAlgn val="ctr"/>
        <c:lblOffset val="100"/>
        <c:noMultiLvlLbl val="0"/>
      </c:catAx>
      <c:valAx>
        <c:axId val="85484121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85483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ACE-536</a:t>
            </a:r>
            <a:r>
              <a:rPr lang="en-US" baseline="0"/>
              <a:t> </a:t>
            </a:r>
            <a:r>
              <a:rPr lang="en-US"/>
              <a:t>MDS U.S. Revenues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'MDS Revs'!$B$21</c:f>
              <c:strCache>
                <c:ptCount val="1"/>
                <c:pt idx="0">
                  <c:v>EPO-R Patients</c:v>
                </c:pt>
              </c:strCache>
            </c:strRef>
          </c:tx>
          <c:invertIfNegative val="0"/>
          <c:cat>
            <c:numRef>
              <c:f>'MDS Revs'!$J$11:$V$11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'MDS Revs'!$J$27:$V$27</c:f>
              <c:numCache>
                <c:formatCode>"$"#,##0</c:formatCode>
                <c:ptCount val="13"/>
                <c:pt idx="0">
                  <c:v>0</c:v>
                </c:pt>
                <c:pt idx="1">
                  <c:v>28793582.338423643</c:v>
                </c:pt>
                <c:pt idx="2">
                  <c:v>75708310.248056754</c:v>
                </c:pt>
                <c:pt idx="3">
                  <c:v>199145048.79851574</c:v>
                </c:pt>
                <c:pt idx="4">
                  <c:v>295017762.66814286</c:v>
                </c:pt>
                <c:pt idx="5">
                  <c:v>401615403.45468462</c:v>
                </c:pt>
                <c:pt idx="6">
                  <c:v>520054380.85719031</c:v>
                </c:pt>
                <c:pt idx="7">
                  <c:v>601449551.02758741</c:v>
                </c:pt>
                <c:pt idx="8">
                  <c:v>669926238.39734507</c:v>
                </c:pt>
                <c:pt idx="9">
                  <c:v>733698393.49303627</c:v>
                </c:pt>
                <c:pt idx="10">
                  <c:v>791311802.23607314</c:v>
                </c:pt>
                <c:pt idx="11">
                  <c:v>853811290.76421225</c:v>
                </c:pt>
                <c:pt idx="12">
                  <c:v>921648155.83392048</c:v>
                </c:pt>
              </c:numCache>
            </c:numRef>
          </c:val>
        </c:ser>
        <c:ser>
          <c:idx val="0"/>
          <c:order val="1"/>
          <c:tx>
            <c:strRef>
              <c:f>'MDS Revs'!$B$20</c:f>
              <c:strCache>
                <c:ptCount val="1"/>
                <c:pt idx="0">
                  <c:v>EPO-S Patients</c:v>
                </c:pt>
              </c:strCache>
            </c:strRef>
          </c:tx>
          <c:invertIfNegative val="0"/>
          <c:cat>
            <c:numRef>
              <c:f>'MDS Revs'!$J$11:$V$11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'MDS Revs'!$J$26:$V$26</c:f>
              <c:numCache>
                <c:formatCode>"$"#,##0</c:formatCode>
                <c:ptCount val="13"/>
                <c:pt idx="0">
                  <c:v>0</c:v>
                </c:pt>
                <c:pt idx="1">
                  <c:v>14396791.169211822</c:v>
                </c:pt>
                <c:pt idx="2">
                  <c:v>60566648.19844541</c:v>
                </c:pt>
                <c:pt idx="3">
                  <c:v>127452831.23105007</c:v>
                </c:pt>
                <c:pt idx="4">
                  <c:v>185439736.53426123</c:v>
                </c:pt>
                <c:pt idx="5">
                  <c:v>249894028.81624821</c:v>
                </c:pt>
                <c:pt idx="6">
                  <c:v>302577094.31691068</c:v>
                </c:pt>
                <c:pt idx="7">
                  <c:v>350845571.43275934</c:v>
                </c:pt>
                <c:pt idx="8">
                  <c:v>404082493.00157326</c:v>
                </c:pt>
                <c:pt idx="9">
                  <c:v>462794371.28022283</c:v>
                </c:pt>
                <c:pt idx="10">
                  <c:v>527541201.49071544</c:v>
                </c:pt>
                <c:pt idx="11">
                  <c:v>598942248.74504447</c:v>
                </c:pt>
                <c:pt idx="12">
                  <c:v>650575168.82394373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854955136"/>
        <c:axId val="854960768"/>
      </c:barChart>
      <c:catAx>
        <c:axId val="8549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54960768"/>
        <c:crosses val="autoZero"/>
        <c:auto val="1"/>
        <c:lblAlgn val="ctr"/>
        <c:lblOffset val="100"/>
        <c:noMultiLvlLbl val="0"/>
      </c:catAx>
      <c:valAx>
        <c:axId val="854960768"/>
        <c:scaling>
          <c:orientation val="minMax"/>
        </c:scaling>
        <c:delete val="0"/>
        <c:axPos val="l"/>
        <c:majorGridlines/>
        <c:numFmt formatCode="&quot;$&quot;#,##0" sourceLinked="1"/>
        <c:majorTickMark val="none"/>
        <c:minorTickMark val="none"/>
        <c:tickLblPos val="nextTo"/>
        <c:crossAx val="854955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2017E Beta Thalassemia EU Prevalence</a:t>
            </a:r>
            <a:r>
              <a:rPr lang="en-US" sz="1600" baseline="0"/>
              <a:t> (#Patients)</a:t>
            </a:r>
            <a:endParaRPr lang="en-US" sz="1600"/>
          </a:p>
        </c:rich>
      </c:tx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multiLvlStrRef>
              <c:f>'B-Thal'!$G$120:$G$125</c:f>
            </c:multiLvlStrRef>
          </c:cat>
          <c:val>
            <c:numRef>
              <c:f>'B-Thal'!$H$120:$H$125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Relationship Id="rId2" Target="../charts/chart2.xml" Type="http://schemas.openxmlformats.org/officeDocument/2006/relationships/chart"/>
</Relationships>

</file>

<file path=xl/drawings/_rels/drawing3.xml.rels><?xml version="1.0" encoding="UTF-8" standalone="yes"?>
<Relationships xmlns="http://schemas.openxmlformats.org/package/2006/relationships">
<Relationship Id="rId1" Target="../charts/chart3.xml" Type="http://schemas.openxmlformats.org/officeDocument/2006/relationships/chart"/>
</Relationships>

</file>

<file path=xl/drawings/_rels/drawing4.xml.rels><?xml version="1.0" encoding="UTF-8" standalone="yes"?>
<Relationships xmlns="http://schemas.openxmlformats.org/package/2006/relationships">
<Relationship Id="rId1" Target="../charts/chart4.xml" Type="http://schemas.openxmlformats.org/officeDocument/2006/relationships/chart"/>
<Relationship Id="rId2" Target="../charts/chart5.xml" Type="http://schemas.openxmlformats.org/officeDocument/2006/relationships/chart"/>
</Relationships>

</file>

<file path=xl/drawings/_rels/drawing5.xml.rels><?xml version="1.0" encoding="UTF-8" standalone="yes"?>
<Relationships xmlns="http://schemas.openxmlformats.org/package/2006/relationships">
<Relationship Id="rId1" Target="../charts/chart6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167</xdr:row>
      <xdr:rowOff>0</xdr:rowOff>
    </xdr:from>
    <xdr:to>
      <xdr:col>7</xdr:col>
      <xdr:colOff>390525</xdr:colOff>
      <xdr:row>187</xdr:row>
      <xdr:rowOff>19050</xdr:rowOff>
    </xdr:to>
    <xdr:pic>
      <xdr:nvPicPr>
        <xdr:cNvPr id="125953" name="Picture 1" descr="C:\Users\smithtj\AppData\Local\Temp\MercuryPriceRatingHistoryChart\XLRN.O_2018_03_15_19_08_44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9271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29</xdr:row>
      <xdr:rowOff>78440</xdr:rowOff>
    </xdr:from>
    <xdr:to>
      <xdr:col>8</xdr:col>
      <xdr:colOff>1165414</xdr:colOff>
      <xdr:row>45</xdr:row>
      <xdr:rowOff>80041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12322</xdr:colOff>
      <xdr:row>47</xdr:row>
      <xdr:rowOff>7202</xdr:rowOff>
    </xdr:from>
    <xdr:to>
      <xdr:col>6</xdr:col>
      <xdr:colOff>515467</xdr:colOff>
      <xdr:row>64</xdr:row>
      <xdr:rowOff>22410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291353</xdr:colOff>
      <xdr:row>48</xdr:row>
      <xdr:rowOff>6724</xdr:rowOff>
    </xdr:from>
    <xdr:to>
      <xdr:col>9</xdr:col>
      <xdr:colOff>784412</xdr:colOff>
      <xdr:row>73</xdr:row>
      <xdr:rowOff>67236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561975</xdr:colOff>
      <xdr:row>13</xdr:row>
      <xdr:rowOff>38100</xdr:rowOff>
    </xdr:from>
    <xdr:to>
      <xdr:col>36</xdr:col>
      <xdr:colOff>539751</xdr:colOff>
      <xdr:row>28</xdr:row>
      <xdr:rowOff>34925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581025</xdr:colOff>
      <xdr:row>28</xdr:row>
      <xdr:rowOff>174624</xdr:rowOff>
    </xdr:from>
    <xdr:to>
      <xdr:col>36</xdr:col>
      <xdr:colOff>558800</xdr:colOff>
      <xdr:row>45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113</xdr:row>
      <xdr:rowOff>66675</xdr:rowOff>
    </xdr:from>
    <xdr:to>
      <xdr:col>15</xdr:col>
      <xdr:colOff>685800</xdr:colOff>
      <xdr:row>129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old_cvs_dcf.xls" TargetMode="External" Type="http://schemas.microsoft.com/office/2006/relationships/xlExternalLinkPath/xlPathMissing"/>
</Relationships>

</file>

<file path=xl/externalLinks/_rels/externalLink2.xml.rels><?xml version="1.0" encoding="UTF-8" standalone="yes"?>
<Relationships xmlns="http://schemas.openxmlformats.org/package/2006/relationships">
<Relationship Id="rId1" Target="dummy.xls" TargetMode="External" Type="http://schemas.microsoft.com/office/2006/relationships/xlExternalLinkPath/xlPathMissing"/>
</Relationships>

</file>

<file path=xl/externalLinks/_rels/externalLink3.xml.rels><?xml version="1.0" encoding="UTF-8" standalone="yes"?>
<Relationships xmlns="http://schemas.openxmlformats.org/package/2006/relationships">
<Relationship Id="rId1" Target="ABSQUAR.XLS" TargetMode="External" Type="http://schemas.microsoft.com/office/2006/relationships/xlExternalLinkPath/xlPathMissing"/>
</Relationships>

</file>

<file path=xl/externalLinks/_rels/externalLink4.xml.rels><?xml version="1.0" encoding="UTF-8" standalone="yes"?>
<Relationships xmlns="http://schemas.openxmlformats.org/package/2006/relationships">
<Relationship Id="rId1" Target="WAG%20Model.xlsx" TargetMode="External" Type="http://schemas.microsoft.com/office/2006/relationships/xlExternalLinkPath/xlPathMissing"/>
</Relationships>

</file>

<file path=xl/externalLinks/_rels/externalLink5.xml.rels><?xml version="1.0" encoding="UTF-8" standalone="yes"?>
<Relationships xmlns="http://schemas.openxmlformats.org/package/2006/relationships">
<Relationship Id="rId1" Target="Bond%20Yields.xls" TargetMode="External" Type="http://schemas.microsoft.com/office/2006/relationships/xlExternalLinkPath/xlPathMissing"/>
</Relationships>

</file>

<file path=xl/externalLinks/_rels/externalLink6.xml.rels><?xml version="1.0" encoding="UTF-8" standalone="yes"?>
<Relationships xmlns="http://schemas.openxmlformats.org/package/2006/relationships">
<Relationship Id="rId1" Target="HLT_VDF.xls" TargetMode="External" Type="http://schemas.microsoft.com/office/2006/relationships/xlExternalLinkPath/xlPathMissing"/>
</Relationships>

</file>

<file path=xl/externalLinks/_rels/externalLink7.xml.rels><?xml version="1.0" encoding="UTF-8" standalone="yes"?>
<Relationships xmlns="http://schemas.openxmlformats.org/package/2006/relationships">
<Relationship Id="rId1" Target="ADRXwk.xls" TargetMode="External" Type="http://schemas.microsoft.com/office/2006/relationships/xlExternalLinkPath/xlPathMissing"/>
</Relationships>

</file>

<file path=xl/externalLinks/_rels/externalLink8.xml.rels><?xml version="1.0" encoding="UTF-8" standalone="yes"?>
<Relationships xmlns="http://schemas.openxmlformats.org/package/2006/relationships">
<Relationship Id="rId1" Target="AGNwk.xls" TargetMode="External" Type="http://schemas.microsoft.com/office/2006/relationships/xlExternalLinkPath/xlPathMissing"/>
</Relationships>

</file>

<file path=xl/externalLinks/_rels/externalLink9.xml.rels><?xml version="1.0" encoding="UTF-8" standalone="yes"?>
<Relationships xmlns="http://schemas.openxmlformats.org/package/2006/relationships">
<Relationship Id="rId1" Target="AHC.xls" TargetMode="External" Type="http://schemas.microsoft.com/office/2006/relationships/xlExternalLinkPath/xlPathMissing"/>
</Relationships>

</file>

<file path=xl/externalLinks/_rels/externalLink10.xml.rels><?xml version="1.0" encoding="UTF-8" standalone="yes"?>
<Relationships xmlns="http://schemas.openxmlformats.org/package/2006/relationships">
<Relationship Id="rId1" Target="RPCWK.XLS" TargetMode="External" Type="http://schemas.microsoft.com/office/2006/relationships/xlExternalLinkPath/xlPathMissing"/>
</Relationships>

</file>

<file path=xl/externalLinks/_rels/externalLink11.xml.rels><?xml version="1.0" encoding="UTF-8" standalone="yes"?>
<Relationships xmlns="http://schemas.openxmlformats.org/package/2006/relationships">
<Relationship Id="rId1" Target="ALOwk.xls" TargetMode="External" Type="http://schemas.microsoft.com/office/2006/relationships/xlExternalLinkPath/xlPathMissing"/>
</Relationships>

</file>

<file path=xl/externalLinks/_rels/externalLink12.xml.rels><?xml version="1.0" encoding="UTF-8" standalone="yes"?>
<Relationships xmlns="http://schemas.openxmlformats.org/package/2006/relationships">
<Relationship Id="rId1" Target="APPXwk.xls" TargetMode="External" Type="http://schemas.microsoft.com/office/2006/relationships/xlExternalLinkPath/xlPathMissing"/>
</Relationships>

</file>

<file path=xl/externalLinks/_rels/externalLink13.xml.rels><?xml version="1.0" encoding="UTF-8" standalone="yes"?>
<Relationships xmlns="http://schemas.openxmlformats.org/package/2006/relationships">
<Relationship Id="rId1" Target="FRXwk.xls" TargetMode="External" Type="http://schemas.microsoft.com/office/2006/relationships/xlExternalLinkPath/xlPathMissing"/>
</Relationships>

</file>

<file path=xl/externalLinks/_rels/externalLink14.xml.rels><?xml version="1.0" encoding="UTF-8" standalone="yes"?>
<Relationships xmlns="http://schemas.openxmlformats.org/package/2006/relationships">
<Relationship Id="rId1" Target="BRLwk.xls" TargetMode="External" Type="http://schemas.microsoft.com/office/2006/relationships/xlExternalLinkPath/xlPathMissing"/>
</Relationships>

</file>

<file path=xl/externalLinks/_rels/externalLink15.xml.rels><?xml version="1.0" encoding="UTF-8" standalone="yes"?>
<Relationships xmlns="http://schemas.openxmlformats.org/package/2006/relationships">
<Relationship Id="rId1" Target="Phillips.xls" TargetMode="External" Type="http://schemas.microsoft.com/office/2006/relationships/xlExternalLinkPath/xlPathMissing"/>
</Relationships>

</file>

<file path=xl/externalLinks/_rels/externalLink16.xml.rels><?xml version="1.0" encoding="UTF-8" standalone="yes"?>
<Relationships xmlns="http://schemas.openxmlformats.org/package/2006/relationships">
<Relationship Id="rId1" Target="OTEXmodel.xls" TargetMode="External" Type="http://schemas.microsoft.com/office/2006/relationships/xlExternalLinkPath/xlPathMissing"/>
</Relationships>

</file>

<file path=xl/externalLinks/_rels/externalLink17.xml.rels><?xml version="1.0" encoding="UTF-8" standalone="yes"?>
<Relationships xmlns="http://schemas.openxmlformats.org/package/2006/relationships">
<Relationship Id="rId1" Target="JH-RES.xls" TargetMode="External" Type="http://schemas.microsoft.com/office/2006/relationships/xlExternalLinkPath/xlPathMissing"/>
</Relationships>

</file>

<file path=xl/externalLinks/_rels/externalLink18.xml.rels><?xml version="1.0" encoding="UTF-8" standalone="yes"?>
<Relationships xmlns="http://schemas.openxmlformats.org/package/2006/relationships">
<Relationship Id="rId1" Target="WMT.xls" TargetMode="External" Type="http://schemas.microsoft.com/office/2006/relationships/xlExternalLinkPath/xlPathMissing"/>
</Relationships>

</file>

<file path=xl/externalLinks/_rels/externalLink19.xml.rels><?xml version="1.0" encoding="UTF-8" standalone="yes"?>
<Relationships xmlns="http://schemas.openxmlformats.org/package/2006/relationships">
<Relationship Id="rId1" Target="CVS%20DCF.xls" TargetMode="External" Type="http://schemas.microsoft.com/office/2006/relationships/xlExternalLinkPath/xlPathMissing"/>
</Relationships>

</file>

<file path=xl/externalLinks/_rels/externalLink20.xml.rels><?xml version="1.0" encoding="UTF-8" standalone="yes"?>
<Relationships xmlns="http://schemas.openxmlformats.org/package/2006/relationships">
<Relationship Id="rId1" Target="aablankaa.xls" TargetMode="External" Type="http://schemas.microsoft.com/office/2006/relationships/xlExternalLinkPath/xlPathMissing"/>
</Relationships>

</file>

<file path=xl/externalLinks/_rels/externalLink21.xml.rels><?xml version="1.0" encoding="UTF-8" standalone="yes"?>
<Relationships xmlns="http://schemas.openxmlformats.org/package/2006/relationships">
<Relationship Id="rId1" Target="ARRY.new.xls" TargetMode="External" Type="http://schemas.microsoft.com/office/2006/relationships/xlExternalLinkPath/xlPathMissing"/>
</Relationships>

</file>

<file path=xl/externalLinks/_rels/externalLink22.xml.rels><?xml version="1.0" encoding="UTF-8" standalone="yes"?>
<Relationships xmlns="http://schemas.openxmlformats.org/package/2006/relationships">
<Relationship Id="rId1" Target="Exxon.xls" TargetMode="External" Type="http://schemas.microsoft.com/office/2006/relationships/xlExternalLinkPath/xlPathMissing"/>
</Relationships>

</file>

<file path=xl/externalLinks/_rels/externalLink23.xml.rels><?xml version="1.0" encoding="UTF-8" standalone="yes"?>
<Relationships xmlns="http://schemas.openxmlformats.org/package/2006/relationships">
<Relationship Id="rId1" Target="IPXLwk.xls" TargetMode="External" Type="http://schemas.microsoft.com/office/2006/relationships/xlExternalLinkPath/xlPathMissing"/>
</Relationships>

</file>

<file path=xl/externalLinks/_rels/externalLink24.xml.rels><?xml version="1.0" encoding="UTF-8" standalone="yes"?>
<Relationships xmlns="http://schemas.openxmlformats.org/package/2006/relationships">
<Relationship Id="rId1" Target="IVXwk.xls" TargetMode="External" Type="http://schemas.microsoft.com/office/2006/relationships/xlExternalLinkPath/xlPathMissing"/>
</Relationships>

</file>

<file path=xl/externalLinks/_rels/externalLink25.xml.rels><?xml version="1.0" encoding="UTF-8" standalone="yes"?>
<Relationships xmlns="http://schemas.openxmlformats.org/package/2006/relationships">
<Relationship Id="rId1" Target="KOSPwk.xls" TargetMode="External" Type="http://schemas.microsoft.com/office/2006/relationships/xlExternalLinkPath/xlPathMissing"/>
</Relationships>

</file>

<file path=xl/externalLinks/_rels/externalLink26.xml.rels><?xml version="1.0" encoding="UTF-8" standalone="yes"?>
<Relationships xmlns="http://schemas.openxmlformats.org/package/2006/relationships">
<Relationship Id="rId1" Target="MRXwk.xls" TargetMode="External" Type="http://schemas.microsoft.com/office/2006/relationships/xlExternalLinkPath/xlPathMissing"/>
</Relationships>

</file>

<file path=xl/externalLinks/_rels/externalLink27.xml.rels><?xml version="1.0" encoding="UTF-8" standalone="yes"?>
<Relationships xmlns="http://schemas.openxmlformats.org/package/2006/relationships">
<Relationship Id="rId1" Target="MYLwk.xls" TargetMode="External" Type="http://schemas.microsoft.com/office/2006/relationships/xlExternalLinkPath/xlPathMissing"/>
</Relationships>

</file>

<file path=xl/externalLinks/_rels/externalLink28.xml.rels><?xml version="1.0" encoding="UTF-8" standalone="yes"?>
<Relationships xmlns="http://schemas.openxmlformats.org/package/2006/relationships">
<Relationship Id="rId1" Target="APA_Current.xls" TargetMode="External" Type="http://schemas.microsoft.com/office/2006/relationships/xlExternalLinkPath/xlPathMissing"/>
</Relationships>

</file>

<file path=xl/externalLinks/_rels/externalLink29.xml.rels><?xml version="1.0" encoding="UTF-8" standalone="yes"?>
<Relationships xmlns="http://schemas.openxmlformats.org/package/2006/relationships">
<Relationship Id="rId1" Target="FS_VDF.xls" TargetMode="External" Type="http://schemas.microsoft.com/office/2006/relationships/xlExternalLinkPath/xlPathMissing"/>
</Relationships>

</file>

<file path=xl/externalLinks/_rels/externalLink30.xml.rels><?xml version="1.0" encoding="UTF-8" standalone="yes"?>
<Relationships xmlns="http://schemas.openxmlformats.org/package/2006/relationships">
<Relationship Id="rId1" Target="SGY_Current.xls" TargetMode="External" Type="http://schemas.microsoft.com/office/2006/relationships/xlExternalLinkPath/xlPathMissing"/>
</Relationships>

</file>

<file path=xl/externalLinks/_rels/externalLink31.xml.rels><?xml version="1.0" encoding="UTF-8" standalone="yes"?>
<Relationships xmlns="http://schemas.openxmlformats.org/package/2006/relationships">
<Relationship Id="rId1" Target="COG_Current.xls" TargetMode="External" Type="http://schemas.microsoft.com/office/2006/relationships/xlExternalLinkPath/xlPathMissing"/>
</Relationships>

</file>

<file path=xl/externalLinks/_rels/externalLink32.xml.rels><?xml version="1.0" encoding="UTF-8" standalone="yes"?>
<Relationships xmlns="http://schemas.openxmlformats.org/package/2006/relationships">
<Relationship Id="rId1" Target="/Applications/Microsoft%20Office%202011/Office/Startup/Excel/E&amp;PS/EOG/MODELS/EOG%203Q00E.xls" TargetMode="External" Type="http://schemas.openxmlformats.org/officeDocument/2006/relationships/externalLinkPath"/>
</Relationships>

</file>

<file path=xl/externalLinks/_rels/externalLink33.xml.rels><?xml version="1.0" encoding="UTF-8" standalone="yes"?>
<Relationships xmlns="http://schemas.openxmlformats.org/package/2006/relationships">
<Relationship Id="rId1" Target="KOSPwk_28.xls" TargetMode="External" Type="http://schemas.microsoft.com/office/2006/relationships/xlExternalLinkPath/xlPathMissing"/>
</Relationships>

</file>

<file path=xl/externalLinks/_rels/externalLink34.xml.rels><?xml version="1.0" encoding="UTF-8" standalone="yes"?>
<Relationships xmlns="http://schemas.openxmlformats.org/package/2006/relationships">
<Relationship Id="rId1" Target="ANF.xls" TargetMode="External" Type="http://schemas.microsoft.com/office/2006/relationships/xlExternalLinkPath/xlPathMissing"/>
</Relationships>

</file>

<file path=xl/externalLinks/_rels/externalLink35.xml.rels><?xml version="1.0" encoding="UTF-8" standalone="yes"?>
<Relationships xmlns="http://schemas.openxmlformats.org/package/2006/relationships">
<Relationship Id="rId1" Target="TAROwk.xls" TargetMode="External" Type="http://schemas.microsoft.com/office/2006/relationships/xlExternalLinkPath/xlPathMissing"/>
</Relationships>

</file>

<file path=xl/externalLinks/_rels/externalLink36.xml.rels><?xml version="1.0" encoding="UTF-8" standalone="yes"?>
<Relationships xmlns="http://schemas.openxmlformats.org/package/2006/relationships">
<Relationship Id="rId1" Target="TEVAwk.xls" TargetMode="External" Type="http://schemas.microsoft.com/office/2006/relationships/xlExternalLinkPath/xlPathMissing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VS DCF"/>
      <sheetName val="old_cvs_dcf"/>
      <sheetName val="SWYQUAR1 - no longer in use"/>
      <sheetName val="Working _SWY SquareFootage"/>
      <sheetName val="Price"/>
      <sheetName val="PriceSyn"/>
      <sheetName val="Inputs"/>
      <sheetName val="MOE"/>
      <sheetName val="Scenarios"/>
      <sheetName val="DIAMOND"/>
      <sheetName val="Pooling"/>
      <sheetName val="#REF"/>
      <sheetName val="graphdialog"/>
      <sheetName val="Consolidated"/>
      <sheetName val="Public Comps"/>
      <sheetName val="Assumes"/>
      <sheetName val="TargIS"/>
      <sheetName val="Schneider"/>
      <sheetName val="Divestiture"/>
      <sheetName val="INPUT"/>
      <sheetName val="Mkt Cap"/>
      <sheetName val="Comps"/>
      <sheetName val="Inputs (2)"/>
      <sheetName val="increm pf"/>
      <sheetName val="Assump"/>
      <sheetName val="ProForma"/>
      <sheetName val="HSM"/>
      <sheetName val="Taint"/>
      <sheetName val="Assump_Unicorn"/>
      <sheetName val="Targ_Input"/>
      <sheetName val="AcqBS"/>
      <sheetName val="Assum"/>
    </sheetNames>
    <sheetDataSet>
      <sheetData sheetId="0">
        <row r="1">
          <cell r="A1" t="str">
            <v>CVS (NOT UPDATED)</v>
          </cell>
        </row>
        <row r="2">
          <cell r="A2" t="str">
            <v>Discounted Cash Flow Analysis - EBITDA Multiple Method</v>
          </cell>
        </row>
        <row r="3">
          <cell r="A3" t="str">
            <v>(dollars in millions)</v>
          </cell>
        </row>
        <row r="5">
          <cell r="E5" t="str">
            <v>Projected FYE December 31,</v>
          </cell>
        </row>
        <row r="6">
          <cell r="E6">
            <v>2001</v>
          </cell>
          <cell r="F6">
            <v>2002</v>
          </cell>
          <cell r="G6">
            <v>2003</v>
          </cell>
          <cell r="H6">
            <v>2004</v>
          </cell>
          <cell r="I6">
            <v>2005</v>
          </cell>
          <cell r="J6">
            <v>2006</v>
          </cell>
        </row>
        <row r="8">
          <cell r="A8" t="str">
            <v>Sales</v>
          </cell>
          <cell r="E8">
            <v>22241.375506</v>
          </cell>
          <cell r="F8">
            <v>24322.835820540004</v>
          </cell>
          <cell r="G8">
            <v>26659.714373491301</v>
          </cell>
          <cell r="H8">
            <v>0</v>
          </cell>
          <cell r="I8">
            <v>0</v>
          </cell>
          <cell r="J8">
            <v>0</v>
          </cell>
        </row>
        <row r="9">
          <cell r="A9" t="str">
            <v>EBITDA</v>
          </cell>
          <cell r="E9">
            <v>1440.4655059999993</v>
          </cell>
          <cell r="F9">
            <v>1509.7855871090014</v>
          </cell>
          <cell r="G9">
            <v>1707.4737417599233</v>
          </cell>
          <cell r="H9">
            <v>0</v>
          </cell>
          <cell r="I9">
            <v>0</v>
          </cell>
          <cell r="J9">
            <v>0</v>
          </cell>
        </row>
        <row r="10">
          <cell r="A10" t="str">
            <v>EBITDA Margin</v>
          </cell>
          <cell r="E10">
            <v>6.4765126851592816E-2</v>
          </cell>
          <cell r="F10">
            <v>6.2072761508920216E-2</v>
          </cell>
          <cell r="G10">
            <v>6.4046963063404946E-2</v>
          </cell>
          <cell r="H10" t="e">
            <v>#DIV/0!</v>
          </cell>
          <cell r="I10" t="e">
            <v>#DIV/0!</v>
          </cell>
          <cell r="J10" t="e">
            <v>#DIV/0!</v>
          </cell>
        </row>
        <row r="11">
          <cell r="A11" t="str">
            <v>Less:  Dep &amp; Amort</v>
          </cell>
          <cell r="E11">
            <v>-320.8</v>
          </cell>
          <cell r="F11">
            <v>-319.60000000000002</v>
          </cell>
          <cell r="G11">
            <v>-348.36400000000003</v>
          </cell>
          <cell r="H11">
            <v>0</v>
          </cell>
          <cell r="I11">
            <v>0</v>
          </cell>
          <cell r="J11">
            <v>0</v>
          </cell>
        </row>
        <row r="12">
          <cell r="A12" t="str">
            <v>EBIT</v>
          </cell>
          <cell r="E12">
            <v>1119.6655059999994</v>
          </cell>
          <cell r="F12">
            <v>1190.1855871090015</v>
          </cell>
          <cell r="G12">
            <v>1359.1097417599233</v>
          </cell>
          <cell r="H12">
            <v>0</v>
          </cell>
          <cell r="I12">
            <v>0</v>
          </cell>
          <cell r="J12">
            <v>0</v>
          </cell>
        </row>
        <row r="13">
          <cell r="A13" t="str">
            <v>Less: Taxes @</v>
          </cell>
          <cell r="B13">
            <v>0.375</v>
          </cell>
          <cell r="E13">
            <v>-417.1256360000001</v>
          </cell>
          <cell r="F13">
            <v>-429.95377605622031</v>
          </cell>
          <cell r="G13">
            <v>-488.34170186877083</v>
          </cell>
          <cell r="H13">
            <v>0</v>
          </cell>
          <cell r="I13">
            <v>0</v>
          </cell>
          <cell r="J13">
            <v>0</v>
          </cell>
        </row>
        <row r="14">
          <cell r="A14" t="str">
            <v>Tax-effected EBIT</v>
          </cell>
          <cell r="E14">
            <v>702.53986999999927</v>
          </cell>
          <cell r="F14">
            <v>760.23181105278127</v>
          </cell>
          <cell r="G14">
            <v>870.76803989115251</v>
          </cell>
          <cell r="H14">
            <v>0</v>
          </cell>
          <cell r="I14">
            <v>0</v>
          </cell>
          <cell r="J14">
            <v>0</v>
          </cell>
        </row>
        <row r="16">
          <cell r="A16" t="str">
            <v>Plus:  Depreciation</v>
          </cell>
          <cell r="E16">
            <v>320.8</v>
          </cell>
          <cell r="F16">
            <v>319.60000000000002</v>
          </cell>
          <cell r="G16">
            <v>348.36400000000003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Plus:  Deferred Taxes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Less:  Capital Expenditures</v>
          </cell>
          <cell r="E18">
            <v>-390.3</v>
          </cell>
          <cell r="F18">
            <v>-460</v>
          </cell>
          <cell r="G18">
            <v>-475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Less:  Changes in Working Capital</v>
          </cell>
          <cell r="E19">
            <v>-322.39999999999998</v>
          </cell>
          <cell r="F19">
            <v>-287.79799947610843</v>
          </cell>
          <cell r="G19">
            <v>-307.60815957891873</v>
          </cell>
          <cell r="H19">
            <v>0</v>
          </cell>
          <cell r="I19">
            <v>0</v>
          </cell>
          <cell r="J19">
            <v>0</v>
          </cell>
        </row>
        <row r="21">
          <cell r="A21" t="str">
            <v>Free Cash Flow</v>
          </cell>
          <cell r="E21">
            <v>310.63986999999941</v>
          </cell>
          <cell r="F21">
            <v>332.03381157667275</v>
          </cell>
          <cell r="G21">
            <v>436.52388031223381</v>
          </cell>
          <cell r="H21">
            <v>0</v>
          </cell>
          <cell r="I21">
            <v>0</v>
          </cell>
          <cell r="J21">
            <v>0</v>
          </cell>
        </row>
        <row r="24">
          <cell r="C24" t="str">
            <v>A</v>
          </cell>
          <cell r="D24" t="str">
            <v>+</v>
          </cell>
          <cell r="E24" t="str">
            <v>B</v>
          </cell>
          <cell r="H24" t="str">
            <v>=</v>
          </cell>
          <cell r="I24" t="str">
            <v>C</v>
          </cell>
        </row>
        <row r="26">
          <cell r="C26" t="str">
            <v>Discounted (a)</v>
          </cell>
          <cell r="E26" t="str">
            <v xml:space="preserve">PV of Terminal Value as a </v>
          </cell>
        </row>
        <row r="27">
          <cell r="C27" t="str">
            <v>Cash Flows</v>
          </cell>
          <cell r="E27" t="str">
            <v xml:space="preserve">         Multiple of 2006 EBITDA (b)</v>
          </cell>
          <cell r="I27" t="str">
            <v>Firm Value</v>
          </cell>
        </row>
        <row r="28">
          <cell r="A28" t="str">
            <v>Discount Rate = WACC</v>
          </cell>
          <cell r="C28" t="str">
            <v>(2002-2006)</v>
          </cell>
          <cell r="E28">
            <v>6</v>
          </cell>
          <cell r="F28">
            <v>7</v>
          </cell>
          <cell r="G28">
            <v>8</v>
          </cell>
          <cell r="I28">
            <v>6</v>
          </cell>
          <cell r="J28">
            <v>7</v>
          </cell>
          <cell r="K28">
            <v>8</v>
          </cell>
        </row>
        <row r="30">
          <cell r="A30">
            <v>8.5000000000000006E-2</v>
          </cell>
          <cell r="C30">
            <v>676.82946409813223</v>
          </cell>
          <cell r="E30">
            <v>0</v>
          </cell>
          <cell r="F30">
            <v>0</v>
          </cell>
          <cell r="G30">
            <v>0</v>
          </cell>
          <cell r="I30">
            <v>676.82946409813223</v>
          </cell>
          <cell r="J30">
            <v>676.82946409813223</v>
          </cell>
          <cell r="K30">
            <v>676.82946409813223</v>
          </cell>
        </row>
        <row r="31">
          <cell r="A31">
            <v>9.0000000000000011E-2</v>
          </cell>
          <cell r="C31">
            <v>672.03159240030891</v>
          </cell>
          <cell r="E31">
            <v>0</v>
          </cell>
          <cell r="F31">
            <v>0</v>
          </cell>
          <cell r="G31">
            <v>0</v>
          </cell>
          <cell r="I31">
            <v>672.03159240030891</v>
          </cell>
          <cell r="J31">
            <v>672.03159240030891</v>
          </cell>
          <cell r="K31">
            <v>672.03159240030891</v>
          </cell>
        </row>
        <row r="32">
          <cell r="A32">
            <v>9.5000000000000015E-2</v>
          </cell>
          <cell r="C32">
            <v>667.29292882858192</v>
          </cell>
          <cell r="E32">
            <v>0</v>
          </cell>
          <cell r="F32">
            <v>0</v>
          </cell>
          <cell r="G32">
            <v>0</v>
          </cell>
          <cell r="I32">
            <v>667.29292882858192</v>
          </cell>
          <cell r="J32">
            <v>667.29292882858192</v>
          </cell>
          <cell r="K32">
            <v>667.29292882858192</v>
          </cell>
        </row>
        <row r="33">
          <cell r="A33">
            <v>0.10000000000000002</v>
          </cell>
          <cell r="C33">
            <v>662.61245706328395</v>
          </cell>
          <cell r="E33">
            <v>0</v>
          </cell>
          <cell r="F33">
            <v>0</v>
          </cell>
          <cell r="G33">
            <v>0</v>
          </cell>
          <cell r="I33">
            <v>662.61245706328395</v>
          </cell>
          <cell r="J33">
            <v>662.61245706328395</v>
          </cell>
          <cell r="K33">
            <v>662.61245706328395</v>
          </cell>
        </row>
        <row r="34">
          <cell r="A34">
            <v>0.10500000000000002</v>
          </cell>
          <cell r="C34">
            <v>657.98918294421253</v>
          </cell>
          <cell r="E34">
            <v>0</v>
          </cell>
          <cell r="F34">
            <v>0</v>
          </cell>
          <cell r="G34">
            <v>0</v>
          </cell>
          <cell r="I34">
            <v>657.98918294421253</v>
          </cell>
          <cell r="J34">
            <v>657.98918294421253</v>
          </cell>
          <cell r="K34">
            <v>657.98918294421253</v>
          </cell>
        </row>
        <row r="36">
          <cell r="B36" t="str">
            <v>-</v>
          </cell>
          <cell r="C36" t="str">
            <v>D</v>
          </cell>
          <cell r="D36" t="str">
            <v>=</v>
          </cell>
          <cell r="E36" t="str">
            <v>E</v>
          </cell>
          <cell r="N36" t="str">
            <v>Present Value of</v>
          </cell>
        </row>
        <row r="37">
          <cell r="N37" t="str">
            <v>Terminal Value as a % of</v>
          </cell>
        </row>
        <row r="38">
          <cell r="C38" t="str">
            <v>Net Debt</v>
          </cell>
          <cell r="E38" t="str">
            <v>Total Equity Value</v>
          </cell>
          <cell r="N38" t="str">
            <v>Firm Value</v>
          </cell>
        </row>
        <row r="39">
          <cell r="A39" t="str">
            <v>Discount Rate</v>
          </cell>
          <cell r="C39" t="str">
            <v xml:space="preserve"> 12/01</v>
          </cell>
          <cell r="E39">
            <v>6</v>
          </cell>
          <cell r="F39">
            <v>7</v>
          </cell>
          <cell r="G39">
            <v>8</v>
          </cell>
          <cell r="N39">
            <v>6</v>
          </cell>
          <cell r="O39">
            <v>7</v>
          </cell>
          <cell r="P39">
            <v>8</v>
          </cell>
        </row>
        <row r="41">
          <cell r="A41">
            <v>8.5000000000000006E-2</v>
          </cell>
          <cell r="C41">
            <v>0</v>
          </cell>
          <cell r="E41">
            <v>676.82946409813223</v>
          </cell>
          <cell r="F41">
            <v>676.82946409813223</v>
          </cell>
          <cell r="G41">
            <v>676.82946409813223</v>
          </cell>
          <cell r="N41">
            <v>0</v>
          </cell>
          <cell r="O41">
            <v>0</v>
          </cell>
          <cell r="P41">
            <v>0</v>
          </cell>
        </row>
        <row r="42">
          <cell r="A42">
            <v>9.0000000000000011E-2</v>
          </cell>
          <cell r="C42">
            <v>0</v>
          </cell>
          <cell r="E42">
            <v>672.03159240030891</v>
          </cell>
          <cell r="F42">
            <v>672.03159240030891</v>
          </cell>
          <cell r="G42">
            <v>672.03159240030891</v>
          </cell>
          <cell r="N42">
            <v>0</v>
          </cell>
          <cell r="O42">
            <v>0</v>
          </cell>
          <cell r="P42">
            <v>0</v>
          </cell>
        </row>
        <row r="43">
          <cell r="A43">
            <v>9.5000000000000015E-2</v>
          </cell>
          <cell r="C43">
            <v>0</v>
          </cell>
          <cell r="E43">
            <v>667.29292882858192</v>
          </cell>
          <cell r="F43">
            <v>667.29292882858192</v>
          </cell>
          <cell r="G43">
            <v>667.29292882858192</v>
          </cell>
          <cell r="N43">
            <v>0</v>
          </cell>
          <cell r="O43">
            <v>0</v>
          </cell>
          <cell r="P43">
            <v>0</v>
          </cell>
        </row>
        <row r="44">
          <cell r="A44">
            <v>0.10000000000000002</v>
          </cell>
          <cell r="C44">
            <v>0</v>
          </cell>
          <cell r="E44">
            <v>662.61245706328395</v>
          </cell>
          <cell r="F44">
            <v>662.61245706328395</v>
          </cell>
          <cell r="G44">
            <v>662.61245706328395</v>
          </cell>
          <cell r="N44">
            <v>0</v>
          </cell>
          <cell r="O44">
            <v>0</v>
          </cell>
          <cell r="P44">
            <v>0</v>
          </cell>
        </row>
        <row r="45">
          <cell r="A45">
            <v>0.10500000000000002</v>
          </cell>
          <cell r="C45">
            <v>0</v>
          </cell>
          <cell r="E45">
            <v>657.98918294421253</v>
          </cell>
          <cell r="F45">
            <v>657.98918294421253</v>
          </cell>
          <cell r="G45">
            <v>657.98918294421253</v>
          </cell>
          <cell r="N45">
            <v>0</v>
          </cell>
          <cell r="O45">
            <v>0</v>
          </cell>
          <cell r="P45">
            <v>0</v>
          </cell>
        </row>
        <row r="48">
          <cell r="A48" t="str">
            <v>(a)  Present values calculated as of December 31, 2000</v>
          </cell>
        </row>
        <row r="49">
          <cell r="A49" t="str">
            <v>(b)  Discounted 5 years; based on FYE December 31, 2005 EBITDA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#REF"/>
      <sheetName val="dummy"/>
      <sheetName val="MS scrips"/>
      <sheetName val="VRTX"/>
      <sheetName val="BCHE"/>
      <sheetName val="ABGX"/>
      <sheetName val="CRXA"/>
      <sheetName val="CLTR"/>
      <sheetName val="PDLI"/>
      <sheetName val="Rev"/>
      <sheetName val="P&amp;L"/>
      <sheetName val="COMBO"/>
      <sheetName val="Pipeline"/>
      <sheetName val="Revenues"/>
      <sheetName val="Product Revs"/>
      <sheetName val="Rituxan"/>
      <sheetName val="Herceptin"/>
      <sheetName val="NPV Valuation"/>
      <sheetName val="Coverage"/>
      <sheetName val="monthly"/>
      <sheetName val="Valuation"/>
      <sheetName val="Viracept"/>
      <sheetName val="HIV - RTIs"/>
      <sheetName val="Intron A"/>
      <sheetName val="Background"/>
      <sheetName val="graphdialog"/>
      <sheetName val="PictureSheet"/>
      <sheetName val="Flu scrips"/>
      <sheetName val="Avonex"/>
      <sheetName val="NPV Valuation (2)"/>
      <sheetName val="P&amp;L (Proforma)"/>
      <sheetName val="CADWALADER"/>
      <sheetName val="DATA"/>
      <sheetName val="BALANCE SHEET"/>
      <sheetName val="Rituxan 36 months"/>
      <sheetName val="R&amp;D Revenues"/>
      <sheetName val="ALX-0600"/>
      <sheetName val="IL-Fusion Toxi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Q_US_CoreIndustrials "/>
      <sheetName val="ABS Annual"/>
      <sheetName val="ProformaABS - GOODWILL"/>
      <sheetName val="ABS BalanceSheet"/>
      <sheetName val="ABSCASH"/>
      <sheetName val="Strike Reconciliation 2003"/>
      <sheetName val="Strike Reconciliation 2004"/>
      <sheetName val="ABS DCF"/>
      <sheetName val="Working_ ABS SquareFootage"/>
      <sheetName val="ABS GAAP"/>
      <sheetName val="cost savings 2002"/>
      <sheetName val="ProformaABS"/>
      <sheetName val="Absalone"/>
      <sheetName val="ASCQUAR"/>
      <sheetName val="Proformahistorical"/>
      <sheetName val="Strike Reconciliation"/>
      <sheetName val="Sheet2"/>
      <sheetName val="Sheet1"/>
      <sheetName val="Market Analysis"/>
      <sheetName val="BalanceSheet"/>
      <sheetName val="iQ_US_CoreIndustrials"/>
      <sheetName val="Sheet1 (2)"/>
      <sheetName val="ProformaABS-Goodwill"/>
      <sheetName val="ABSBalanceSheet"/>
      <sheetName val="ABSQUAR"/>
      <sheetName val="#REF"/>
      <sheetName val="ProformaABS -goodwill"/>
      <sheetName val="RADQUAR"/>
      <sheetName val="INCOME"/>
      <sheetName val="Strike Reconciliation (1)"/>
      <sheetName val="ML_Model_Summary"/>
    </sheetNames>
    <sheetDataSet>
      <sheetData sheetId="0"/>
      <sheetData sheetId="1">
        <row r="2">
          <cell r="B2" t="str">
            <v>$MM except per share data</v>
          </cell>
        </row>
        <row r="4">
          <cell r="I4" t="str">
            <v>Includes Strike</v>
          </cell>
        </row>
        <row r="5">
          <cell r="C5">
            <v>1997</v>
          </cell>
          <cell r="D5">
            <v>1998</v>
          </cell>
          <cell r="E5">
            <v>1999</v>
          </cell>
          <cell r="F5">
            <v>2000</v>
          </cell>
          <cell r="G5">
            <v>2001</v>
          </cell>
          <cell r="H5">
            <v>2002</v>
          </cell>
          <cell r="I5">
            <v>2003</v>
          </cell>
          <cell r="J5" t="str">
            <v>2004E</v>
          </cell>
          <cell r="K5" t="str">
            <v>2005E</v>
          </cell>
        </row>
        <row r="6">
          <cell r="J6" t="str">
            <v>53rd Week</v>
          </cell>
        </row>
        <row r="7">
          <cell r="B7" t="str">
            <v>Total Sales</v>
          </cell>
          <cell r="C7">
            <v>14689.4</v>
          </cell>
          <cell r="D7">
            <v>16005.199999999999</v>
          </cell>
          <cell r="E7">
            <v>37478.096116503999</v>
          </cell>
          <cell r="F7">
            <v>36761</v>
          </cell>
          <cell r="G7">
            <v>37931</v>
          </cell>
          <cell r="H7">
            <v>35626.154116999998</v>
          </cell>
          <cell r="I7">
            <v>35438.983881107219</v>
          </cell>
          <cell r="J7">
            <v>40756.199999999983</v>
          </cell>
          <cell r="K7">
            <v>43188.600000000006</v>
          </cell>
        </row>
        <row r="8">
          <cell r="B8" t="str">
            <v>Year Over Year Growth</v>
          </cell>
          <cell r="D8">
            <v>8.9574795430718668E-2</v>
          </cell>
          <cell r="E8">
            <v>1.341619980787744</v>
          </cell>
          <cell r="F8">
            <v>-1.9133739191949384E-2</v>
          </cell>
          <cell r="G8">
            <v>3.1827208182584776E-2</v>
          </cell>
          <cell r="H8">
            <v>-6.0764173973794522E-2</v>
          </cell>
          <cell r="I8">
            <v>-5.2537311571182466E-3</v>
          </cell>
          <cell r="J8">
            <v>0.15003861670332519</v>
          </cell>
          <cell r="K8">
            <v>5.9681717137515911E-2</v>
          </cell>
        </row>
        <row r="9">
          <cell r="B9" t="str">
            <v>Comp. Store Sales (%)</v>
          </cell>
          <cell r="C9">
            <v>7.7499999999999999E-3</v>
          </cell>
          <cell r="D9">
            <v>6.1538461538461547E-3</v>
          </cell>
          <cell r="E9">
            <v>2.2499999999999999E-2</v>
          </cell>
          <cell r="F9">
            <v>5.7499999999999999E-3</v>
          </cell>
          <cell r="G9">
            <v>1.4499999999999999E-2</v>
          </cell>
          <cell r="H9">
            <v>-4.0000000000000001E-3</v>
          </cell>
          <cell r="I9">
            <v>-2.2749999999999999E-2</v>
          </cell>
          <cell r="J9">
            <v>1.3625652229119331E-2</v>
          </cell>
          <cell r="K9">
            <v>3.361069651639749E-2</v>
          </cell>
        </row>
        <row r="11">
          <cell r="B11" t="str">
            <v>FIFO COGS</v>
          </cell>
          <cell r="C11">
            <v>10798.487000000001</v>
          </cell>
          <cell r="D11">
            <v>11613.726000000001</v>
          </cell>
          <cell r="E11">
            <v>27081.395</v>
          </cell>
          <cell r="F11">
            <v>26314</v>
          </cell>
          <cell r="G11">
            <v>27110</v>
          </cell>
          <cell r="H11">
            <v>25259</v>
          </cell>
          <cell r="I11">
            <v>25313</v>
          </cell>
          <cell r="J11">
            <v>29100.231500000013</v>
          </cell>
          <cell r="K11">
            <v>30530.770350000006</v>
          </cell>
        </row>
        <row r="12">
          <cell r="B12" t="str">
            <v>LIFO Charge</v>
          </cell>
          <cell r="C12">
            <v>9.2000000000000028</v>
          </cell>
          <cell r="D12">
            <v>8.2999999999999989</v>
          </cell>
          <cell r="E12">
            <v>30</v>
          </cell>
          <cell r="F12">
            <v>-23</v>
          </cell>
          <cell r="G12">
            <v>10</v>
          </cell>
          <cell r="H12">
            <v>-2</v>
          </cell>
          <cell r="I12">
            <v>-13</v>
          </cell>
          <cell r="J12">
            <v>3</v>
          </cell>
          <cell r="K12">
            <v>3</v>
          </cell>
        </row>
        <row r="13">
          <cell r="B13" t="str">
            <v>SG&amp;A</v>
          </cell>
          <cell r="C13">
            <v>2990.2</v>
          </cell>
          <cell r="D13">
            <v>3385.5</v>
          </cell>
          <cell r="E13">
            <v>8437.5609999999997</v>
          </cell>
          <cell r="F13">
            <v>8637</v>
          </cell>
          <cell r="G13">
            <v>9023</v>
          </cell>
          <cell r="H13">
            <v>8594</v>
          </cell>
          <cell r="I13">
            <v>8867.6</v>
          </cell>
          <cell r="J13">
            <v>10306.275860000003</v>
          </cell>
          <cell r="K13">
            <v>10972.393250000001</v>
          </cell>
        </row>
        <row r="14">
          <cell r="B14" t="str">
            <v>Depr.  &amp; Amort.</v>
          </cell>
          <cell r="C14">
            <v>328.8</v>
          </cell>
          <cell r="D14">
            <v>375.4</v>
          </cell>
          <cell r="E14">
            <v>911.78600000000006</v>
          </cell>
          <cell r="F14">
            <v>1001</v>
          </cell>
          <cell r="G14">
            <v>1026</v>
          </cell>
          <cell r="H14">
            <v>966</v>
          </cell>
          <cell r="I14">
            <v>969</v>
          </cell>
          <cell r="J14">
            <v>1115.6846153846154</v>
          </cell>
          <cell r="K14">
            <v>1180.4943000000001</v>
          </cell>
        </row>
        <row r="15">
          <cell r="B15" t="str">
            <v>Interest Expense</v>
          </cell>
          <cell r="C15">
            <v>82.5</v>
          </cell>
          <cell r="D15">
            <v>107.1</v>
          </cell>
          <cell r="E15">
            <v>352.90100000000001</v>
          </cell>
          <cell r="F15">
            <v>385</v>
          </cell>
          <cell r="G15">
            <v>434</v>
          </cell>
          <cell r="H15">
            <v>398</v>
          </cell>
          <cell r="I15">
            <v>409</v>
          </cell>
          <cell r="J15">
            <v>500.84615384615381</v>
          </cell>
          <cell r="K15">
            <v>518.5</v>
          </cell>
        </row>
        <row r="16">
          <cell r="B16" t="str">
            <v>Other</v>
          </cell>
          <cell r="C16">
            <v>17.8</v>
          </cell>
          <cell r="D16">
            <v>28.8</v>
          </cell>
          <cell r="E16">
            <v>12.3</v>
          </cell>
          <cell r="F16">
            <v>-3</v>
          </cell>
          <cell r="G16">
            <v>-8</v>
          </cell>
          <cell r="H16">
            <v>-16</v>
          </cell>
          <cell r="I16">
            <v>-3</v>
          </cell>
          <cell r="J16">
            <v>0</v>
          </cell>
          <cell r="K16">
            <v>0</v>
          </cell>
        </row>
        <row r="18">
          <cell r="B18" t="str">
            <v>Pre-Tax Income</v>
          </cell>
          <cell r="C18">
            <v>827</v>
          </cell>
          <cell r="D18">
            <v>919.2</v>
          </cell>
          <cell r="E18">
            <v>1588.5391165040012</v>
          </cell>
          <cell r="F18">
            <v>1445</v>
          </cell>
          <cell r="G18">
            <v>1346</v>
          </cell>
          <cell r="H18">
            <v>1361.1541169999982</v>
          </cell>
          <cell r="I18">
            <v>859.38388110721871</v>
          </cell>
          <cell r="J18">
            <v>845.84648615381684</v>
          </cell>
          <cell r="K18">
            <v>1163.9363999999978</v>
          </cell>
        </row>
        <row r="19">
          <cell r="B19" t="str">
            <v>Tax</v>
          </cell>
          <cell r="C19">
            <v>310.10000000000002</v>
          </cell>
          <cell r="D19">
            <v>338</v>
          </cell>
          <cell r="E19">
            <v>632.5969536890002</v>
          </cell>
          <cell r="F19">
            <v>574.69000000000005</v>
          </cell>
          <cell r="G19">
            <v>550.64</v>
          </cell>
          <cell r="H19">
            <v>522.11199999999997</v>
          </cell>
          <cell r="I19">
            <v>331.78757284419669</v>
          </cell>
          <cell r="J19">
            <v>316.44252182152746</v>
          </cell>
          <cell r="K19">
            <v>435.31221359999915</v>
          </cell>
        </row>
        <row r="20">
          <cell r="B20" t="str">
            <v>Effective Tax Rate (%)</v>
          </cell>
          <cell r="C20">
            <v>0.37498246615363029</v>
          </cell>
          <cell r="D20">
            <v>0.36765409257086873</v>
          </cell>
          <cell r="E20">
            <v>0.39822560685895886</v>
          </cell>
          <cell r="F20">
            <v>0.39770934256055368</v>
          </cell>
          <cell r="G20">
            <v>0.40909361069836553</v>
          </cell>
          <cell r="H20">
            <v>0.3835803701279189</v>
          </cell>
          <cell r="I20">
            <v>0.38607609490734923</v>
          </cell>
          <cell r="J20">
            <v>0.3741134201082234</v>
          </cell>
          <cell r="K20">
            <v>0.374</v>
          </cell>
        </row>
        <row r="21">
          <cell r="B21" t="str">
            <v>Net Income</v>
          </cell>
          <cell r="C21">
            <v>516.9</v>
          </cell>
          <cell r="D21">
            <v>581.20000000000005</v>
          </cell>
          <cell r="E21">
            <v>955.94216281500098</v>
          </cell>
          <cell r="F21">
            <v>870.31</v>
          </cell>
          <cell r="G21">
            <v>795.36</v>
          </cell>
          <cell r="H21">
            <v>839.04211699999814</v>
          </cell>
          <cell r="I21">
            <v>527.59630826302191</v>
          </cell>
          <cell r="J21">
            <v>529.40396433228932</v>
          </cell>
          <cell r="K21">
            <v>728.62418639999851</v>
          </cell>
        </row>
        <row r="23">
          <cell r="B23" t="str">
            <v>E.P.S.</v>
          </cell>
          <cell r="C23">
            <v>2.09</v>
          </cell>
          <cell r="D23">
            <v>2.36</v>
          </cell>
          <cell r="E23">
            <v>2.2597297680664776</v>
          </cell>
          <cell r="F23">
            <v>2.082476206570508</v>
          </cell>
          <cell r="G23">
            <v>1.9468627450980391</v>
          </cell>
          <cell r="H23">
            <v>2.1068290535220422</v>
          </cell>
          <cell r="I23">
            <v>1.4301695359408961</v>
          </cell>
          <cell r="J23">
            <v>1.4220449423257586</v>
          </cell>
          <cell r="K23">
            <v>1.9472739684622202</v>
          </cell>
        </row>
        <row r="24">
          <cell r="B24" t="str">
            <v>Year Over Year Growth</v>
          </cell>
          <cell r="D24">
            <v>0.12918660287081352</v>
          </cell>
          <cell r="E24">
            <v>-4.2487386412509376E-2</v>
          </cell>
          <cell r="F24">
            <v>-7.8440158642347435E-2</v>
          </cell>
          <cell r="G24">
            <v>-6.5121253748104846E-2</v>
          </cell>
          <cell r="H24">
            <v>8.2166197297050658E-2</v>
          </cell>
          <cell r="I24">
            <v>-0.32117438121045294</v>
          </cell>
          <cell r="J24">
            <v>-5.6808604930830287E-3</v>
          </cell>
          <cell r="K24">
            <v>0.36934769816588786</v>
          </cell>
        </row>
        <row r="26">
          <cell r="B26" t="str">
            <v>Shares Outstand. (MM)</v>
          </cell>
          <cell r="C26">
            <v>247.76</v>
          </cell>
          <cell r="D26">
            <v>246.52500000000001</v>
          </cell>
          <cell r="E26">
            <v>422.97500000000002</v>
          </cell>
          <cell r="F26">
            <v>418.25</v>
          </cell>
          <cell r="G26">
            <v>408.5</v>
          </cell>
          <cell r="H26">
            <v>399</v>
          </cell>
          <cell r="I26">
            <v>369</v>
          </cell>
          <cell r="J26">
            <v>372</v>
          </cell>
          <cell r="K26">
            <v>374.125</v>
          </cell>
        </row>
        <row r="28">
          <cell r="B28" t="str">
            <v>FIFO Gross Margin (%)</v>
          </cell>
          <cell r="C28">
            <v>0.26487896033874758</v>
          </cell>
          <cell r="D28">
            <v>0.27437795216554611</v>
          </cell>
          <cell r="E28">
            <v>0.27740739775534295</v>
          </cell>
          <cell r="F28">
            <v>0.28418704605424228</v>
          </cell>
          <cell r="G28">
            <v>0.28528116843742585</v>
          </cell>
          <cell r="H28">
            <v>0.29099840760114565</v>
          </cell>
          <cell r="I28">
            <v>0.28573008512542186</v>
          </cell>
          <cell r="J28">
            <v>0.28599252383686347</v>
          </cell>
          <cell r="K28">
            <v>0.29308265722899096</v>
          </cell>
        </row>
        <row r="29">
          <cell r="B29" t="str">
            <v>SG&amp;A/Sales (%)</v>
          </cell>
          <cell r="C29">
            <v>0.20356175201165466</v>
          </cell>
          <cell r="D29">
            <v>0.2115250043735786</v>
          </cell>
          <cell r="E29">
            <v>0.22513312772802252</v>
          </cell>
          <cell r="F29">
            <v>0.2349500829683632</v>
          </cell>
          <cell r="G29">
            <v>0.23787930716300651</v>
          </cell>
          <cell r="H29">
            <v>0.24122727285623954</v>
          </cell>
          <cell r="I29">
            <v>0.25022162118839369</v>
          </cell>
          <cell r="J29">
            <v>0.25287627060422729</v>
          </cell>
          <cell r="K29">
            <v>0.25405762747576904</v>
          </cell>
        </row>
        <row r="31">
          <cell r="B31" t="str">
            <v>FIFO EBITDA</v>
          </cell>
          <cell r="C31">
            <v>1229.4889999999989</v>
          </cell>
          <cell r="D31">
            <v>1381.3689999999983</v>
          </cell>
          <cell r="E31">
            <v>2870.9261165039989</v>
          </cell>
          <cell r="F31">
            <v>2811</v>
          </cell>
          <cell r="G31">
            <v>2824</v>
          </cell>
          <cell r="H31">
            <v>2739.1541169999982</v>
          </cell>
          <cell r="I31">
            <v>2227.3838811072183</v>
          </cell>
          <cell r="J31">
            <v>2465.377255384582</v>
          </cell>
          <cell r="K31">
            <v>2865.930699999999</v>
          </cell>
        </row>
        <row r="32">
          <cell r="B32" t="str">
            <v>EBITDA Margin (%)</v>
          </cell>
          <cell r="C32">
            <v>8.3699061908587072E-2</v>
          </cell>
          <cell r="D32">
            <v>8.6307512558418412E-2</v>
          </cell>
          <cell r="E32">
            <v>7.6602773726271195E-2</v>
          </cell>
          <cell r="F32">
            <v>7.6466907864312719E-2</v>
          </cell>
          <cell r="G32">
            <v>7.4450976773615243E-2</v>
          </cell>
          <cell r="H32">
            <v>7.6886045796701233E-2</v>
          </cell>
          <cell r="I32">
            <v>6.2851234351971721E-2</v>
          </cell>
          <cell r="J32">
            <v>6.0490851830754165E-2</v>
          </cell>
          <cell r="K32">
            <v>6.6358499696679188E-2</v>
          </cell>
        </row>
        <row r="33">
          <cell r="B33" t="str">
            <v>FIFO EBIT</v>
          </cell>
          <cell r="C33">
            <v>900.71299999999883</v>
          </cell>
          <cell r="D33">
            <v>1005.9739999999983</v>
          </cell>
          <cell r="E33">
            <v>1959.1401165039988</v>
          </cell>
          <cell r="F33">
            <v>1810</v>
          </cell>
          <cell r="G33">
            <v>1798</v>
          </cell>
          <cell r="H33">
            <v>1773.1541169999982</v>
          </cell>
          <cell r="I33">
            <v>1258.3838811072183</v>
          </cell>
          <cell r="J33">
            <v>1349.6926399999666</v>
          </cell>
          <cell r="K33">
            <v>1685.4363999999987</v>
          </cell>
        </row>
        <row r="34">
          <cell r="B34" t="str">
            <v>EBIT Margin (%)</v>
          </cell>
          <cell r="C34">
            <v>6.1317208327092927E-2</v>
          </cell>
          <cell r="D34">
            <v>6.2852947791967512E-2</v>
          </cell>
          <cell r="E34">
            <v>5.2274270027320421E-2</v>
          </cell>
          <cell r="F34">
            <v>4.9236963085879056E-2</v>
          </cell>
          <cell r="G34">
            <v>4.7401861274419338E-2</v>
          </cell>
          <cell r="H34">
            <v>4.9771134744906104E-2</v>
          </cell>
          <cell r="I34">
            <v>3.5508463937028167E-2</v>
          </cell>
          <cell r="J34">
            <v>3.3116253232636193E-2</v>
          </cell>
          <cell r="K34">
            <v>3.9025029753221877E-2</v>
          </cell>
        </row>
        <row r="35">
          <cell r="B35" t="str">
            <v>Net Margin (%)</v>
          </cell>
          <cell r="C35">
            <v>3.5186733290672192E-2</v>
          </cell>
          <cell r="D35">
            <v>3.6319393178842294E-2</v>
          </cell>
          <cell r="E35">
            <v>2.5506689556571115E-2</v>
          </cell>
          <cell r="F35">
            <v>2.3674818421696907E-2</v>
          </cell>
          <cell r="G35">
            <v>2.0968600880546254E-2</v>
          </cell>
          <cell r="H35">
            <v>2.3551296450481197E-2</v>
          </cell>
          <cell r="I35">
            <v>1.4887455860276157E-2</v>
          </cell>
          <cell r="J35">
            <v>1.2989532005738748E-2</v>
          </cell>
          <cell r="K35">
            <v>1.6870752615273439E-2</v>
          </cell>
        </row>
        <row r="36">
          <cell r="B36" t="str">
            <v>CFPS</v>
          </cell>
          <cell r="C36">
            <v>3.4131740393929615</v>
          </cell>
          <cell r="D36">
            <v>3.8807185952986782</v>
          </cell>
          <cell r="E36">
            <v>4.4156939838406544</v>
          </cell>
          <cell r="F36">
            <v>4.4741422594142257</v>
          </cell>
          <cell r="G36">
            <v>4.4586536107711146</v>
          </cell>
          <cell r="H36">
            <v>4.5367065460257576</v>
          </cell>
          <cell r="I36">
            <v>4.0558165535583246</v>
          </cell>
          <cell r="J36">
            <v>4.4222811282712495</v>
          </cell>
          <cell r="K36">
            <v>5.1028893722686233</v>
          </cell>
        </row>
        <row r="42">
          <cell r="B42" t="str">
            <v>Rent</v>
          </cell>
          <cell r="D42">
            <v>334</v>
          </cell>
          <cell r="E42">
            <v>359</v>
          </cell>
          <cell r="F42">
            <v>399</v>
          </cell>
          <cell r="G42">
            <v>403</v>
          </cell>
          <cell r="H42">
            <v>415</v>
          </cell>
        </row>
        <row r="43">
          <cell r="B43" t="str">
            <v>Sublease Income</v>
          </cell>
          <cell r="D43">
            <v>-60</v>
          </cell>
          <cell r="E43">
            <v>-58</v>
          </cell>
          <cell r="F43">
            <v>-97</v>
          </cell>
          <cell r="G43">
            <v>-94</v>
          </cell>
          <cell r="H43">
            <v>-95</v>
          </cell>
        </row>
        <row r="44">
          <cell r="B44" t="str">
            <v>Pension</v>
          </cell>
          <cell r="D44">
            <v>33</v>
          </cell>
          <cell r="E44">
            <v>31</v>
          </cell>
          <cell r="F44">
            <v>-8</v>
          </cell>
          <cell r="G44">
            <v>-9</v>
          </cell>
          <cell r="H44">
            <v>12</v>
          </cell>
        </row>
        <row r="45">
          <cell r="B45" t="str">
            <v>Other Benefits</v>
          </cell>
          <cell r="D45">
            <v>93</v>
          </cell>
          <cell r="E45">
            <v>110</v>
          </cell>
          <cell r="F45">
            <v>155</v>
          </cell>
          <cell r="G45">
            <v>154</v>
          </cell>
          <cell r="H45">
            <v>152</v>
          </cell>
        </row>
        <row r="46">
          <cell r="B46" t="str">
            <v>Multi-Employer Plans</v>
          </cell>
          <cell r="D46">
            <v>100</v>
          </cell>
          <cell r="E46">
            <v>98</v>
          </cell>
          <cell r="F46">
            <v>59</v>
          </cell>
          <cell r="G46">
            <v>49</v>
          </cell>
          <cell r="H46">
            <v>80</v>
          </cell>
        </row>
        <row r="47">
          <cell r="B47" t="str">
            <v>Depreciation</v>
          </cell>
          <cell r="D47">
            <v>375.4</v>
          </cell>
          <cell r="E47">
            <v>911.78600000000006</v>
          </cell>
          <cell r="F47">
            <v>1001</v>
          </cell>
          <cell r="G47">
            <v>1026</v>
          </cell>
          <cell r="H47">
            <v>966</v>
          </cell>
        </row>
        <row r="48">
          <cell r="B48" t="str">
            <v>Labor</v>
          </cell>
          <cell r="D48">
            <v>2510.1</v>
          </cell>
          <cell r="E48">
            <v>6985.7749999999996</v>
          </cell>
          <cell r="F48">
            <v>7128</v>
          </cell>
          <cell r="G48">
            <v>7494</v>
          </cell>
          <cell r="H48">
            <v>7064</v>
          </cell>
        </row>
        <row r="49">
          <cell r="B49" t="str">
            <v>Advertising Expense</v>
          </cell>
        </row>
        <row r="50">
          <cell r="D50">
            <v>3385.5</v>
          </cell>
          <cell r="E50">
            <v>8437.5609999999997</v>
          </cell>
          <cell r="F50">
            <v>8637</v>
          </cell>
          <cell r="G50">
            <v>9023</v>
          </cell>
          <cell r="H50">
            <v>8594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BM Upload"/>
      <sheetName val="Disclaimers"/>
      <sheetName val="ESRX"/>
      <sheetName val="Consolidated IS"/>
      <sheetName val="PF WAG-AB Model"/>
      <sheetName val="Variation"/>
      <sheetName val="AllianceBoots Model"/>
      <sheetName val="WAG-ABC"/>
      <sheetName val="New Rev Model"/>
      <sheetName val="Share Buyback Drivers"/>
      <sheetName val="Heads and Tails"/>
      <sheetName val="New Subsidiary"/>
      <sheetName val="FBR vs. WAG"/>
      <sheetName val="Balance Sheet&amp;Cash Flow"/>
      <sheetName val="Subsidiary"/>
      <sheetName val="Assume 85% won in C2013"/>
      <sheetName val="ESRX Reimbursement Math"/>
      <sheetName val="DCF-2"/>
      <sheetName val="Same Store Sales"/>
      <sheetName val="SS Analysis Drivers"/>
      <sheetName val="Cal Day Shift"/>
      <sheetName val="Lipitor Same Store Sales"/>
      <sheetName val="Quarterly Progression"/>
      <sheetName val="New ROIC - WAG method"/>
      <sheetName val="DCF"/>
      <sheetName val="Accretion Analysis"/>
      <sheetName val="AB Standalone Historicals"/>
      <sheetName val="GM Triangulation"/>
      <sheetName val="Scenario 2 Income Statement"/>
      <sheetName val="Assume 10-15% won in C2013"/>
      <sheetName val="Revenue Composition"/>
      <sheetName val="Heads and Tails 2"/>
      <sheetName val="Partners upload sheet"/>
      <sheetName val="--&gt; Scenarios"/>
      <sheetName val="WAG Model"/>
      <sheetName val="ESRX SS Analysis"/>
      <sheetName val="LCM vs. WAG"/>
      <sheetName val="Kerr"/>
    </sheetNames>
    <definedNames>
      <definedName name="AboutCompGraph" refersTo="#REF!" sheetId="2"/>
      <definedName name="AxesFormat" refersTo="#REF!" sheetId="2"/>
      <definedName name="BackFromCompanySelector" refersTo="#REF!" sheetId="2"/>
      <definedName name="BackFromItemSelect" refersTo="#REF!" sheetId="2"/>
      <definedName name="bDown" refersTo="#REF!" sheetId="2"/>
      <definedName name="bLeft" refersTo="#REF!" sheetId="2"/>
      <definedName name="bRight" refersTo="#REF!" sheetId="2"/>
      <definedName name="bUp" refersTo="#REF!" sheetId="2"/>
      <definedName name="ChangeSize" refersTo="#REF!" sheetId="2"/>
      <definedName name="ChartOptions" refersTo="#REF!" sheetId="2"/>
      <definedName name="ChartTypeChange" refersTo="#REF!" sheetId="2"/>
      <definedName name="ClearCompList" refersTo="#REF!" sheetId="2"/>
      <definedName name="CompanyChangeSize" refersTo="#REF!" sheetId="2"/>
      <definedName name="CompanyLookup" refersTo="#REF!" sheetId="2"/>
      <definedName name="CompgraphHelp" refersTo="#REF!" sheetId="2"/>
      <definedName name="complookup" refersTo="#REF!" sheetId="2"/>
      <definedName name="CompositeBuilder" refersTo="#REF!" sheetId="2"/>
      <definedName name="CoSelectorOutputs" refersTo="#REF!" sheetId="2"/>
      <definedName name="CustomChart" refersTo="#REF!" sheetId="2"/>
      <definedName name="DismissItemDlog" refersTo="#REF!" sheetId="2"/>
      <definedName name="editgraph" refersTo="#REF!" sheetId="2"/>
      <definedName name="enable" refersTo="#REF!" sheetId="2"/>
      <definedName name="ExitCompanySelector" refersTo="#REF!" sheetId="2"/>
      <definedName name="ExitFormat" refersTo="#REF!" sheetId="2"/>
      <definedName name="ExitItemBuilder" refersTo="#REF!" sheetId="2"/>
      <definedName name="exitMainMenu" refersTo="#REF!" sheetId="2"/>
      <definedName name="exitmsg" refersTo="#REF!" sheetId="2"/>
      <definedName name="FormatMod.FormatMaster" refersTo="#REF!" sheetId="2"/>
      <definedName name="GraphbuildingMod.ChangeTicker" refersTo="#REF!" sheetId="2"/>
      <definedName name="GraphbuildingMod.editgraph" refersTo="#REF!" sheetId="2"/>
      <definedName name="GraphbuildingMod.ExportData" refersTo="#REF!" sheetId="2"/>
      <definedName name="GraphbuildingMod.LayoutSet" refersTo="#REF!" sheetId="2"/>
      <definedName name="GraphbuildingMod.PasteGraph" refersTo="#REF!" sheetId="2"/>
      <definedName name="GraphbuildingMod.PrintPreview" refersTo="#REF!" sheetId="2"/>
      <definedName name="GraphbuildingMod.ShowData" refersTo="#REF!" sheetId="2"/>
      <definedName name="GraphbuildingMod.ShowGraph" refersTo="#REF!" sheetId="2"/>
      <definedName name="GraphCompBuild" refersTo="#REF!" sheetId="2"/>
      <definedName name="Graphexitmsg" refersTo="#REF!" sheetId="2"/>
      <definedName name="GraphIntroMod.exitmsg" refersTo="#REF!" sheetId="2"/>
      <definedName name="GraphIntroMod.Graphexitmsg" refersTo="#REF!" sheetId="2"/>
      <definedName name="HeaderFormat" refersTo="#REF!" sheetId="2"/>
      <definedName name="HelpTest" refersTo="#REF!" sheetId="2"/>
      <definedName name="LaunchFormulaLookup" refersTo="#REF!" sheetId="2"/>
      <definedName name="OnShow" refersTo="#REF!" sheetId="2"/>
      <definedName name="PasteGraph" refersTo="#REF!" sheetId="2"/>
      <definedName name="PrintPreview" refersTo="#REF!" sheetId="2"/>
      <definedName name="ResetItemView" refersTo="#REF!" sheetId="2"/>
      <definedName name="SeriesFormat" refersTo="#REF!" sheetId="2"/>
      <definedName name="ShowData" refersTo="#REF!" sheetId="2"/>
      <definedName name="ShowDottedLine" refersTo="#REF!" sheetId="2"/>
      <definedName name="ShowGraph" refersTo="#REF!" sheetId="2"/>
      <definedName name="TextFormat" refersTo="#REF!" sheetId="2"/>
      <definedName name="TickerToNameOnEnter" refersTo="#REF!" sheetId="2"/>
      <definedName name="transx" refersTo="#REF!" sheetId="2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ields"/>
      <sheetName val="Sheet2"/>
      <sheetName val="Sheet3"/>
      <sheetName val="Bond Yields"/>
      <sheetName val="#REF"/>
      <sheetName val="Pre-Yoyodyne"/>
      <sheetName val="Pre-GCTY"/>
      <sheetName val="Sheet8"/>
      <sheetName val="Rough Sheet"/>
      <sheetName val="Sheet1"/>
      <sheetName val="Income"/>
      <sheetName val="Cash Flow"/>
    </sheetNames>
    <sheetDataSet>
      <sheetData sheetId="0">
        <row r="1">
          <cell r="A1" t="str">
            <v>JMGDTE Index</v>
          </cell>
          <cell r="C1" t="str">
            <v>Average</v>
          </cell>
          <cell r="E1" t="str">
            <v>BSIXHYCI Index</v>
          </cell>
          <cell r="G1" t="str">
            <v>Average</v>
          </cell>
          <cell r="I1" t="str">
            <v>Combination</v>
          </cell>
        </row>
        <row r="2">
          <cell r="A2" t="str">
            <v>Date</v>
          </cell>
          <cell r="B2" t="str">
            <v>Px Last</v>
          </cell>
          <cell r="C2">
            <v>5.6841367983367988E-2</v>
          </cell>
          <cell r="E2" t="str">
            <v>Date</v>
          </cell>
          <cell r="F2" t="str">
            <v>Px Last</v>
          </cell>
          <cell r="G2">
            <v>4.0690150627615093E-2</v>
          </cell>
          <cell r="I2">
            <v>4.8765759305491541E-2</v>
          </cell>
        </row>
        <row r="3">
          <cell r="A3">
            <v>37258</v>
          </cell>
          <cell r="B3">
            <v>331.19</v>
          </cell>
          <cell r="E3">
            <v>37258</v>
          </cell>
          <cell r="F3">
            <v>388.82</v>
          </cell>
        </row>
        <row r="4">
          <cell r="A4">
            <v>37259</v>
          </cell>
          <cell r="B4">
            <v>322.89999999999998</v>
          </cell>
          <cell r="E4">
            <v>37259</v>
          </cell>
          <cell r="F4">
            <v>390.02</v>
          </cell>
        </row>
        <row r="5">
          <cell r="A5">
            <v>37260</v>
          </cell>
          <cell r="B5">
            <v>316.86</v>
          </cell>
          <cell r="E5">
            <v>37260</v>
          </cell>
          <cell r="F5">
            <v>391.22</v>
          </cell>
        </row>
        <row r="6">
          <cell r="A6">
            <v>37263</v>
          </cell>
          <cell r="B6">
            <v>326.97000000000003</v>
          </cell>
          <cell r="E6">
            <v>37263</v>
          </cell>
          <cell r="F6">
            <v>392.15</v>
          </cell>
        </row>
        <row r="7">
          <cell r="A7">
            <v>37264</v>
          </cell>
          <cell r="B7">
            <v>313.98</v>
          </cell>
          <cell r="E7">
            <v>37264</v>
          </cell>
          <cell r="F7">
            <v>392.61</v>
          </cell>
        </row>
        <row r="8">
          <cell r="A8">
            <v>37265</v>
          </cell>
          <cell r="B8">
            <v>312.22000000000003</v>
          </cell>
          <cell r="E8">
            <v>37265</v>
          </cell>
          <cell r="F8">
            <v>393.43</v>
          </cell>
        </row>
        <row r="9">
          <cell r="A9">
            <v>37266</v>
          </cell>
          <cell r="B9">
            <v>313.39</v>
          </cell>
          <cell r="E9">
            <v>37266</v>
          </cell>
          <cell r="F9">
            <v>393.47</v>
          </cell>
        </row>
        <row r="10">
          <cell r="A10">
            <v>37267</v>
          </cell>
          <cell r="B10">
            <v>314.16000000000003</v>
          </cell>
          <cell r="E10">
            <v>37267</v>
          </cell>
          <cell r="F10">
            <v>394.44</v>
          </cell>
        </row>
        <row r="11">
          <cell r="A11">
            <v>37270</v>
          </cell>
          <cell r="B11">
            <v>320.37</v>
          </cell>
          <cell r="E11">
            <v>37270</v>
          </cell>
          <cell r="F11">
            <v>394.16</v>
          </cell>
        </row>
        <row r="12">
          <cell r="A12">
            <v>37271</v>
          </cell>
          <cell r="B12">
            <v>321.35000000000002</v>
          </cell>
          <cell r="E12">
            <v>37271</v>
          </cell>
          <cell r="F12">
            <v>393.35</v>
          </cell>
        </row>
        <row r="13">
          <cell r="A13">
            <v>37272</v>
          </cell>
          <cell r="B13">
            <v>322.35000000000002</v>
          </cell>
          <cell r="E13">
            <v>37272</v>
          </cell>
          <cell r="F13">
            <v>392.3</v>
          </cell>
        </row>
        <row r="14">
          <cell r="A14">
            <v>37273</v>
          </cell>
          <cell r="B14">
            <v>325.06</v>
          </cell>
          <cell r="E14">
            <v>37273</v>
          </cell>
          <cell r="F14">
            <v>391.68</v>
          </cell>
        </row>
        <row r="15">
          <cell r="A15">
            <v>37274</v>
          </cell>
          <cell r="B15">
            <v>324.60000000000002</v>
          </cell>
          <cell r="E15">
            <v>37274</v>
          </cell>
          <cell r="F15">
            <v>391.65</v>
          </cell>
        </row>
        <row r="16">
          <cell r="A16">
            <v>37277</v>
          </cell>
          <cell r="B16">
            <v>327.43</v>
          </cell>
          <cell r="E16">
            <v>37278</v>
          </cell>
          <cell r="F16">
            <v>391.72</v>
          </cell>
        </row>
        <row r="17">
          <cell r="A17">
            <v>37278</v>
          </cell>
          <cell r="B17">
            <v>333.34</v>
          </cell>
          <cell r="E17">
            <v>37279</v>
          </cell>
          <cell r="F17">
            <v>391.57</v>
          </cell>
        </row>
        <row r="18">
          <cell r="A18">
            <v>37279</v>
          </cell>
          <cell r="B18">
            <v>337.38</v>
          </cell>
          <cell r="E18">
            <v>37280</v>
          </cell>
          <cell r="F18">
            <v>392.3</v>
          </cell>
        </row>
        <row r="19">
          <cell r="A19">
            <v>37280</v>
          </cell>
          <cell r="B19">
            <v>330.25</v>
          </cell>
          <cell r="E19">
            <v>37281</v>
          </cell>
          <cell r="F19">
            <v>391.76</v>
          </cell>
        </row>
        <row r="20">
          <cell r="A20">
            <v>37281</v>
          </cell>
          <cell r="B20">
            <v>335.61</v>
          </cell>
          <cell r="E20">
            <v>37284</v>
          </cell>
          <cell r="F20">
            <v>392.34</v>
          </cell>
        </row>
        <row r="21">
          <cell r="A21">
            <v>37284</v>
          </cell>
          <cell r="B21">
            <v>343.94</v>
          </cell>
          <cell r="E21">
            <v>37285</v>
          </cell>
          <cell r="F21">
            <v>391.8</v>
          </cell>
        </row>
        <row r="22">
          <cell r="A22">
            <v>37285</v>
          </cell>
          <cell r="B22">
            <v>341.73</v>
          </cell>
          <cell r="E22">
            <v>37286</v>
          </cell>
          <cell r="F22">
            <v>389.94</v>
          </cell>
        </row>
        <row r="23">
          <cell r="A23">
            <v>37286</v>
          </cell>
          <cell r="B23">
            <v>345.74</v>
          </cell>
          <cell r="E23">
            <v>37287</v>
          </cell>
          <cell r="F23">
            <v>389.79</v>
          </cell>
        </row>
        <row r="24">
          <cell r="A24">
            <v>37287</v>
          </cell>
          <cell r="B24">
            <v>348.73</v>
          </cell>
          <cell r="E24">
            <v>37288</v>
          </cell>
          <cell r="F24">
            <v>390.06</v>
          </cell>
        </row>
        <row r="25">
          <cell r="A25">
            <v>37288</v>
          </cell>
          <cell r="B25">
            <v>347.75</v>
          </cell>
          <cell r="E25">
            <v>37291</v>
          </cell>
          <cell r="F25">
            <v>389.59</v>
          </cell>
        </row>
        <row r="26">
          <cell r="A26">
            <v>37291</v>
          </cell>
          <cell r="B26">
            <v>346.65</v>
          </cell>
          <cell r="E26">
            <v>37292</v>
          </cell>
          <cell r="F26">
            <v>389.24</v>
          </cell>
        </row>
        <row r="27">
          <cell r="A27">
            <v>37292</v>
          </cell>
          <cell r="B27">
            <v>358.67</v>
          </cell>
          <cell r="E27">
            <v>37293</v>
          </cell>
          <cell r="F27">
            <v>387.88</v>
          </cell>
        </row>
        <row r="28">
          <cell r="A28">
            <v>37293</v>
          </cell>
          <cell r="B28">
            <v>366.2</v>
          </cell>
          <cell r="E28">
            <v>37294</v>
          </cell>
          <cell r="F28">
            <v>387.02</v>
          </cell>
        </row>
        <row r="29">
          <cell r="A29">
            <v>37294</v>
          </cell>
          <cell r="B29">
            <v>362.4</v>
          </cell>
          <cell r="E29">
            <v>37295</v>
          </cell>
          <cell r="F29">
            <v>386.08</v>
          </cell>
        </row>
        <row r="30">
          <cell r="A30">
            <v>37295</v>
          </cell>
          <cell r="B30">
            <v>356.93</v>
          </cell>
          <cell r="E30">
            <v>37298</v>
          </cell>
          <cell r="F30">
            <v>386.28</v>
          </cell>
        </row>
        <row r="31">
          <cell r="A31">
            <v>37298</v>
          </cell>
          <cell r="B31">
            <v>351.97</v>
          </cell>
          <cell r="E31">
            <v>37299</v>
          </cell>
          <cell r="F31">
            <v>386.39</v>
          </cell>
        </row>
        <row r="32">
          <cell r="A32">
            <v>37299</v>
          </cell>
          <cell r="B32">
            <v>350.2</v>
          </cell>
          <cell r="E32">
            <v>37300</v>
          </cell>
          <cell r="F32">
            <v>386.59</v>
          </cell>
        </row>
        <row r="33">
          <cell r="A33">
            <v>37300</v>
          </cell>
          <cell r="B33">
            <v>349.65</v>
          </cell>
          <cell r="E33">
            <v>37301</v>
          </cell>
          <cell r="F33">
            <v>386.28</v>
          </cell>
        </row>
        <row r="34">
          <cell r="A34">
            <v>37301</v>
          </cell>
          <cell r="B34">
            <v>359.05</v>
          </cell>
          <cell r="E34">
            <v>37302</v>
          </cell>
          <cell r="F34">
            <v>386.39</v>
          </cell>
        </row>
        <row r="35">
          <cell r="A35">
            <v>37302</v>
          </cell>
          <cell r="B35">
            <v>366.62</v>
          </cell>
          <cell r="E35">
            <v>37306</v>
          </cell>
          <cell r="F35">
            <v>385.54</v>
          </cell>
        </row>
        <row r="36">
          <cell r="A36">
            <v>37305</v>
          </cell>
          <cell r="B36">
            <v>374.55</v>
          </cell>
          <cell r="E36">
            <v>37307</v>
          </cell>
          <cell r="F36">
            <v>384.52</v>
          </cell>
        </row>
        <row r="37">
          <cell r="A37">
            <v>37306</v>
          </cell>
          <cell r="B37">
            <v>376.69</v>
          </cell>
          <cell r="E37">
            <v>37308</v>
          </cell>
          <cell r="F37">
            <v>384.13</v>
          </cell>
        </row>
        <row r="38">
          <cell r="A38">
            <v>37307</v>
          </cell>
          <cell r="B38">
            <v>396.66</v>
          </cell>
          <cell r="E38">
            <v>37309</v>
          </cell>
          <cell r="F38">
            <v>383.51</v>
          </cell>
        </row>
        <row r="39">
          <cell r="A39">
            <v>37308</v>
          </cell>
          <cell r="B39">
            <v>392.62</v>
          </cell>
          <cell r="E39">
            <v>37312</v>
          </cell>
          <cell r="F39">
            <v>383.28</v>
          </cell>
        </row>
        <row r="40">
          <cell r="A40">
            <v>37309</v>
          </cell>
          <cell r="B40">
            <v>390.76</v>
          </cell>
          <cell r="E40">
            <v>37313</v>
          </cell>
          <cell r="F40">
            <v>382.61</v>
          </cell>
        </row>
        <row r="41">
          <cell r="A41">
            <v>37312</v>
          </cell>
          <cell r="B41">
            <v>395.6</v>
          </cell>
          <cell r="E41">
            <v>37314</v>
          </cell>
          <cell r="F41">
            <v>383.74</v>
          </cell>
        </row>
        <row r="42">
          <cell r="A42">
            <v>37313</v>
          </cell>
          <cell r="B42">
            <v>395.41</v>
          </cell>
          <cell r="E42">
            <v>37315</v>
          </cell>
          <cell r="F42">
            <v>384.8</v>
          </cell>
        </row>
        <row r="43">
          <cell r="A43">
            <v>37314</v>
          </cell>
          <cell r="B43">
            <v>391.47</v>
          </cell>
          <cell r="E43">
            <v>37316</v>
          </cell>
          <cell r="F43">
            <v>385.84</v>
          </cell>
        </row>
        <row r="44">
          <cell r="A44">
            <v>37315</v>
          </cell>
          <cell r="B44">
            <v>385.56</v>
          </cell>
          <cell r="E44">
            <v>37319</v>
          </cell>
          <cell r="F44">
            <v>386.64</v>
          </cell>
        </row>
        <row r="45">
          <cell r="A45">
            <v>37316</v>
          </cell>
          <cell r="B45">
            <v>386.05</v>
          </cell>
          <cell r="E45">
            <v>37320</v>
          </cell>
          <cell r="F45">
            <v>387.45</v>
          </cell>
        </row>
        <row r="46">
          <cell r="A46">
            <v>37319</v>
          </cell>
          <cell r="B46">
            <v>373.94</v>
          </cell>
          <cell r="E46">
            <v>37321</v>
          </cell>
          <cell r="F46">
            <v>388.99</v>
          </cell>
        </row>
        <row r="47">
          <cell r="A47">
            <v>37320</v>
          </cell>
          <cell r="B47">
            <v>372.06</v>
          </cell>
          <cell r="E47">
            <v>37322</v>
          </cell>
          <cell r="F47">
            <v>391.03</v>
          </cell>
        </row>
        <row r="48">
          <cell r="A48">
            <v>37321</v>
          </cell>
          <cell r="B48">
            <v>373.42</v>
          </cell>
          <cell r="E48">
            <v>37323</v>
          </cell>
          <cell r="F48">
            <v>391.53</v>
          </cell>
        </row>
        <row r="49">
          <cell r="A49">
            <v>37322</v>
          </cell>
          <cell r="B49">
            <v>370.3</v>
          </cell>
          <cell r="E49">
            <v>37326</v>
          </cell>
          <cell r="F49">
            <v>392.84</v>
          </cell>
        </row>
        <row r="50">
          <cell r="A50">
            <v>37323</v>
          </cell>
          <cell r="B50">
            <v>357.58</v>
          </cell>
          <cell r="E50">
            <v>37327</v>
          </cell>
          <cell r="F50">
            <v>393.61</v>
          </cell>
        </row>
        <row r="51">
          <cell r="A51">
            <v>37326</v>
          </cell>
          <cell r="B51">
            <v>357.22</v>
          </cell>
          <cell r="E51">
            <v>37328</v>
          </cell>
          <cell r="F51">
            <v>394.11</v>
          </cell>
        </row>
        <row r="52">
          <cell r="A52">
            <v>37327</v>
          </cell>
          <cell r="B52">
            <v>367.07</v>
          </cell>
          <cell r="E52">
            <v>37329</v>
          </cell>
          <cell r="F52">
            <v>394.42</v>
          </cell>
        </row>
        <row r="53">
          <cell r="A53">
            <v>37328</v>
          </cell>
          <cell r="B53">
            <v>364.43</v>
          </cell>
          <cell r="E53">
            <v>37330</v>
          </cell>
          <cell r="F53">
            <v>394.96</v>
          </cell>
        </row>
        <row r="54">
          <cell r="A54">
            <v>37329</v>
          </cell>
          <cell r="B54">
            <v>363.21</v>
          </cell>
          <cell r="E54">
            <v>37333</v>
          </cell>
          <cell r="F54">
            <v>394.88</v>
          </cell>
        </row>
        <row r="55">
          <cell r="A55">
            <v>37330</v>
          </cell>
          <cell r="B55">
            <v>363.98</v>
          </cell>
          <cell r="E55">
            <v>37334</v>
          </cell>
          <cell r="F55">
            <v>395.22</v>
          </cell>
        </row>
        <row r="56">
          <cell r="A56">
            <v>37333</v>
          </cell>
          <cell r="B56">
            <v>358.53</v>
          </cell>
          <cell r="E56">
            <v>37335</v>
          </cell>
          <cell r="F56">
            <v>395.96</v>
          </cell>
        </row>
        <row r="57">
          <cell r="A57">
            <v>37334</v>
          </cell>
          <cell r="B57">
            <v>356.75</v>
          </cell>
          <cell r="E57">
            <v>37336</v>
          </cell>
          <cell r="F57">
            <v>395.72</v>
          </cell>
        </row>
        <row r="58">
          <cell r="A58">
            <v>37335</v>
          </cell>
          <cell r="B58">
            <v>354.21</v>
          </cell>
          <cell r="E58">
            <v>37337</v>
          </cell>
          <cell r="F58">
            <v>395.72</v>
          </cell>
        </row>
        <row r="59">
          <cell r="A59">
            <v>37336</v>
          </cell>
          <cell r="B59">
            <v>353.36</v>
          </cell>
          <cell r="E59">
            <v>37340</v>
          </cell>
          <cell r="F59">
            <v>396.07</v>
          </cell>
        </row>
        <row r="60">
          <cell r="A60">
            <v>37337</v>
          </cell>
          <cell r="B60">
            <v>351.4</v>
          </cell>
          <cell r="E60">
            <v>37341</v>
          </cell>
          <cell r="F60">
            <v>396.11</v>
          </cell>
        </row>
        <row r="61">
          <cell r="A61">
            <v>37340</v>
          </cell>
          <cell r="B61">
            <v>352.05</v>
          </cell>
          <cell r="E61">
            <v>37342</v>
          </cell>
          <cell r="F61">
            <v>395.99</v>
          </cell>
        </row>
        <row r="62">
          <cell r="A62">
            <v>37341</v>
          </cell>
          <cell r="B62">
            <v>353.7</v>
          </cell>
          <cell r="E62">
            <v>37343</v>
          </cell>
          <cell r="F62">
            <v>395.88</v>
          </cell>
        </row>
        <row r="63">
          <cell r="A63">
            <v>37342</v>
          </cell>
          <cell r="B63">
            <v>347.82</v>
          </cell>
          <cell r="E63">
            <v>37347</v>
          </cell>
          <cell r="F63">
            <v>395.63</v>
          </cell>
        </row>
        <row r="64">
          <cell r="A64">
            <v>37343</v>
          </cell>
          <cell r="B64">
            <v>347.99</v>
          </cell>
          <cell r="E64">
            <v>37348</v>
          </cell>
          <cell r="F64">
            <v>395.55</v>
          </cell>
        </row>
        <row r="65">
          <cell r="A65">
            <v>37348</v>
          </cell>
          <cell r="B65">
            <v>344.01</v>
          </cell>
          <cell r="E65">
            <v>37349</v>
          </cell>
          <cell r="F65">
            <v>395.63</v>
          </cell>
        </row>
        <row r="66">
          <cell r="A66">
            <v>37349</v>
          </cell>
          <cell r="B66">
            <v>339.86</v>
          </cell>
          <cell r="E66">
            <v>37350</v>
          </cell>
          <cell r="F66">
            <v>395.39</v>
          </cell>
        </row>
        <row r="67">
          <cell r="A67">
            <v>37350</v>
          </cell>
          <cell r="B67">
            <v>344.17</v>
          </cell>
          <cell r="E67">
            <v>37351</v>
          </cell>
          <cell r="F67">
            <v>395.95</v>
          </cell>
        </row>
        <row r="68">
          <cell r="A68">
            <v>37351</v>
          </cell>
          <cell r="B68">
            <v>350.66</v>
          </cell>
          <cell r="E68">
            <v>37354</v>
          </cell>
          <cell r="F68">
            <v>396.74</v>
          </cell>
        </row>
        <row r="69">
          <cell r="A69">
            <v>37354</v>
          </cell>
          <cell r="B69">
            <v>361.53</v>
          </cell>
          <cell r="E69">
            <v>37355</v>
          </cell>
          <cell r="F69">
            <v>397.26</v>
          </cell>
        </row>
        <row r="70">
          <cell r="A70">
            <v>37355</v>
          </cell>
          <cell r="B70">
            <v>365.52</v>
          </cell>
          <cell r="E70">
            <v>37356</v>
          </cell>
          <cell r="F70">
            <v>398.13</v>
          </cell>
        </row>
        <row r="71">
          <cell r="A71">
            <v>37356</v>
          </cell>
          <cell r="E71">
            <v>37357</v>
          </cell>
          <cell r="F71">
            <v>397.97</v>
          </cell>
        </row>
        <row r="72">
          <cell r="A72">
            <v>37357</v>
          </cell>
          <cell r="E72">
            <v>37358</v>
          </cell>
          <cell r="F72">
            <v>397.89</v>
          </cell>
        </row>
        <row r="73">
          <cell r="A73">
            <v>37358</v>
          </cell>
          <cell r="E73">
            <v>37361</v>
          </cell>
          <cell r="F73">
            <v>398.37</v>
          </cell>
        </row>
        <row r="74">
          <cell r="A74">
            <v>37361</v>
          </cell>
          <cell r="E74">
            <v>37362</v>
          </cell>
          <cell r="F74">
            <v>399.32</v>
          </cell>
        </row>
        <row r="75">
          <cell r="A75">
            <v>37362</v>
          </cell>
          <cell r="E75">
            <v>37363</v>
          </cell>
          <cell r="F75">
            <v>399.95</v>
          </cell>
        </row>
        <row r="76">
          <cell r="A76">
            <v>37363</v>
          </cell>
          <cell r="E76">
            <v>37364</v>
          </cell>
          <cell r="F76">
            <v>400.39</v>
          </cell>
        </row>
        <row r="77">
          <cell r="A77">
            <v>37364</v>
          </cell>
          <cell r="E77">
            <v>37365</v>
          </cell>
          <cell r="F77">
            <v>400.47</v>
          </cell>
        </row>
        <row r="78">
          <cell r="A78">
            <v>37365</v>
          </cell>
          <cell r="E78">
            <v>37368</v>
          </cell>
          <cell r="F78">
            <v>400.23</v>
          </cell>
        </row>
        <row r="79">
          <cell r="A79">
            <v>37368</v>
          </cell>
        </row>
        <row r="80">
          <cell r="A80">
            <v>37369</v>
          </cell>
        </row>
        <row r="81">
          <cell r="A81">
            <v>37370</v>
          </cell>
        </row>
        <row r="82">
          <cell r="A82">
            <v>37371</v>
          </cell>
        </row>
        <row r="83">
          <cell r="A83">
            <v>37372</v>
          </cell>
        </row>
        <row r="84">
          <cell r="A84">
            <v>37375</v>
          </cell>
        </row>
        <row r="85">
          <cell r="A85">
            <v>37376</v>
          </cell>
        </row>
        <row r="86">
          <cell r="A86">
            <v>37378</v>
          </cell>
        </row>
        <row r="87">
          <cell r="A87">
            <v>37379</v>
          </cell>
        </row>
        <row r="88">
          <cell r="A88">
            <v>37382</v>
          </cell>
        </row>
        <row r="89">
          <cell r="A89">
            <v>37383</v>
          </cell>
        </row>
        <row r="90">
          <cell r="A90">
            <v>37384</v>
          </cell>
        </row>
        <row r="91">
          <cell r="A91">
            <v>37385</v>
          </cell>
        </row>
        <row r="92">
          <cell r="A92">
            <v>37386</v>
          </cell>
        </row>
        <row r="93">
          <cell r="A93">
            <v>37389</v>
          </cell>
        </row>
        <row r="94">
          <cell r="A94">
            <v>37390</v>
          </cell>
        </row>
        <row r="95">
          <cell r="A95">
            <v>37391</v>
          </cell>
        </row>
        <row r="96">
          <cell r="A96">
            <v>37392</v>
          </cell>
        </row>
        <row r="97">
          <cell r="A97">
            <v>37393</v>
          </cell>
        </row>
        <row r="98">
          <cell r="A98">
            <v>37396</v>
          </cell>
        </row>
        <row r="99">
          <cell r="A99">
            <v>37397</v>
          </cell>
        </row>
        <row r="100">
          <cell r="A100">
            <v>37398</v>
          </cell>
        </row>
        <row r="101">
          <cell r="A101">
            <v>37399</v>
          </cell>
        </row>
        <row r="102">
          <cell r="A102">
            <v>37400</v>
          </cell>
        </row>
        <row r="103">
          <cell r="A103">
            <v>37403</v>
          </cell>
        </row>
        <row r="104">
          <cell r="A104">
            <v>37404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_VDF"/>
      <sheetName val="Summary Page_VDF"/>
      <sheetName val="Invested capital_VDF"/>
      <sheetName val="NOPAT_VDF"/>
      <sheetName val="WACC_VDF"/>
      <sheetName val="DCF_VDF"/>
      <sheetName val="PV of Op Leases_VDF"/>
    </sheetNames>
    <sheetDataSet>
      <sheetData sheetId="0" refreshError="1">
        <row r="44">
          <cell r="R44">
            <v>7.0387545616459157E-2</v>
          </cell>
        </row>
      </sheetData>
      <sheetData sheetId="1"/>
      <sheetData sheetId="2" refreshError="1">
        <row r="1">
          <cell r="P1" t="str">
            <v>Invested Capital</v>
          </cell>
        </row>
        <row r="2">
          <cell r="O2" t="str">
            <v>P-2</v>
          </cell>
          <cell r="P2" t="str">
            <v>P-1</v>
          </cell>
          <cell r="Q2" t="str">
            <v>Present (P)</v>
          </cell>
        </row>
        <row r="3">
          <cell r="O3">
            <v>1996</v>
          </cell>
          <cell r="P3">
            <v>1997</v>
          </cell>
          <cell r="Q3">
            <v>1998</v>
          </cell>
        </row>
        <row r="4">
          <cell r="O4">
            <v>438</v>
          </cell>
          <cell r="P4">
            <v>373</v>
          </cell>
          <cell r="Q4">
            <v>47</v>
          </cell>
        </row>
        <row r="5"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54.808</v>
          </cell>
          <cell r="J5">
            <v>305.392</v>
          </cell>
          <cell r="K5">
            <v>461.71600000000001</v>
          </cell>
          <cell r="L5">
            <v>422.76</v>
          </cell>
          <cell r="M5">
            <v>332.952</v>
          </cell>
          <cell r="N5">
            <v>342.72399999999999</v>
          </cell>
          <cell r="O5">
            <v>280.39999999999998</v>
          </cell>
          <cell r="P5">
            <v>160.35999999999999</v>
          </cell>
          <cell r="Q5">
            <v>0</v>
          </cell>
        </row>
        <row r="6">
          <cell r="O6">
            <v>157.6</v>
          </cell>
          <cell r="P6">
            <v>212.64000000000001</v>
          </cell>
          <cell r="Q6">
            <v>47</v>
          </cell>
        </row>
        <row r="7">
          <cell r="O7">
            <v>430</v>
          </cell>
          <cell r="P7">
            <v>403</v>
          </cell>
          <cell r="Q7">
            <v>204</v>
          </cell>
        </row>
        <row r="8">
          <cell r="O8">
            <v>82</v>
          </cell>
          <cell r="P8">
            <v>77</v>
          </cell>
          <cell r="Q8">
            <v>54</v>
          </cell>
        </row>
        <row r="9">
          <cell r="A9">
            <v>0.04</v>
          </cell>
          <cell r="O9">
            <v>0</v>
          </cell>
          <cell r="P9">
            <v>0</v>
          </cell>
          <cell r="Q9">
            <v>0</v>
          </cell>
        </row>
        <row r="10">
          <cell r="O10">
            <v>0</v>
          </cell>
          <cell r="P10">
            <v>0</v>
          </cell>
          <cell r="Q10">
            <v>48</v>
          </cell>
        </row>
        <row r="11">
          <cell r="O11">
            <v>0</v>
          </cell>
          <cell r="P11">
            <v>0</v>
          </cell>
          <cell r="Q11">
            <v>0</v>
          </cell>
        </row>
        <row r="12">
          <cell r="O12">
            <v>201</v>
          </cell>
          <cell r="P12">
            <v>158</v>
          </cell>
          <cell r="Q12">
            <v>73</v>
          </cell>
        </row>
        <row r="13"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</row>
        <row r="14">
          <cell r="O14">
            <v>0</v>
          </cell>
          <cell r="P14">
            <v>0</v>
          </cell>
          <cell r="Q14">
            <v>43</v>
          </cell>
        </row>
        <row r="15">
          <cell r="O15">
            <v>870.6</v>
          </cell>
          <cell r="P15">
            <v>850.64</v>
          </cell>
          <cell r="Q15">
            <v>469</v>
          </cell>
        </row>
        <row r="17">
          <cell r="O17">
            <v>894</v>
          </cell>
          <cell r="P17">
            <v>865</v>
          </cell>
          <cell r="Q17">
            <v>410</v>
          </cell>
        </row>
        <row r="18">
          <cell r="O18">
            <v>0</v>
          </cell>
          <cell r="P18">
            <v>0</v>
          </cell>
          <cell r="Q18">
            <v>0</v>
          </cell>
        </row>
        <row r="19">
          <cell r="O19">
            <v>0</v>
          </cell>
          <cell r="P19">
            <v>0</v>
          </cell>
          <cell r="Q19">
            <v>0</v>
          </cell>
        </row>
        <row r="20">
          <cell r="O20">
            <v>0</v>
          </cell>
          <cell r="P20">
            <v>0</v>
          </cell>
          <cell r="Q20">
            <v>0</v>
          </cell>
        </row>
        <row r="21">
          <cell r="O21">
            <v>3</v>
          </cell>
          <cell r="P21">
            <v>11</v>
          </cell>
          <cell r="Q21">
            <v>34</v>
          </cell>
        </row>
        <row r="22">
          <cell r="O22">
            <v>0</v>
          </cell>
          <cell r="P22">
            <v>0</v>
          </cell>
          <cell r="Q22">
            <v>0</v>
          </cell>
        </row>
        <row r="23">
          <cell r="O23">
            <v>0</v>
          </cell>
          <cell r="P23">
            <v>0</v>
          </cell>
          <cell r="Q23">
            <v>0</v>
          </cell>
        </row>
        <row r="24">
          <cell r="O24">
            <v>897</v>
          </cell>
          <cell r="P24">
            <v>876</v>
          </cell>
          <cell r="Q24">
            <v>444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4.1919999999999789</v>
          </cell>
          <cell r="J26">
            <v>3.4080000000000155</v>
          </cell>
          <cell r="K26">
            <v>-40.716000000000008</v>
          </cell>
          <cell r="L26">
            <v>66.94</v>
          </cell>
          <cell r="M26">
            <v>49.147999999999968</v>
          </cell>
          <cell r="N26">
            <v>56.475999999999942</v>
          </cell>
          <cell r="O26">
            <v>-26.399999999999977</v>
          </cell>
          <cell r="P26">
            <v>-25.360000000000014</v>
          </cell>
          <cell r="Q26">
            <v>25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1.6</v>
          </cell>
          <cell r="N28">
            <v>4.9000000000000004</v>
          </cell>
          <cell r="O28">
            <v>5</v>
          </cell>
          <cell r="P28">
            <v>11</v>
          </cell>
          <cell r="Q28">
            <v>12</v>
          </cell>
          <cell r="R28">
            <v>0</v>
          </cell>
          <cell r="S28">
            <v>0</v>
          </cell>
          <cell r="T28">
            <v>0</v>
          </cell>
        </row>
        <row r="29">
          <cell r="O29">
            <v>4.9000000000000004</v>
          </cell>
          <cell r="P29">
            <v>5</v>
          </cell>
          <cell r="Q29">
            <v>11</v>
          </cell>
          <cell r="R29">
            <v>12</v>
          </cell>
          <cell r="S29">
            <v>0</v>
          </cell>
          <cell r="T29">
            <v>0</v>
          </cell>
        </row>
        <row r="30">
          <cell r="O30">
            <v>5</v>
          </cell>
          <cell r="P30">
            <v>11</v>
          </cell>
          <cell r="Q30">
            <v>12</v>
          </cell>
          <cell r="R30">
            <v>0</v>
          </cell>
          <cell r="S30">
            <v>0</v>
          </cell>
          <cell r="T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1.6</v>
          </cell>
          <cell r="O31">
            <v>4.9000000000000004</v>
          </cell>
          <cell r="P31">
            <v>5</v>
          </cell>
          <cell r="Q31">
            <v>11</v>
          </cell>
          <cell r="R31">
            <v>12</v>
          </cell>
          <cell r="S31">
            <v>0</v>
          </cell>
          <cell r="T31">
            <v>0</v>
          </cell>
        </row>
        <row r="32"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</row>
        <row r="33">
          <cell r="O33">
            <v>4698</v>
          </cell>
          <cell r="P33">
            <v>4994</v>
          </cell>
          <cell r="Q33">
            <v>2483</v>
          </cell>
        </row>
        <row r="34">
          <cell r="A34">
            <v>1</v>
          </cell>
          <cell r="O34">
            <v>0</v>
          </cell>
          <cell r="P34">
            <v>0</v>
          </cell>
          <cell r="Q34">
            <v>0</v>
          </cell>
        </row>
        <row r="35">
          <cell r="O35">
            <v>100.30528520333424</v>
          </cell>
          <cell r="P35">
            <v>138.01180075872401</v>
          </cell>
          <cell r="Q35">
            <v>153.51202476158448</v>
          </cell>
        </row>
        <row r="36">
          <cell r="O36">
            <v>1295</v>
          </cell>
          <cell r="P36">
            <v>1313</v>
          </cell>
          <cell r="Q36">
            <v>0</v>
          </cell>
        </row>
        <row r="37">
          <cell r="O37">
            <v>32.299999999999997</v>
          </cell>
          <cell r="P37">
            <v>64.599999999999994</v>
          </cell>
          <cell r="Q37">
            <v>0</v>
          </cell>
        </row>
        <row r="38">
          <cell r="O38">
            <v>0</v>
          </cell>
          <cell r="P38">
            <v>0</v>
          </cell>
          <cell r="Q38">
            <v>0</v>
          </cell>
        </row>
        <row r="39">
          <cell r="O39">
            <v>0</v>
          </cell>
          <cell r="P39">
            <v>0</v>
          </cell>
          <cell r="Q39">
            <v>0</v>
          </cell>
        </row>
        <row r="40">
          <cell r="O40">
            <v>87.099236641221381</v>
          </cell>
          <cell r="P40">
            <v>87.099236641221381</v>
          </cell>
          <cell r="Q40">
            <v>13.099236641221374</v>
          </cell>
        </row>
        <row r="41">
          <cell r="O41">
            <v>373</v>
          </cell>
          <cell r="P41">
            <v>409</v>
          </cell>
          <cell r="Q41">
            <v>262</v>
          </cell>
        </row>
        <row r="42">
          <cell r="O42">
            <v>60</v>
          </cell>
          <cell r="P42">
            <v>99</v>
          </cell>
          <cell r="Q42">
            <v>0</v>
          </cell>
        </row>
        <row r="43">
          <cell r="C43" t="e">
            <v>#VALUE!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1664.2899051267914</v>
          </cell>
          <cell r="J43">
            <v>1721.3851024500088</v>
          </cell>
          <cell r="K43">
            <v>2019.7086795335911</v>
          </cell>
          <cell r="L43">
            <v>1987.2739218004006</v>
          </cell>
          <cell r="M43">
            <v>2286.5931126586106</v>
          </cell>
          <cell r="N43">
            <v>2415.6338722627888</v>
          </cell>
          <cell r="O43">
            <v>6645.7045218445555</v>
          </cell>
          <cell r="P43">
            <v>7104.7110373999458</v>
          </cell>
          <cell r="Q43">
            <v>2911.6112614028061</v>
          </cell>
        </row>
        <row r="45">
          <cell r="O45">
            <v>0</v>
          </cell>
          <cell r="P45">
            <v>0</v>
          </cell>
          <cell r="Q45">
            <v>105</v>
          </cell>
        </row>
        <row r="46">
          <cell r="O46">
            <v>0</v>
          </cell>
          <cell r="P46">
            <v>0</v>
          </cell>
          <cell r="Q46">
            <v>0</v>
          </cell>
        </row>
        <row r="47"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105</v>
          </cell>
        </row>
        <row r="50">
          <cell r="O50">
            <v>6619.3045218445559</v>
          </cell>
          <cell r="P50">
            <v>7079.3510373999461</v>
          </cell>
          <cell r="Q50">
            <v>3041.6112614028061</v>
          </cell>
        </row>
        <row r="53">
          <cell r="O53">
            <v>0</v>
          </cell>
          <cell r="P53">
            <v>0</v>
          </cell>
          <cell r="Q53">
            <v>0</v>
          </cell>
        </row>
        <row r="54">
          <cell r="O54">
            <v>101</v>
          </cell>
          <cell r="P54">
            <v>65</v>
          </cell>
          <cell r="Q54">
            <v>62</v>
          </cell>
        </row>
        <row r="55">
          <cell r="O55">
            <v>0</v>
          </cell>
          <cell r="P55">
            <v>0</v>
          </cell>
          <cell r="Q55">
            <v>0</v>
          </cell>
        </row>
        <row r="56">
          <cell r="O56">
            <v>0</v>
          </cell>
          <cell r="P56">
            <v>0</v>
          </cell>
          <cell r="Q56">
            <v>0</v>
          </cell>
        </row>
        <row r="57">
          <cell r="O57">
            <v>2606</v>
          </cell>
          <cell r="P57">
            <v>2709</v>
          </cell>
          <cell r="Q57">
            <v>2412</v>
          </cell>
        </row>
        <row r="58">
          <cell r="O58">
            <v>0</v>
          </cell>
          <cell r="P58">
            <v>0</v>
          </cell>
          <cell r="Q58">
            <v>0</v>
          </cell>
        </row>
        <row r="59">
          <cell r="O59">
            <v>100.30528520333424</v>
          </cell>
          <cell r="P59">
            <v>138.01180075872401</v>
          </cell>
          <cell r="Q59">
            <v>153.51202476158448</v>
          </cell>
        </row>
        <row r="60">
          <cell r="O60">
            <v>0</v>
          </cell>
          <cell r="P60">
            <v>0</v>
          </cell>
          <cell r="Q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564.3899051267914</v>
          </cell>
          <cell r="J61">
            <v>827.38510245000919</v>
          </cell>
          <cell r="K61">
            <v>1233.3086795335912</v>
          </cell>
          <cell r="L61">
            <v>1192.6739218004004</v>
          </cell>
          <cell r="M61">
            <v>1322.9931126586109</v>
          </cell>
          <cell r="N61">
            <v>1359.1338722627888</v>
          </cell>
          <cell r="O61">
            <v>2807.3052852033343</v>
          </cell>
          <cell r="P61">
            <v>2912.0118007587239</v>
          </cell>
          <cell r="Q61">
            <v>2627.5120247615846</v>
          </cell>
        </row>
        <row r="63">
          <cell r="O63">
            <v>598</v>
          </cell>
          <cell r="P63">
            <v>603</v>
          </cell>
          <cell r="Q63">
            <v>65</v>
          </cell>
        </row>
        <row r="64">
          <cell r="O64">
            <v>0</v>
          </cell>
          <cell r="P64">
            <v>0</v>
          </cell>
          <cell r="Q64">
            <v>0</v>
          </cell>
        </row>
        <row r="65">
          <cell r="O65">
            <v>32.299999999999997</v>
          </cell>
          <cell r="P65">
            <v>64.599999999999994</v>
          </cell>
          <cell r="Q65">
            <v>0</v>
          </cell>
        </row>
        <row r="66">
          <cell r="O66">
            <v>0</v>
          </cell>
          <cell r="P66">
            <v>0</v>
          </cell>
          <cell r="Q66">
            <v>0</v>
          </cell>
        </row>
        <row r="67">
          <cell r="O67">
            <v>0</v>
          </cell>
          <cell r="P67">
            <v>0</v>
          </cell>
          <cell r="Q67">
            <v>0</v>
          </cell>
        </row>
        <row r="68">
          <cell r="O68">
            <v>87.099236641221381</v>
          </cell>
          <cell r="P68">
            <v>87.099236641221381</v>
          </cell>
          <cell r="Q68">
            <v>13.099236641221374</v>
          </cell>
        </row>
        <row r="69">
          <cell r="O69">
            <v>0</v>
          </cell>
          <cell r="P69">
            <v>0</v>
          </cell>
          <cell r="Q69">
            <v>0</v>
          </cell>
        </row>
        <row r="70">
          <cell r="O70">
            <v>717.39923664122136</v>
          </cell>
          <cell r="P70">
            <v>754.69923664122143</v>
          </cell>
          <cell r="Q70">
            <v>78.099236641221381</v>
          </cell>
        </row>
        <row r="72">
          <cell r="O72">
            <v>164</v>
          </cell>
          <cell r="P72">
            <v>190</v>
          </cell>
          <cell r="Q72">
            <v>149</v>
          </cell>
        </row>
        <row r="73">
          <cell r="O73">
            <v>0</v>
          </cell>
          <cell r="P73">
            <v>0</v>
          </cell>
          <cell r="Q73">
            <v>0</v>
          </cell>
        </row>
        <row r="74">
          <cell r="O74">
            <v>0</v>
          </cell>
          <cell r="P74">
            <v>0</v>
          </cell>
          <cell r="Q74">
            <v>0</v>
          </cell>
        </row>
        <row r="76">
          <cell r="O76">
            <v>0</v>
          </cell>
          <cell r="P76">
            <v>0</v>
          </cell>
          <cell r="Q76">
            <v>0</v>
          </cell>
        </row>
        <row r="78">
          <cell r="O78">
            <v>3211</v>
          </cell>
          <cell r="P78">
            <v>3383</v>
          </cell>
          <cell r="Q78">
            <v>187</v>
          </cell>
        </row>
        <row r="79"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</row>
        <row r="80">
          <cell r="O80">
            <v>280.39999999999998</v>
          </cell>
          <cell r="P80">
            <v>160.35999999999999</v>
          </cell>
          <cell r="Q80">
            <v>0</v>
          </cell>
        </row>
        <row r="81">
          <cell r="O81">
            <v>15</v>
          </cell>
          <cell r="P81">
            <v>15</v>
          </cell>
          <cell r="Q81">
            <v>0</v>
          </cell>
        </row>
        <row r="83">
          <cell r="O83">
            <v>3632.9992366412212</v>
          </cell>
          <cell r="P83">
            <v>3962.3392366412213</v>
          </cell>
          <cell r="Q83">
            <v>265.09923664122141</v>
          </cell>
        </row>
        <row r="84">
          <cell r="O84">
            <v>249</v>
          </cell>
          <cell r="P84">
            <v>249</v>
          </cell>
          <cell r="Q84">
            <v>261</v>
          </cell>
        </row>
        <row r="85">
          <cell r="O85">
            <v>14.590358380085226</v>
          </cell>
          <cell r="P85">
            <v>15.913008982494866</v>
          </cell>
          <cell r="Q85">
            <v>1.0157058875142582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1668.4819051267914</v>
          </cell>
          <cell r="J87">
            <v>1724.793102450009</v>
          </cell>
          <cell r="K87">
            <v>1978.9926795335914</v>
          </cell>
          <cell r="L87">
            <v>2054.2139218004004</v>
          </cell>
          <cell r="M87">
            <v>2335.7411126586107</v>
          </cell>
          <cell r="N87">
            <v>2472.1098722627889</v>
          </cell>
          <cell r="O87">
            <v>6619.304521844555</v>
          </cell>
          <cell r="P87">
            <v>7079.3510373999452</v>
          </cell>
          <cell r="Q87">
            <v>3041.6112614028061</v>
          </cell>
        </row>
        <row r="88">
          <cell r="O88">
            <v>1.6775931750095425</v>
          </cell>
          <cell r="P88">
            <v>6.9500732899835271E-2</v>
          </cell>
          <cell r="Q88">
            <v>-0.57035450773184038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1668.4819051267914</v>
          </cell>
          <cell r="J89">
            <v>1696.6375037884002</v>
          </cell>
          <cell r="K89">
            <v>1851.8928909918002</v>
          </cell>
          <cell r="L89">
            <v>2016.6033006669959</v>
          </cell>
          <cell r="M89">
            <v>2194.9775172295058</v>
          </cell>
          <cell r="N89">
            <v>2403.9254924606998</v>
          </cell>
          <cell r="O89">
            <v>4545.7071970536717</v>
          </cell>
          <cell r="P89">
            <v>6849.3277796222501</v>
          </cell>
          <cell r="Q89">
            <v>3041.6112614028061</v>
          </cell>
        </row>
        <row r="95">
          <cell r="O95">
            <v>12.124942298815203</v>
          </cell>
          <cell r="P95">
            <v>12.763505402160865</v>
          </cell>
          <cell r="Q95">
            <v>5.8286655683690283</v>
          </cell>
        </row>
        <row r="96">
          <cell r="O96">
            <v>82.168925964546403</v>
          </cell>
          <cell r="P96">
            <v>66.867924528301884</v>
          </cell>
          <cell r="Q96">
            <v>27.007633587786259</v>
          </cell>
        </row>
        <row r="97">
          <cell r="C97" t="str">
            <v>--</v>
          </cell>
          <cell r="D97" t="str">
            <v xml:space="preserve">--  </v>
          </cell>
          <cell r="E97" t="str">
            <v xml:space="preserve">--  </v>
          </cell>
          <cell r="F97" t="str">
            <v xml:space="preserve">--  </v>
          </cell>
          <cell r="G97" t="str">
            <v xml:space="preserve">--  </v>
          </cell>
          <cell r="H97" t="str">
            <v xml:space="preserve">--  </v>
          </cell>
          <cell r="I97">
            <v>536.64122137404854</v>
          </cell>
          <cell r="J97">
            <v>292.81578947368445</v>
          </cell>
          <cell r="K97">
            <v>-65.916157392516354</v>
          </cell>
          <cell r="L97">
            <v>106.27669310555221</v>
          </cell>
          <cell r="M97">
            <v>25.949279856660471</v>
          </cell>
          <cell r="N97">
            <v>31.23153828675304</v>
          </cell>
          <cell r="O97">
            <v>262.00292592100044</v>
          </cell>
          <cell r="P97">
            <v>-205.40958268933542</v>
          </cell>
          <cell r="Q97">
            <v>-9827.7777777774045</v>
          </cell>
        </row>
        <row r="98">
          <cell r="O98">
            <v>1.2324246547490578</v>
          </cell>
          <cell r="P98">
            <v>1.0969872059430459</v>
          </cell>
          <cell r="Q98">
            <v>0.47318443225892737</v>
          </cell>
        </row>
        <row r="99">
          <cell r="C99" t="str">
            <v>--</v>
          </cell>
          <cell r="D99" t="str">
            <v xml:space="preserve">--  </v>
          </cell>
          <cell r="E99" t="str">
            <v xml:space="preserve">--  </v>
          </cell>
          <cell r="F99" t="str">
            <v xml:space="preserve">--  </v>
          </cell>
          <cell r="G99" t="str">
            <v xml:space="preserve">--  </v>
          </cell>
          <cell r="H99" t="str">
            <v xml:space="preserve">--  </v>
          </cell>
          <cell r="I99">
            <v>1.3516875834373445</v>
          </cell>
          <cell r="J99">
            <v>0.65729876465395487</v>
          </cell>
          <cell r="K99">
            <v>0.65734786223297637</v>
          </cell>
          <cell r="L99">
            <v>0.69553583763307603</v>
          </cell>
          <cell r="M99">
            <v>0.70484176875692428</v>
          </cell>
          <cell r="N99">
            <v>0.70153993215943022</v>
          </cell>
          <cell r="O99">
            <v>0.86962870795382974</v>
          </cell>
          <cell r="P99">
            <v>0.77321299521395415</v>
          </cell>
          <cell r="Q99">
            <v>0.35322345811724692</v>
          </cell>
        </row>
        <row r="100">
          <cell r="O100">
            <v>8.1379737684601885</v>
          </cell>
          <cell r="P100">
            <v>13.595907928388748</v>
          </cell>
          <cell r="Q100">
            <v>5.2727272727272725</v>
          </cell>
        </row>
        <row r="101">
          <cell r="B101" t="str">
            <v xml:space="preserve"> Total other assets turns</v>
          </cell>
          <cell r="C101" t="str">
            <v>--</v>
          </cell>
          <cell r="D101" t="str">
            <v xml:space="preserve">--  </v>
          </cell>
          <cell r="E101" t="str">
            <v xml:space="preserve">--  </v>
          </cell>
          <cell r="F101" t="str">
            <v xml:space="preserve">--  </v>
          </cell>
          <cell r="G101" t="str">
            <v xml:space="preserve">--  </v>
          </cell>
          <cell r="H101" t="str">
            <v xml:space="preserve">--  </v>
          </cell>
          <cell r="I101" t="str">
            <v xml:space="preserve">--  </v>
          </cell>
          <cell r="J101" t="str">
            <v xml:space="preserve">--  </v>
          </cell>
          <cell r="K101" t="str">
            <v xml:space="preserve">--  </v>
          </cell>
          <cell r="L101" t="str">
            <v xml:space="preserve">--  </v>
          </cell>
          <cell r="M101" t="str">
            <v xml:space="preserve">--  </v>
          </cell>
          <cell r="N101" t="str">
            <v xml:space="preserve">--  </v>
          </cell>
          <cell r="O101" t="str">
            <v xml:space="preserve">--  </v>
          </cell>
          <cell r="P101" t="str">
            <v xml:space="preserve">--  </v>
          </cell>
          <cell r="Q101">
            <v>33.695238095238096</v>
          </cell>
        </row>
        <row r="102">
          <cell r="C102" t="str">
            <v>--</v>
          </cell>
          <cell r="D102" t="str">
            <v xml:space="preserve">--  </v>
          </cell>
          <cell r="E102" t="str">
            <v xml:space="preserve">--  </v>
          </cell>
          <cell r="F102" t="str">
            <v xml:space="preserve">--  </v>
          </cell>
          <cell r="G102" t="str">
            <v xml:space="preserve">--  </v>
          </cell>
          <cell r="H102" t="str">
            <v xml:space="preserve">--  </v>
          </cell>
          <cell r="I102">
            <v>0.67414575881452188</v>
          </cell>
          <cell r="J102">
            <v>0.6558265967335194</v>
          </cell>
          <cell r="K102">
            <v>0.66396928568664415</v>
          </cell>
          <cell r="L102">
            <v>0.69101344797913244</v>
          </cell>
          <cell r="M102">
            <v>0.68620292835669738</v>
          </cell>
          <cell r="N102">
            <v>0.68612775444701724</v>
          </cell>
          <cell r="O102">
            <v>0.86675182302849052</v>
          </cell>
          <cell r="P102">
            <v>0.7761345596301984</v>
          </cell>
          <cell r="Q102">
            <v>0.58159963518287627</v>
          </cell>
        </row>
        <row r="105">
          <cell r="O105">
            <v>5.603922563343184E-2</v>
          </cell>
          <cell r="P105">
            <v>6.5529131520807707E-2</v>
          </cell>
          <cell r="Q105">
            <v>0.13929323056813198</v>
          </cell>
        </row>
        <row r="106">
          <cell r="O106">
            <v>0.86675182302849052</v>
          </cell>
          <cell r="P106">
            <v>0.7761345596301984</v>
          </cell>
          <cell r="Q106">
            <v>0.58159963518287627</v>
          </cell>
        </row>
        <row r="107">
          <cell r="O107">
            <v>4.8572100978881962E-2</v>
          </cell>
          <cell r="P107">
            <v>5.0859423635851442E-2</v>
          </cell>
          <cell r="Q107">
            <v>8.1012892081869833E-2</v>
          </cell>
        </row>
        <row r="108">
          <cell r="O108">
            <v>-4.418739118790533E-2</v>
          </cell>
          <cell r="P108">
            <v>2.2873226569694802E-3</v>
          </cell>
          <cell r="Q108">
            <v>3.0153468446018392E-2</v>
          </cell>
        </row>
        <row r="109">
          <cell r="O109">
            <v>-1.6076694530995552E-2</v>
          </cell>
          <cell r="P109">
            <v>3.0757735034635102E-2</v>
          </cell>
          <cell r="Q109">
            <v>-0.22159311035432508</v>
          </cell>
        </row>
        <row r="112">
          <cell r="O112">
            <v>-0.47636516927511496</v>
          </cell>
          <cell r="P112">
            <v>4.7091285138436856E-2</v>
          </cell>
          <cell r="Q112">
            <v>0.59287868973731017</v>
          </cell>
        </row>
        <row r="113">
          <cell r="O113">
            <v>-7.9508636311485525E-2</v>
          </cell>
          <cell r="P113">
            <v>-6.3920170430731615E-2</v>
          </cell>
          <cell r="Q113">
            <v>1.9752604953345854E-2</v>
          </cell>
        </row>
        <row r="114">
          <cell r="O114" t="str">
            <v xml:space="preserve">  --</v>
          </cell>
          <cell r="P114" t="str">
            <v xml:space="preserve">  --</v>
          </cell>
          <cell r="Q114" t="str">
            <v xml:space="preserve">  --</v>
          </cell>
        </row>
        <row r="118">
          <cell r="O118">
            <v>1996</v>
          </cell>
          <cell r="P118">
            <v>1997</v>
          </cell>
          <cell r="Q118">
            <v>1998</v>
          </cell>
        </row>
        <row r="119">
          <cell r="O119">
            <v>12.124942298815203</v>
          </cell>
          <cell r="P119">
            <v>12.763505402160865</v>
          </cell>
          <cell r="Q119">
            <v>5.8286655683690283</v>
          </cell>
        </row>
        <row r="120">
          <cell r="O120">
            <v>30.103236040609136</v>
          </cell>
          <cell r="P120">
            <v>28.597159518434911</v>
          </cell>
          <cell r="Q120">
            <v>62.621537591859806</v>
          </cell>
        </row>
        <row r="121">
          <cell r="O121">
            <v>33.910323253388945</v>
          </cell>
          <cell r="P121">
            <v>28.930817610062892</v>
          </cell>
          <cell r="Q121">
            <v>18.900763358778626</v>
          </cell>
        </row>
        <row r="122">
          <cell r="O122">
            <v>10.763683886838869</v>
          </cell>
          <cell r="P122">
            <v>12.616304347826087</v>
          </cell>
          <cell r="Q122">
            <v>19.311389337641359</v>
          </cell>
        </row>
        <row r="123">
          <cell r="O123">
            <v>2.7088713036234902</v>
          </cell>
          <cell r="P123">
            <v>2.6151222285389424</v>
          </cell>
          <cell r="Q123">
            <v>1.9419607843137254</v>
          </cell>
        </row>
        <row r="124">
          <cell r="O124">
            <v>134.74246617466176</v>
          </cell>
          <cell r="P124">
            <v>139.57282608695652</v>
          </cell>
          <cell r="Q124">
            <v>187.95436187399031</v>
          </cell>
        </row>
        <row r="125">
          <cell r="O125">
            <v>-93.875546247213748</v>
          </cell>
          <cell r="P125">
            <v>-98.35936222069553</v>
          </cell>
          <cell r="Q125">
            <v>-106.02143494448914</v>
          </cell>
        </row>
      </sheetData>
      <sheetData sheetId="3" refreshError="1">
        <row r="1">
          <cell r="O1">
            <v>1.5736040609137057E-2</v>
          </cell>
          <cell r="P1">
            <v>2.784048156508653E-2</v>
          </cell>
          <cell r="Q1">
            <v>9.4827586206896547E-2</v>
          </cell>
        </row>
        <row r="2">
          <cell r="P2" t="str">
            <v>NOPAT Statement</v>
          </cell>
        </row>
        <row r="3">
          <cell r="O3" t="str">
            <v>P-2</v>
          </cell>
          <cell r="P3" t="str">
            <v>P-1</v>
          </cell>
          <cell r="Q3" t="str">
            <v>Present (P)</v>
          </cell>
        </row>
        <row r="4">
          <cell r="O4">
            <v>1996</v>
          </cell>
          <cell r="P4">
            <v>1997</v>
          </cell>
          <cell r="Q4">
            <v>1998</v>
          </cell>
        </row>
        <row r="5"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1124.8</v>
          </cell>
          <cell r="J5">
            <v>1112.7</v>
          </cell>
          <cell r="K5">
            <v>1229.5999999999999</v>
          </cell>
          <cell r="L5">
            <v>1393.5</v>
          </cell>
          <cell r="M5">
            <v>1506.2</v>
          </cell>
          <cell r="N5">
            <v>1649.4</v>
          </cell>
          <cell r="O5">
            <v>3940</v>
          </cell>
          <cell r="P5">
            <v>5316</v>
          </cell>
          <cell r="Q5">
            <v>1769</v>
          </cell>
        </row>
        <row r="6"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1124.8</v>
          </cell>
          <cell r="J8">
            <v>1112.7</v>
          </cell>
          <cell r="K8">
            <v>1229.5999999999999</v>
          </cell>
          <cell r="L8">
            <v>1393.5</v>
          </cell>
          <cell r="M8">
            <v>1506.2</v>
          </cell>
          <cell r="N8">
            <v>1649.4</v>
          </cell>
          <cell r="O8">
            <v>3940</v>
          </cell>
          <cell r="P8">
            <v>5316</v>
          </cell>
          <cell r="Q8">
            <v>1769</v>
          </cell>
        </row>
        <row r="9"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471.3</v>
          </cell>
          <cell r="J9">
            <v>494.2</v>
          </cell>
          <cell r="K9">
            <v>507.8</v>
          </cell>
          <cell r="L9">
            <v>572.4</v>
          </cell>
          <cell r="M9">
            <v>604.5</v>
          </cell>
          <cell r="N9">
            <v>650.70000000000005</v>
          </cell>
          <cell r="O9">
            <v>1626</v>
          </cell>
          <cell r="P9">
            <v>2300</v>
          </cell>
          <cell r="Q9">
            <v>1238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653.5</v>
          </cell>
          <cell r="J10">
            <v>618.5</v>
          </cell>
          <cell r="K10">
            <v>721.8</v>
          </cell>
          <cell r="L10">
            <v>821.1</v>
          </cell>
          <cell r="M10">
            <v>901.7</v>
          </cell>
          <cell r="N10">
            <v>998.7</v>
          </cell>
          <cell r="O10">
            <v>2314</v>
          </cell>
          <cell r="P10">
            <v>3016</v>
          </cell>
          <cell r="Q10">
            <v>531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431.7</v>
          </cell>
          <cell r="J12">
            <v>433.7</v>
          </cell>
          <cell r="K12">
            <v>501.9</v>
          </cell>
          <cell r="L12">
            <v>581.20000000000005</v>
          </cell>
          <cell r="M12">
            <v>624.79999999999995</v>
          </cell>
          <cell r="N12">
            <v>645.1</v>
          </cell>
          <cell r="O12">
            <v>1963</v>
          </cell>
          <cell r="P12">
            <v>2420</v>
          </cell>
          <cell r="Q12">
            <v>67</v>
          </cell>
        </row>
        <row r="13">
          <cell r="O13">
            <v>5</v>
          </cell>
          <cell r="P13">
            <v>11</v>
          </cell>
          <cell r="Q13">
            <v>12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</row>
        <row r="15">
          <cell r="O15">
            <v>3594</v>
          </cell>
          <cell r="P15">
            <v>4731</v>
          </cell>
          <cell r="Q15">
            <v>1317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221.79999999999995</v>
          </cell>
          <cell r="J17">
            <v>184.80000000000007</v>
          </cell>
          <cell r="K17">
            <v>219.89999999999986</v>
          </cell>
          <cell r="L17">
            <v>239.90000000000009</v>
          </cell>
          <cell r="M17">
            <v>275.30000000000018</v>
          </cell>
          <cell r="N17">
            <v>348.69999999999982</v>
          </cell>
          <cell r="O17">
            <v>346</v>
          </cell>
          <cell r="P17">
            <v>585</v>
          </cell>
          <cell r="Q17">
            <v>452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32.299999999999997</v>
          </cell>
          <cell r="P18">
            <v>32.299999999999997</v>
          </cell>
          <cell r="Q18">
            <v>0</v>
          </cell>
        </row>
        <row r="19">
          <cell r="O19">
            <v>378.3</v>
          </cell>
          <cell r="P19">
            <v>617.29999999999995</v>
          </cell>
          <cell r="Q19">
            <v>452</v>
          </cell>
        </row>
        <row r="21">
          <cell r="O21">
            <v>0</v>
          </cell>
          <cell r="P21">
            <v>0</v>
          </cell>
          <cell r="Q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2.1189331008930297</v>
          </cell>
          <cell r="J23">
            <v>3.1263928516807868</v>
          </cell>
          <cell r="K23">
            <v>2.8181430792936242</v>
          </cell>
          <cell r="L23">
            <v>2.5460679561258366</v>
          </cell>
          <cell r="M23">
            <v>2.6207551845861397</v>
          </cell>
          <cell r="N23">
            <v>5.0916344456214908</v>
          </cell>
          <cell r="O23">
            <v>7.5228963902500672</v>
          </cell>
          <cell r="P23">
            <v>9.4124048117449775</v>
          </cell>
          <cell r="Q23">
            <v>9.2414238906473862</v>
          </cell>
        </row>
        <row r="24">
          <cell r="O24">
            <v>7.5228963902500672</v>
          </cell>
          <cell r="P24">
            <v>9.4124048117449775</v>
          </cell>
          <cell r="Q24">
            <v>9.2414238906473862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223.91893310089299</v>
          </cell>
          <cell r="J26">
            <v>187.92639285168084</v>
          </cell>
          <cell r="K26">
            <v>222.7181430792935</v>
          </cell>
          <cell r="L26">
            <v>242.44606795612592</v>
          </cell>
          <cell r="M26">
            <v>277.92075518458631</v>
          </cell>
          <cell r="N26">
            <v>353.7916344456213</v>
          </cell>
          <cell r="O26">
            <v>385.82289639025009</v>
          </cell>
          <cell r="P26">
            <v>626.71240481174493</v>
          </cell>
          <cell r="Q26">
            <v>461.24142389064741</v>
          </cell>
        </row>
        <row r="28">
          <cell r="O28">
            <v>0</v>
          </cell>
          <cell r="P28">
            <v>0</v>
          </cell>
          <cell r="Q28">
            <v>0</v>
          </cell>
        </row>
        <row r="29">
          <cell r="O29">
            <v>0</v>
          </cell>
          <cell r="P29">
            <v>0</v>
          </cell>
          <cell r="Q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223.91893310089299</v>
          </cell>
          <cell r="J32">
            <v>187.92639285168084</v>
          </cell>
          <cell r="K32">
            <v>222.7181430792935</v>
          </cell>
          <cell r="L32">
            <v>242.44606795612592</v>
          </cell>
          <cell r="M32">
            <v>277.92075518458631</v>
          </cell>
          <cell r="N32">
            <v>353.7916344456213</v>
          </cell>
          <cell r="O32">
            <v>385.82289639025009</v>
          </cell>
          <cell r="P32">
            <v>626.71240481174493</v>
          </cell>
          <cell r="Q32">
            <v>461.24142389064741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54.6</v>
          </cell>
          <cell r="J34">
            <v>38.6</v>
          </cell>
          <cell r="K34">
            <v>55.2</v>
          </cell>
          <cell r="L34">
            <v>58.2</v>
          </cell>
          <cell r="M34">
            <v>77.599999999999994</v>
          </cell>
          <cell r="N34">
            <v>102.6</v>
          </cell>
          <cell r="O34">
            <v>106</v>
          </cell>
          <cell r="P34">
            <v>187</v>
          </cell>
          <cell r="Q34">
            <v>136</v>
          </cell>
          <cell r="R34">
            <v>143.16508469707341</v>
          </cell>
          <cell r="S34">
            <v>162.98314744383507</v>
          </cell>
          <cell r="T34">
            <v>179.22099450692477</v>
          </cell>
        </row>
        <row r="35">
          <cell r="O35">
            <v>8.9007633587786259</v>
          </cell>
          <cell r="P35">
            <v>0</v>
          </cell>
          <cell r="Q35">
            <v>1.9411239964317573</v>
          </cell>
        </row>
        <row r="36">
          <cell r="O36">
            <v>25.083969465648856</v>
          </cell>
          <cell r="P36">
            <v>63.331807780320368</v>
          </cell>
          <cell r="Q36">
            <v>81.40588760035682</v>
          </cell>
        </row>
        <row r="37">
          <cell r="O37">
            <v>3.0436145701011723</v>
          </cell>
          <cell r="P37">
            <v>4.0277338668107801</v>
          </cell>
          <cell r="Q37">
            <v>4.4846874188333432</v>
          </cell>
        </row>
        <row r="38">
          <cell r="O38">
            <v>-22</v>
          </cell>
          <cell r="P38">
            <v>-24</v>
          </cell>
          <cell r="Q38">
            <v>9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83.465611892930937</v>
          </cell>
          <cell r="J39">
            <v>63.223260895645872</v>
          </cell>
          <cell r="K39">
            <v>91.672416706329429</v>
          </cell>
          <cell r="L39">
            <v>94.296464605634057</v>
          </cell>
          <cell r="M39">
            <v>129.01199499409873</v>
          </cell>
          <cell r="N39">
            <v>130.80472655817272</v>
          </cell>
          <cell r="O39">
            <v>165.02834739452865</v>
          </cell>
          <cell r="P39">
            <v>278.35954164713115</v>
          </cell>
          <cell r="Q39">
            <v>214.83169901562195</v>
          </cell>
          <cell r="R39">
            <v>205.0000065720734</v>
          </cell>
          <cell r="S39">
            <v>225.91564744383507</v>
          </cell>
          <cell r="T39">
            <v>245.14945259075711</v>
          </cell>
          <cell r="V39">
            <v>0.42458993855494331</v>
          </cell>
        </row>
        <row r="40">
          <cell r="O40">
            <v>0.42773082919269428</v>
          </cell>
          <cell r="P40">
            <v>0.44415834042848762</v>
          </cell>
          <cell r="Q40">
            <v>0.46576844118527161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140.45332120796206</v>
          </cell>
          <cell r="J41">
            <v>124.70313195603498</v>
          </cell>
          <cell r="K41">
            <v>131.04572637296405</v>
          </cell>
          <cell r="L41">
            <v>148.14960335049187</v>
          </cell>
          <cell r="M41">
            <v>148.90876019048758</v>
          </cell>
          <cell r="N41">
            <v>222.98690788744858</v>
          </cell>
          <cell r="O41">
            <v>220.79454899572144</v>
          </cell>
          <cell r="P41">
            <v>348.35286316461378</v>
          </cell>
          <cell r="Q41">
            <v>246.40972487502546</v>
          </cell>
        </row>
        <row r="43">
          <cell r="O43">
            <v>82</v>
          </cell>
          <cell r="P43">
            <v>250</v>
          </cell>
          <cell r="Q43">
            <v>297</v>
          </cell>
        </row>
        <row r="44">
          <cell r="O44">
            <v>0</v>
          </cell>
          <cell r="P44">
            <v>0</v>
          </cell>
          <cell r="Q44">
            <v>0</v>
          </cell>
        </row>
        <row r="45">
          <cell r="O45">
            <v>7.5228963902500672</v>
          </cell>
          <cell r="P45">
            <v>9.4124048117449775</v>
          </cell>
          <cell r="Q45">
            <v>9.2414238906473862</v>
          </cell>
        </row>
        <row r="46">
          <cell r="O46">
            <v>89.522896390250068</v>
          </cell>
          <cell r="P46">
            <v>259.41240481174498</v>
          </cell>
          <cell r="Q46">
            <v>306.24142389064741</v>
          </cell>
        </row>
        <row r="48"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-4</v>
          </cell>
        </row>
        <row r="49">
          <cell r="O49">
            <v>0</v>
          </cell>
          <cell r="P49">
            <v>0</v>
          </cell>
          <cell r="Q49">
            <v>0</v>
          </cell>
        </row>
        <row r="50">
          <cell r="O50">
            <v>22</v>
          </cell>
          <cell r="P50">
            <v>0</v>
          </cell>
          <cell r="Q50">
            <v>0</v>
          </cell>
        </row>
        <row r="51">
          <cell r="O51">
            <v>-22</v>
          </cell>
          <cell r="P51">
            <v>-24</v>
          </cell>
          <cell r="Q51">
            <v>9</v>
          </cell>
        </row>
        <row r="52">
          <cell r="O52">
            <v>0</v>
          </cell>
          <cell r="P52">
            <v>0</v>
          </cell>
          <cell r="Q52">
            <v>0</v>
          </cell>
        </row>
        <row r="53">
          <cell r="O53">
            <v>0</v>
          </cell>
          <cell r="P53">
            <v>0</v>
          </cell>
          <cell r="Q53">
            <v>0</v>
          </cell>
        </row>
        <row r="54">
          <cell r="O54">
            <v>32.299999999999997</v>
          </cell>
          <cell r="P54">
            <v>32.299999999999997</v>
          </cell>
          <cell r="Q54">
            <v>0</v>
          </cell>
        </row>
        <row r="55">
          <cell r="O55">
            <v>32.299999999999997</v>
          </cell>
          <cell r="P55">
            <v>8.2999999999999972</v>
          </cell>
          <cell r="Q55">
            <v>13</v>
          </cell>
        </row>
        <row r="57">
          <cell r="O57">
            <v>121.82289639025007</v>
          </cell>
          <cell r="P57">
            <v>267.71240481174499</v>
          </cell>
          <cell r="Q57">
            <v>319.24142389064741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0.5</v>
          </cell>
          <cell r="K58">
            <v>0.9</v>
          </cell>
          <cell r="L58">
            <v>0</v>
          </cell>
          <cell r="M58">
            <v>1.1000000000000001</v>
          </cell>
          <cell r="N58">
            <v>1.5</v>
          </cell>
          <cell r="O58">
            <v>0</v>
          </cell>
          <cell r="P58">
            <v>0</v>
          </cell>
          <cell r="Q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5.8</v>
          </cell>
          <cell r="M59">
            <v>0.7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</row>
        <row r="60">
          <cell r="O60">
            <v>74</v>
          </cell>
          <cell r="P60">
            <v>0</v>
          </cell>
          <cell r="Q60">
            <v>-152.75</v>
          </cell>
        </row>
        <row r="61">
          <cell r="O61">
            <v>0</v>
          </cell>
          <cell r="P61">
            <v>0</v>
          </cell>
          <cell r="Q61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54.7</v>
          </cell>
          <cell r="J63">
            <v>62.4</v>
          </cell>
          <cell r="K63">
            <v>61.7</v>
          </cell>
          <cell r="L63">
            <v>73.2</v>
          </cell>
          <cell r="M63">
            <v>76.400000000000006</v>
          </cell>
          <cell r="N63">
            <v>74.8</v>
          </cell>
          <cell r="O63">
            <v>62</v>
          </cell>
          <cell r="P63">
            <v>148</v>
          </cell>
          <cell r="Q63">
            <v>167.75</v>
          </cell>
        </row>
        <row r="64">
          <cell r="O64">
            <v>8.9007633587786259</v>
          </cell>
          <cell r="P64">
            <v>0</v>
          </cell>
          <cell r="Q64">
            <v>1.9411239964317573</v>
          </cell>
        </row>
        <row r="65">
          <cell r="O65">
            <v>3.0436145701011723</v>
          </cell>
          <cell r="P65">
            <v>4.0277338668107801</v>
          </cell>
          <cell r="Q65">
            <v>4.4846874188333432</v>
          </cell>
        </row>
        <row r="66">
          <cell r="O66">
            <v>25.083969465648856</v>
          </cell>
          <cell r="P66">
            <v>63.331807780320368</v>
          </cell>
          <cell r="Q66">
            <v>81.40588760035682</v>
          </cell>
        </row>
        <row r="67">
          <cell r="O67">
            <v>24.971652605471345</v>
          </cell>
          <cell r="P67">
            <v>80.640458352868862</v>
          </cell>
          <cell r="Q67">
            <v>79.918300984378078</v>
          </cell>
        </row>
        <row r="69">
          <cell r="O69">
            <v>220.79454899572141</v>
          </cell>
          <cell r="P69">
            <v>348.35286316461384</v>
          </cell>
          <cell r="Q69">
            <v>246.40972487502552</v>
          </cell>
        </row>
        <row r="71">
          <cell r="O71" t="str">
            <v>P-2</v>
          </cell>
          <cell r="P71" t="str">
            <v>P-1</v>
          </cell>
          <cell r="Q71" t="str">
            <v>Present (P)</v>
          </cell>
        </row>
        <row r="72">
          <cell r="O72">
            <v>1996</v>
          </cell>
          <cell r="P72">
            <v>1997</v>
          </cell>
          <cell r="Q72">
            <v>1998</v>
          </cell>
        </row>
        <row r="73">
          <cell r="O73">
            <v>3940</v>
          </cell>
          <cell r="P73">
            <v>5316</v>
          </cell>
          <cell r="Q73">
            <v>1769</v>
          </cell>
        </row>
        <row r="74">
          <cell r="O74">
            <v>0</v>
          </cell>
          <cell r="P74">
            <v>0</v>
          </cell>
          <cell r="Q74">
            <v>0</v>
          </cell>
        </row>
        <row r="75">
          <cell r="O75">
            <v>0</v>
          </cell>
          <cell r="P75">
            <v>0</v>
          </cell>
          <cell r="Q75">
            <v>0</v>
          </cell>
        </row>
        <row r="76">
          <cell r="O76">
            <v>3940</v>
          </cell>
          <cell r="P76">
            <v>5316</v>
          </cell>
          <cell r="Q76">
            <v>1769</v>
          </cell>
        </row>
        <row r="77">
          <cell r="O77">
            <v>1626</v>
          </cell>
          <cell r="P77">
            <v>2300</v>
          </cell>
          <cell r="Q77">
            <v>1238</v>
          </cell>
        </row>
        <row r="78">
          <cell r="O78">
            <v>2314</v>
          </cell>
          <cell r="P78">
            <v>3016</v>
          </cell>
          <cell r="Q78">
            <v>531</v>
          </cell>
        </row>
        <row r="79">
          <cell r="O79">
            <v>1963</v>
          </cell>
          <cell r="P79">
            <v>2420</v>
          </cell>
          <cell r="Q79">
            <v>67</v>
          </cell>
        </row>
        <row r="80">
          <cell r="O80">
            <v>5</v>
          </cell>
          <cell r="P80">
            <v>11</v>
          </cell>
          <cell r="Q80">
            <v>12</v>
          </cell>
        </row>
        <row r="81">
          <cell r="O81">
            <v>0</v>
          </cell>
          <cell r="P81">
            <v>0</v>
          </cell>
          <cell r="Q81">
            <v>0</v>
          </cell>
        </row>
        <row r="82">
          <cell r="O82">
            <v>3594</v>
          </cell>
          <cell r="P82">
            <v>4731</v>
          </cell>
          <cell r="Q82">
            <v>1317</v>
          </cell>
        </row>
        <row r="84">
          <cell r="O84">
            <v>346</v>
          </cell>
          <cell r="P84">
            <v>585</v>
          </cell>
          <cell r="Q84">
            <v>452</v>
          </cell>
        </row>
        <row r="85">
          <cell r="O85">
            <v>0</v>
          </cell>
          <cell r="P85">
            <v>0</v>
          </cell>
          <cell r="Q85">
            <v>-4</v>
          </cell>
        </row>
        <row r="86">
          <cell r="O86">
            <v>62</v>
          </cell>
          <cell r="P86">
            <v>148</v>
          </cell>
          <cell r="Q86">
            <v>167.75</v>
          </cell>
        </row>
        <row r="87">
          <cell r="O87">
            <v>22</v>
          </cell>
          <cell r="P87">
            <v>0</v>
          </cell>
          <cell r="Q87">
            <v>0</v>
          </cell>
        </row>
        <row r="88">
          <cell r="O88">
            <v>0</v>
          </cell>
          <cell r="P88">
            <v>0</v>
          </cell>
          <cell r="Q88">
            <v>0</v>
          </cell>
        </row>
        <row r="89">
          <cell r="O89">
            <v>0</v>
          </cell>
          <cell r="P89">
            <v>0</v>
          </cell>
          <cell r="Q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167.09999999999997</v>
          </cell>
          <cell r="J90">
            <v>122.90000000000006</v>
          </cell>
          <cell r="K90">
            <v>159.09999999999988</v>
          </cell>
          <cell r="L90">
            <v>160.90000000000009</v>
          </cell>
          <cell r="M90">
            <v>199.30000000000018</v>
          </cell>
          <cell r="N90">
            <v>275.39999999999981</v>
          </cell>
          <cell r="O90">
            <v>262</v>
          </cell>
          <cell r="P90">
            <v>437</v>
          </cell>
          <cell r="Q90">
            <v>280.25</v>
          </cell>
        </row>
        <row r="91">
          <cell r="O91">
            <v>106</v>
          </cell>
          <cell r="P91">
            <v>187</v>
          </cell>
          <cell r="Q91">
            <v>136</v>
          </cell>
        </row>
        <row r="92">
          <cell r="O92">
            <v>74</v>
          </cell>
          <cell r="P92">
            <v>0</v>
          </cell>
          <cell r="Q92">
            <v>-152.75</v>
          </cell>
        </row>
        <row r="93">
          <cell r="O93">
            <v>0</v>
          </cell>
          <cell r="P93">
            <v>0</v>
          </cell>
          <cell r="Q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112.49999999999997</v>
          </cell>
          <cell r="J94">
            <v>84.300000000000068</v>
          </cell>
          <cell r="K94">
            <v>103.89999999999988</v>
          </cell>
          <cell r="L94">
            <v>106.10000000000009</v>
          </cell>
          <cell r="M94">
            <v>121.70000000000019</v>
          </cell>
          <cell r="N94">
            <v>172.79999999999981</v>
          </cell>
          <cell r="O94">
            <v>82</v>
          </cell>
          <cell r="P94">
            <v>250</v>
          </cell>
          <cell r="Q94">
            <v>297</v>
          </cell>
        </row>
        <row r="95">
          <cell r="O95">
            <v>1057.98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0.58752872362648834</v>
          </cell>
          <cell r="J96">
            <v>0.44361416618428706</v>
          </cell>
          <cell r="K96">
            <v>0.54566461845491243</v>
          </cell>
          <cell r="L96">
            <v>0.55529387135604802</v>
          </cell>
          <cell r="M96">
            <v>0.63425057327496448</v>
          </cell>
          <cell r="N96">
            <v>0.89552238805970052</v>
          </cell>
          <cell r="O96">
            <v>0.41208100909593443</v>
          </cell>
          <cell r="P96">
            <v>1.001401962747847</v>
          </cell>
          <cell r="Q96">
            <v>1.1200000000000001</v>
          </cell>
        </row>
        <row r="97">
          <cell r="O97">
            <v>0.42773082919269428</v>
          </cell>
          <cell r="P97">
            <v>0.44415834042848762</v>
          </cell>
          <cell r="Q97">
            <v>0.46576844118527161</v>
          </cell>
        </row>
        <row r="98">
          <cell r="O98">
            <v>0.40458015267175573</v>
          </cell>
          <cell r="P98">
            <v>0.42791762013729978</v>
          </cell>
          <cell r="Q98">
            <v>0.48528099910793931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95.7</v>
          </cell>
          <cell r="J100">
            <v>104.8</v>
          </cell>
          <cell r="K100">
            <v>109.3</v>
          </cell>
          <cell r="L100">
            <v>118.9</v>
          </cell>
          <cell r="M100">
            <v>133.30000000000001</v>
          </cell>
          <cell r="N100">
            <v>141.9</v>
          </cell>
          <cell r="O100">
            <v>178</v>
          </cell>
          <cell r="P100">
            <v>300</v>
          </cell>
          <cell r="Q100">
            <v>125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221.79999999999995</v>
          </cell>
          <cell r="J101">
            <v>184.80000000000007</v>
          </cell>
          <cell r="K101">
            <v>219.89999999999986</v>
          </cell>
          <cell r="L101">
            <v>239.90000000000009</v>
          </cell>
          <cell r="M101">
            <v>275.30000000000018</v>
          </cell>
          <cell r="N101">
            <v>348.69999999999982</v>
          </cell>
          <cell r="O101">
            <v>378.3</v>
          </cell>
          <cell r="P101">
            <v>617.29999999999995</v>
          </cell>
          <cell r="Q101">
            <v>452</v>
          </cell>
        </row>
        <row r="102"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317.49999999999994</v>
          </cell>
          <cell r="J102">
            <v>289.60000000000008</v>
          </cell>
          <cell r="K102">
            <v>329.19999999999987</v>
          </cell>
          <cell r="L102">
            <v>358.80000000000007</v>
          </cell>
          <cell r="M102">
            <v>408.60000000000019</v>
          </cell>
          <cell r="N102">
            <v>490.5999999999998</v>
          </cell>
          <cell r="O102">
            <v>524</v>
          </cell>
          <cell r="P102">
            <v>885</v>
          </cell>
          <cell r="Q102">
            <v>577</v>
          </cell>
        </row>
        <row r="103">
          <cell r="O103">
            <v>1448</v>
          </cell>
          <cell r="P103">
            <v>2000</v>
          </cell>
          <cell r="Q103">
            <v>1113</v>
          </cell>
        </row>
        <row r="104"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95.7</v>
          </cell>
          <cell r="J104">
            <v>104.8</v>
          </cell>
          <cell r="K104">
            <v>109.3</v>
          </cell>
          <cell r="L104">
            <v>118.9</v>
          </cell>
          <cell r="M104">
            <v>133.30000000000001</v>
          </cell>
          <cell r="N104">
            <v>141.9</v>
          </cell>
          <cell r="O104">
            <v>145.69999999999999</v>
          </cell>
          <cell r="P104">
            <v>267.7</v>
          </cell>
          <cell r="Q104">
            <v>125</v>
          </cell>
        </row>
        <row r="105">
          <cell r="O105">
            <v>32.299999999999997</v>
          </cell>
          <cell r="P105">
            <v>32.299999999999997</v>
          </cell>
          <cell r="Q105">
            <v>-64.599999999999994</v>
          </cell>
        </row>
        <row r="108">
          <cell r="O108">
            <v>0.58730964467005076</v>
          </cell>
          <cell r="P108">
            <v>0.5673438675696012</v>
          </cell>
          <cell r="Q108">
            <v>0.30016958733747878</v>
          </cell>
        </row>
        <row r="109">
          <cell r="C109" t="str">
            <v xml:space="preserve">--  </v>
          </cell>
          <cell r="D109" t="str">
            <v xml:space="preserve">--  </v>
          </cell>
          <cell r="E109" t="str">
            <v xml:space="preserve">--  </v>
          </cell>
          <cell r="F109" t="str">
            <v xml:space="preserve">--  </v>
          </cell>
          <cell r="G109" t="str">
            <v xml:space="preserve">--  </v>
          </cell>
          <cell r="H109" t="str">
            <v xml:space="preserve">--  </v>
          </cell>
          <cell r="I109">
            <v>0.28227240398293024</v>
          </cell>
          <cell r="J109">
            <v>0.26026781702165908</v>
          </cell>
          <cell r="K109">
            <v>0.26772934287573186</v>
          </cell>
          <cell r="L109">
            <v>0.25748116254036602</v>
          </cell>
          <cell r="M109">
            <v>0.27127871464612946</v>
          </cell>
          <cell r="N109">
            <v>0.29744149387656105</v>
          </cell>
          <cell r="O109">
            <v>0.13299492385786801</v>
          </cell>
          <cell r="P109">
            <v>0.1664785553047404</v>
          </cell>
          <cell r="Q109">
            <v>0.32617297908422838</v>
          </cell>
        </row>
        <row r="110">
          <cell r="O110">
            <v>9.601522842639594E-2</v>
          </cell>
          <cell r="P110">
            <v>0.1161211437170805</v>
          </cell>
          <cell r="Q110">
            <v>0.25551158846806105</v>
          </cell>
        </row>
        <row r="111">
          <cell r="C111" t="str">
            <v xml:space="preserve">--  </v>
          </cell>
          <cell r="D111" t="str">
            <v xml:space="preserve">--  </v>
          </cell>
          <cell r="E111" t="str">
            <v xml:space="preserve">--  </v>
          </cell>
          <cell r="F111" t="str">
            <v xml:space="preserve">--  </v>
          </cell>
          <cell r="G111" t="str">
            <v xml:space="preserve">--  </v>
          </cell>
          <cell r="H111" t="str">
            <v xml:space="preserve">--  </v>
          </cell>
          <cell r="I111">
            <v>0.19719061166429586</v>
          </cell>
          <cell r="J111">
            <v>0.16608250202210845</v>
          </cell>
          <cell r="K111">
            <v>0.17883864671437857</v>
          </cell>
          <cell r="L111">
            <v>0.17215644061715113</v>
          </cell>
          <cell r="M111">
            <v>0.18277785154693943</v>
          </cell>
          <cell r="N111">
            <v>0.21141020977325076</v>
          </cell>
          <cell r="O111">
            <v>8.7817258883248733E-2</v>
          </cell>
          <cell r="P111">
            <v>0.1100451467268623</v>
          </cell>
          <cell r="Q111">
            <v>0.25551158846806105</v>
          </cell>
        </row>
        <row r="112">
          <cell r="C112" t="str">
            <v xml:space="preserve">--  </v>
          </cell>
          <cell r="D112" t="str">
            <v xml:space="preserve">--  </v>
          </cell>
          <cell r="E112" t="str">
            <v xml:space="preserve">--  </v>
          </cell>
          <cell r="F112" t="str">
            <v xml:space="preserve">--  </v>
          </cell>
          <cell r="G112" t="str">
            <v xml:space="preserve">--  </v>
          </cell>
          <cell r="H112" t="str">
            <v xml:space="preserve">--  </v>
          </cell>
          <cell r="I112">
            <v>0.12486959566852958</v>
          </cell>
          <cell r="J112">
            <v>0.1120725550067718</v>
          </cell>
          <cell r="K112">
            <v>0.10657589978282699</v>
          </cell>
          <cell r="L112">
            <v>0.1063147494441994</v>
          </cell>
          <cell r="M112">
            <v>9.8863869466530058E-2</v>
          </cell>
          <cell r="N112">
            <v>0.13519274153476935</v>
          </cell>
          <cell r="O112">
            <v>5.603922563343184E-2</v>
          </cell>
          <cell r="P112">
            <v>6.5529131520807707E-2</v>
          </cell>
          <cell r="Q112">
            <v>0.13929323056813198</v>
          </cell>
        </row>
        <row r="113">
          <cell r="C113" t="str">
            <v xml:space="preserve">--  </v>
          </cell>
          <cell r="D113" t="str">
            <v xml:space="preserve">--  </v>
          </cell>
          <cell r="E113" t="str">
            <v xml:space="preserve">--  </v>
          </cell>
          <cell r="F113" t="str">
            <v xml:space="preserve">--  </v>
          </cell>
          <cell r="G113" t="str">
            <v xml:space="preserve">--  </v>
          </cell>
          <cell r="H113" t="str">
            <v xml:space="preserve">--  </v>
          </cell>
          <cell r="I113">
            <v>0.10001778093883355</v>
          </cell>
          <cell r="J113">
            <v>7.5761660825020283E-2</v>
          </cell>
          <cell r="K113">
            <v>8.4499024072869133E-2</v>
          </cell>
          <cell r="L113">
            <v>7.6139217796914307E-2</v>
          </cell>
          <cell r="M113">
            <v>8.0799362634444413E-2</v>
          </cell>
          <cell r="N113">
            <v>0.10476536922517267</v>
          </cell>
          <cell r="O113">
            <v>2.081218274111675E-2</v>
          </cell>
          <cell r="P113">
            <v>4.7027840481565088E-2</v>
          </cell>
          <cell r="Q113">
            <v>0.16789146410401357</v>
          </cell>
        </row>
        <row r="114">
          <cell r="O114">
            <v>0.4982233502538071</v>
          </cell>
          <cell r="P114">
            <v>0.45522949586155004</v>
          </cell>
          <cell r="Q114">
            <v>3.7874505370265689E-2</v>
          </cell>
        </row>
        <row r="115">
          <cell r="O115">
            <v>3.697969543147208E-2</v>
          </cell>
          <cell r="P115">
            <v>5.0357411587659891E-2</v>
          </cell>
          <cell r="Q115">
            <v>7.066139061616733E-2</v>
          </cell>
        </row>
        <row r="119">
          <cell r="O119">
            <v>5.603922563343184E-2</v>
          </cell>
          <cell r="P119">
            <v>6.5529131520807707E-2</v>
          </cell>
          <cell r="Q119">
            <v>0.13929323056813198</v>
          </cell>
        </row>
        <row r="120">
          <cell r="O120">
            <v>0.86675182302849052</v>
          </cell>
          <cell r="P120">
            <v>0.7761345596301984</v>
          </cell>
          <cell r="Q120">
            <v>0.58159963518287627</v>
          </cell>
        </row>
        <row r="121">
          <cell r="O121">
            <v>4.8572100978881962E-2</v>
          </cell>
          <cell r="P121">
            <v>5.0859423635851442E-2</v>
          </cell>
          <cell r="Q121">
            <v>8.1012892081869833E-2</v>
          </cell>
        </row>
        <row r="122">
          <cell r="O122">
            <v>-1.6076694530995552E-2</v>
          </cell>
          <cell r="P122">
            <v>3.0757735034635102E-2</v>
          </cell>
          <cell r="Q122">
            <v>-0.22159311035432508</v>
          </cell>
        </row>
        <row r="123">
          <cell r="O123">
            <v>-4.418739118790533E-2</v>
          </cell>
          <cell r="P123">
            <v>2.2873226569694802E-3</v>
          </cell>
          <cell r="Q123">
            <v>3.0153468446018392E-2</v>
          </cell>
        </row>
        <row r="124">
          <cell r="O124">
            <v>-202.86028287863584</v>
          </cell>
          <cell r="P124">
            <v>-263.15997373359465</v>
          </cell>
          <cell r="Q124">
            <v>32.318173465499569</v>
          </cell>
        </row>
        <row r="125">
          <cell r="O125">
            <v>-197.03669331930143</v>
          </cell>
          <cell r="P125">
            <v>-60.299690854958811</v>
          </cell>
          <cell r="Q125">
            <v>295.47814719909422</v>
          </cell>
        </row>
        <row r="128">
          <cell r="O128">
            <v>12.124942298815203</v>
          </cell>
          <cell r="P128">
            <v>12.763505402160865</v>
          </cell>
          <cell r="Q128">
            <v>5.8286655683690283</v>
          </cell>
        </row>
        <row r="129">
          <cell r="O129">
            <v>82.168925964546403</v>
          </cell>
          <cell r="P129">
            <v>66.867924528301884</v>
          </cell>
          <cell r="Q129">
            <v>27.007633587786259</v>
          </cell>
        </row>
        <row r="130">
          <cell r="O130">
            <v>262.00292592100044</v>
          </cell>
          <cell r="P130">
            <v>-205.40958268933542</v>
          </cell>
          <cell r="Q130">
            <v>-9827.7777777774045</v>
          </cell>
        </row>
        <row r="131">
          <cell r="O131">
            <v>1.2324246547490578</v>
          </cell>
          <cell r="P131">
            <v>1.0969872059430459</v>
          </cell>
          <cell r="Q131">
            <v>0.47318443225892737</v>
          </cell>
        </row>
        <row r="132">
          <cell r="O132">
            <v>0.86962870795382974</v>
          </cell>
          <cell r="P132">
            <v>0.77321299521395415</v>
          </cell>
          <cell r="Q132">
            <v>0.35322345811724692</v>
          </cell>
        </row>
        <row r="133">
          <cell r="O133">
            <v>8.1379737684601885</v>
          </cell>
          <cell r="P133">
            <v>13.595907928388748</v>
          </cell>
          <cell r="Q133">
            <v>5.2727272727272725</v>
          </cell>
        </row>
        <row r="134">
          <cell r="O134" t="str">
            <v xml:space="preserve">--  </v>
          </cell>
          <cell r="P134" t="str">
            <v xml:space="preserve">--  </v>
          </cell>
          <cell r="Q134">
            <v>33.695238095238096</v>
          </cell>
        </row>
        <row r="135">
          <cell r="O135">
            <v>0.86675182302849052</v>
          </cell>
          <cell r="P135">
            <v>0.7761345596301984</v>
          </cell>
          <cell r="Q135">
            <v>0.58159963518287627</v>
          </cell>
        </row>
        <row r="138">
          <cell r="O138">
            <v>1.3887474233054442</v>
          </cell>
          <cell r="P138">
            <v>0.34923857868020303</v>
          </cell>
          <cell r="Q138">
            <v>-0.66723100075244546</v>
          </cell>
        </row>
        <row r="139">
          <cell r="O139" t="str">
            <v xml:space="preserve">--  </v>
          </cell>
          <cell r="P139" t="str">
            <v xml:space="preserve">--  </v>
          </cell>
          <cell r="Q139" t="str">
            <v xml:space="preserve">--  </v>
          </cell>
        </row>
        <row r="140">
          <cell r="O140">
            <v>1.3887474233054442</v>
          </cell>
          <cell r="P140">
            <v>0.34923857868020303</v>
          </cell>
          <cell r="Q140">
            <v>-0.66723100075244546</v>
          </cell>
        </row>
        <row r="141">
          <cell r="O141">
            <v>-0.52546296296296247</v>
          </cell>
          <cell r="P141">
            <v>2.0487804878048781</v>
          </cell>
          <cell r="Q141">
            <v>0.188</v>
          </cell>
        </row>
        <row r="142">
          <cell r="O142">
            <v>6.8079902160620098E-2</v>
          </cell>
          <cell r="P142">
            <v>0.68893129770992367</v>
          </cell>
          <cell r="Q142">
            <v>-0.34802259887005649</v>
          </cell>
        </row>
        <row r="143">
          <cell r="O143">
            <v>-7.7430455979346701E-3</v>
          </cell>
          <cell r="P143">
            <v>0.69075144508670516</v>
          </cell>
          <cell r="Q143">
            <v>-0.22735042735042735</v>
          </cell>
        </row>
        <row r="144">
          <cell r="O144">
            <v>-9.8317830068916871E-3</v>
          </cell>
          <cell r="P144">
            <v>0.57772401877260182</v>
          </cell>
          <cell r="Q144">
            <v>-0.29264331966008617</v>
          </cell>
        </row>
        <row r="145">
          <cell r="O145">
            <v>2.0408163265306048E-2</v>
          </cell>
          <cell r="P145">
            <v>1.2</v>
          </cell>
          <cell r="Q145">
            <v>9.0909090909090912E-2</v>
          </cell>
        </row>
        <row r="146">
          <cell r="O146">
            <v>0.25440451021846366</v>
          </cell>
          <cell r="P146">
            <v>0.6853932584269663</v>
          </cell>
          <cell r="Q146">
            <v>-0.58333333333333337</v>
          </cell>
        </row>
        <row r="147">
          <cell r="O147">
            <v>0</v>
          </cell>
          <cell r="P147">
            <v>1.3899613899613899E-2</v>
          </cell>
          <cell r="Q147">
            <v>-1</v>
          </cell>
        </row>
        <row r="148">
          <cell r="O148">
            <v>0</v>
          </cell>
          <cell r="P148">
            <v>1</v>
          </cell>
          <cell r="Q148">
            <v>-1</v>
          </cell>
        </row>
        <row r="149">
          <cell r="O149">
            <v>0</v>
          </cell>
          <cell r="P149">
            <v>0</v>
          </cell>
          <cell r="Q149">
            <v>0</v>
          </cell>
        </row>
        <row r="150">
          <cell r="O150">
            <v>-0.53984287317620605</v>
          </cell>
          <cell r="P150">
            <v>1.4301094703316355</v>
          </cell>
          <cell r="Q150">
            <v>0.11843200000000011</v>
          </cell>
        </row>
        <row r="151">
          <cell r="M151">
            <v>6.276150627615152E-3</v>
          </cell>
          <cell r="N151">
            <v>4.1580041580040689E-3</v>
          </cell>
          <cell r="O151">
            <v>0.28881987577639762</v>
          </cell>
          <cell r="P151">
            <v>0</v>
          </cell>
          <cell r="Q151">
            <v>4.8192771084337352E-2</v>
          </cell>
        </row>
        <row r="152">
          <cell r="O152">
            <v>7.1690726694396897E-2</v>
          </cell>
          <cell r="P152">
            <v>-0.14840182648401826</v>
          </cell>
          <cell r="Q152">
            <v>-0.87399463806970512</v>
          </cell>
        </row>
        <row r="153">
          <cell r="M153" t="str">
            <v>--</v>
          </cell>
          <cell r="N153">
            <v>2.7317420822812528E-2</v>
          </cell>
          <cell r="O153">
            <v>1.0655105008379493</v>
          </cell>
          <cell r="P153">
            <v>3.7297872841715422E-2</v>
          </cell>
          <cell r="Q153">
            <v>-9.7698702980191551E-2</v>
          </cell>
        </row>
        <row r="154">
          <cell r="O154">
            <v>1.770210507695029</v>
          </cell>
          <cell r="P154">
            <v>6.3005534269902089E-2</v>
          </cell>
          <cell r="Q154">
            <v>-0.50280336403684422</v>
          </cell>
        </row>
        <row r="155">
          <cell r="O155">
            <v>-0.37342516378296653</v>
          </cell>
          <cell r="P155">
            <v>9.6514745308310987E-2</v>
          </cell>
          <cell r="Q155">
            <v>-0.35941320293398532</v>
          </cell>
        </row>
        <row r="159">
          <cell r="P159" t="str">
            <v>5 year CAGR</v>
          </cell>
        </row>
        <row r="160">
          <cell r="P160" t="str">
            <v>Sales</v>
          </cell>
          <cell r="Q160">
            <v>0.1030575126465596</v>
          </cell>
        </row>
        <row r="161">
          <cell r="P161" t="str">
            <v>EBITDA</v>
          </cell>
          <cell r="Q161">
            <v>-1</v>
          </cell>
        </row>
        <row r="162">
          <cell r="P162" t="str">
            <v>NOPAT</v>
          </cell>
          <cell r="Q162">
            <v>0.27673468287826597</v>
          </cell>
        </row>
      </sheetData>
      <sheetData sheetId="4" refreshError="1">
        <row r="11">
          <cell r="D11">
            <v>9.8345000000000002E-2</v>
          </cell>
        </row>
        <row r="21">
          <cell r="J21">
            <v>7.7856999999999996E-2</v>
          </cell>
        </row>
        <row r="23">
          <cell r="U23">
            <v>8.9252046075310121E-2</v>
          </cell>
        </row>
      </sheetData>
      <sheetData sheetId="5" refreshError="1">
        <row r="1">
          <cell r="F1" t="str">
            <v>Discounted Cash Flow</v>
          </cell>
        </row>
        <row r="2">
          <cell r="D2">
            <v>1</v>
          </cell>
          <cell r="E2">
            <v>2</v>
          </cell>
          <cell r="F2">
            <v>3</v>
          </cell>
          <cell r="G2">
            <v>4</v>
          </cell>
          <cell r="H2">
            <v>5</v>
          </cell>
          <cell r="L2">
            <v>9</v>
          </cell>
          <cell r="M2">
            <v>10</v>
          </cell>
          <cell r="Q2">
            <v>14</v>
          </cell>
          <cell r="R2">
            <v>15</v>
          </cell>
          <cell r="AA2">
            <v>24</v>
          </cell>
          <cell r="AB2">
            <v>25</v>
          </cell>
        </row>
        <row r="3">
          <cell r="C3" t="str">
            <v>Present(P)</v>
          </cell>
          <cell r="D3" t="str">
            <v>Estimated Year 1</v>
          </cell>
          <cell r="E3" t="str">
            <v>EY 2</v>
          </cell>
          <cell r="F3" t="str">
            <v>EY 3</v>
          </cell>
          <cell r="G3" t="str">
            <v>EY 4</v>
          </cell>
          <cell r="H3" t="str">
            <v>EY 5</v>
          </cell>
          <cell r="L3" t="str">
            <v>EY 9</v>
          </cell>
          <cell r="M3" t="str">
            <v>EY 10</v>
          </cell>
          <cell r="Q3" t="str">
            <v>EY 14</v>
          </cell>
          <cell r="R3" t="str">
            <v>EY 15</v>
          </cell>
          <cell r="AA3" t="str">
            <v>EY 24</v>
          </cell>
          <cell r="AB3" t="str">
            <v>EY 25</v>
          </cell>
        </row>
        <row r="4">
          <cell r="C4">
            <v>1998</v>
          </cell>
          <cell r="D4" t="str">
            <v>1999E</v>
          </cell>
          <cell r="E4" t="str">
            <v>2000E</v>
          </cell>
          <cell r="F4" t="str">
            <v>2001E</v>
          </cell>
          <cell r="G4" t="str">
            <v>2002E</v>
          </cell>
          <cell r="H4" t="str">
            <v>2003E</v>
          </cell>
          <cell r="L4" t="str">
            <v>2007E</v>
          </cell>
          <cell r="M4" t="str">
            <v>2008E</v>
          </cell>
          <cell r="Q4" t="str">
            <v>2012E</v>
          </cell>
          <cell r="R4" t="str">
            <v>2013E</v>
          </cell>
          <cell r="AA4" t="str">
            <v>2022E</v>
          </cell>
          <cell r="AB4" t="str">
            <v>2023E</v>
          </cell>
        </row>
        <row r="6">
          <cell r="C6">
            <v>1769</v>
          </cell>
          <cell r="D6">
            <v>2090.6777504641</v>
          </cell>
          <cell r="E6">
            <v>2251.5904735583049</v>
          </cell>
          <cell r="F6">
            <v>2375.4279496040117</v>
          </cell>
          <cell r="G6">
            <v>2494.1993470842126</v>
          </cell>
          <cell r="H6">
            <v>2618.9093144384233</v>
          </cell>
          <cell r="I6">
            <v>2749.8547801603445</v>
          </cell>
          <cell r="J6">
            <v>2887.3475191683619</v>
          </cell>
          <cell r="K6">
            <v>3031.71489512678</v>
          </cell>
          <cell r="L6">
            <v>3183.3006398831189</v>
          </cell>
          <cell r="M6">
            <v>3342.4656718772749</v>
          </cell>
          <cell r="N6">
            <v>3509.5889554711389</v>
          </cell>
          <cell r="O6">
            <v>3685.0684032446961</v>
          </cell>
          <cell r="P6">
            <v>3869.3218234069309</v>
          </cell>
          <cell r="Q6">
            <v>4062.7879145772777</v>
          </cell>
          <cell r="R6">
            <v>4265.9273103061414</v>
          </cell>
          <cell r="S6">
            <v>4479.2236758214485</v>
          </cell>
          <cell r="T6">
            <v>4703.184859612521</v>
          </cell>
          <cell r="U6">
            <v>4938.344102593147</v>
          </cell>
          <cell r="V6">
            <v>5185.2613077228043</v>
          </cell>
          <cell r="W6">
            <v>5444.5243731089449</v>
          </cell>
          <cell r="X6">
            <v>5716.7505917643921</v>
          </cell>
          <cell r="Y6">
            <v>6002.5881213526118</v>
          </cell>
          <cell r="Z6">
            <v>6302.7175274202427</v>
          </cell>
          <cell r="AA6">
            <v>6617.853403791255</v>
          </cell>
          <cell r="AB6">
            <v>6948.7460739808184</v>
          </cell>
          <cell r="AC6">
            <v>7296.1833776798594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</row>
        <row r="9">
          <cell r="C9">
            <v>1769</v>
          </cell>
          <cell r="D9">
            <v>2090.6777504641</v>
          </cell>
          <cell r="E9">
            <v>2251.5904735583049</v>
          </cell>
          <cell r="F9">
            <v>2375.4279496040117</v>
          </cell>
          <cell r="G9">
            <v>2494.1993470842126</v>
          </cell>
          <cell r="H9">
            <v>2618.9093144384233</v>
          </cell>
          <cell r="I9">
            <v>2749.8547801603445</v>
          </cell>
          <cell r="J9">
            <v>2887.3475191683619</v>
          </cell>
          <cell r="K9">
            <v>3031.71489512678</v>
          </cell>
          <cell r="L9">
            <v>3183.3006398831189</v>
          </cell>
          <cell r="M9">
            <v>3342.4656718772749</v>
          </cell>
          <cell r="N9">
            <v>3509.5889554711389</v>
          </cell>
          <cell r="O9">
            <v>3685.0684032446961</v>
          </cell>
          <cell r="P9">
            <v>3869.3218234069309</v>
          </cell>
          <cell r="Q9">
            <v>4062.7879145772777</v>
          </cell>
          <cell r="R9">
            <v>4265.9273103061414</v>
          </cell>
          <cell r="S9">
            <v>4479.2236758214485</v>
          </cell>
          <cell r="T9">
            <v>4703.184859612521</v>
          </cell>
          <cell r="U9">
            <v>4938.344102593147</v>
          </cell>
          <cell r="V9">
            <v>5185.2613077228043</v>
          </cell>
          <cell r="W9">
            <v>5444.5243731089449</v>
          </cell>
          <cell r="X9">
            <v>5716.7505917643921</v>
          </cell>
          <cell r="Y9">
            <v>6002.5881213526118</v>
          </cell>
          <cell r="Z9">
            <v>6302.7175274202427</v>
          </cell>
          <cell r="AA9">
            <v>6617.853403791255</v>
          </cell>
          <cell r="AB9">
            <v>6948.7460739808184</v>
          </cell>
          <cell r="AC9">
            <v>7296.1833776798594</v>
          </cell>
        </row>
        <row r="10">
          <cell r="C10">
            <v>-0.66723100075244546</v>
          </cell>
          <cell r="D10">
            <v>0.18184157742459015</v>
          </cell>
          <cell r="E10">
            <v>7.6966774558386464E-2</v>
          </cell>
          <cell r="F10">
            <v>5.5000000000000014E-2</v>
          </cell>
          <cell r="G10">
            <v>5.0000000000000135E-2</v>
          </cell>
          <cell r="H10">
            <v>5.0000000000000017E-2</v>
          </cell>
          <cell r="L10">
            <v>4.9999999999999982E-2</v>
          </cell>
          <cell r="M10">
            <v>4.9999999999999996E-2</v>
          </cell>
          <cell r="Q10">
            <v>5.0000000000000058E-2</v>
          </cell>
          <cell r="R10">
            <v>4.9999999999999968E-2</v>
          </cell>
          <cell r="AA10">
            <v>5.0000000000000024E-2</v>
          </cell>
          <cell r="AB10">
            <v>5.00000000000001E-2</v>
          </cell>
        </row>
        <row r="12">
          <cell r="C12">
            <v>246.40972487502546</v>
          </cell>
          <cell r="D12">
            <v>329.97676768061001</v>
          </cell>
          <cell r="E12">
            <v>366.24222117575266</v>
          </cell>
          <cell r="F12">
            <v>422.41291392607576</v>
          </cell>
          <cell r="G12">
            <v>623.54983677105315</v>
          </cell>
          <cell r="H12">
            <v>654.72732860960582</v>
          </cell>
          <cell r="I12">
            <v>687.46369504008612</v>
          </cell>
          <cell r="J12">
            <v>721.83687979209049</v>
          </cell>
          <cell r="K12">
            <v>757.928723781695</v>
          </cell>
          <cell r="L12">
            <v>795.82515997077974</v>
          </cell>
          <cell r="M12">
            <v>835.61641796931872</v>
          </cell>
          <cell r="N12">
            <v>877.39723886778472</v>
          </cell>
          <cell r="O12">
            <v>921.26710081117403</v>
          </cell>
          <cell r="P12">
            <v>967.33045585173272</v>
          </cell>
          <cell r="Q12">
            <v>1015.6969786443194</v>
          </cell>
          <cell r="R12">
            <v>1066.4818275765354</v>
          </cell>
          <cell r="S12">
            <v>1119.8059189553621</v>
          </cell>
          <cell r="T12">
            <v>1175.7962149031302</v>
          </cell>
          <cell r="U12">
            <v>1234.5860256482867</v>
          </cell>
          <cell r="V12">
            <v>1296.3153269307011</v>
          </cell>
          <cell r="W12">
            <v>1361.1310932772362</v>
          </cell>
          <cell r="X12">
            <v>1429.187647941098</v>
          </cell>
          <cell r="Y12">
            <v>1500.6470303381529</v>
          </cell>
          <cell r="Z12">
            <v>1575.6793818550607</v>
          </cell>
          <cell r="AA12">
            <v>1654.4633509478138</v>
          </cell>
          <cell r="AB12">
            <v>1737.1865184952046</v>
          </cell>
          <cell r="AC12">
            <v>1824.0458444199649</v>
          </cell>
        </row>
        <row r="13">
          <cell r="C13">
            <v>-0.29264331966008617</v>
          </cell>
          <cell r="D13">
            <v>0.33913857437229084</v>
          </cell>
          <cell r="E13">
            <v>0.10990305090279745</v>
          </cell>
          <cell r="F13">
            <v>0.15337033663130786</v>
          </cell>
          <cell r="G13">
            <v>0.47616186961598739</v>
          </cell>
          <cell r="H13">
            <v>5.0000000000000017E-2</v>
          </cell>
          <cell r="L13">
            <v>4.9999999999999982E-2</v>
          </cell>
          <cell r="M13">
            <v>4.9999999999999996E-2</v>
          </cell>
          <cell r="Q13">
            <v>5.0000000000000058E-2</v>
          </cell>
          <cell r="R13">
            <v>4.9999999999999968E-2</v>
          </cell>
          <cell r="AA13">
            <v>5.0000000000000024E-2</v>
          </cell>
          <cell r="AB13">
            <v>5.00000000000001E-2</v>
          </cell>
        </row>
        <row r="15">
          <cell r="C15">
            <v>577</v>
          </cell>
          <cell r="D15">
            <v>701.9767742426834</v>
          </cell>
          <cell r="E15">
            <v>767.15786860958769</v>
          </cell>
          <cell r="F15">
            <v>852.56236650683286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</row>
        <row r="18">
          <cell r="C18">
            <v>50.360000000000014</v>
          </cell>
          <cell r="D18">
            <v>-199.22314587200833</v>
          </cell>
          <cell r="E18">
            <v>-13.409393591183743</v>
          </cell>
          <cell r="F18">
            <v>4.9073125705757832</v>
          </cell>
          <cell r="G18">
            <v>4.5681306723153909</v>
          </cell>
          <cell r="H18">
            <v>-8.9078548110150564</v>
          </cell>
          <cell r="L18">
            <v>-10.105716317089275</v>
          </cell>
          <cell r="M18">
            <v>-10.611002132943725</v>
          </cell>
          <cell r="Q18">
            <v>-12.89773941135644</v>
          </cell>
          <cell r="R18">
            <v>-13.542626381924265</v>
          </cell>
          <cell r="AA18">
            <v>-21.009058424734178</v>
          </cell>
          <cell r="AB18">
            <v>-22.059511345970918</v>
          </cell>
        </row>
        <row r="19">
          <cell r="C19">
            <v>-4203.8432635281861</v>
          </cell>
          <cell r="D19">
            <v>895.27164088199504</v>
          </cell>
          <cell r="E19">
            <v>707.67323327094425</v>
          </cell>
          <cell r="F19">
            <v>253.67495209141362</v>
          </cell>
          <cell r="G19">
            <v>237.54279496040181</v>
          </cell>
          <cell r="H19">
            <v>249.41993470842135</v>
          </cell>
          <cell r="L19">
            <v>303.17148951267791</v>
          </cell>
          <cell r="M19">
            <v>318.33006398831185</v>
          </cell>
          <cell r="Q19">
            <v>386.93218234069354</v>
          </cell>
          <cell r="R19">
            <v>406.27879145772749</v>
          </cell>
          <cell r="AA19">
            <v>630.27175274202455</v>
          </cell>
          <cell r="AB19">
            <v>661.78534037912686</v>
          </cell>
        </row>
        <row r="20">
          <cell r="C20">
            <v>105</v>
          </cell>
          <cell r="D20">
            <v>-105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L20">
            <v>0</v>
          </cell>
          <cell r="M20">
            <v>0</v>
          </cell>
          <cell r="Q20">
            <v>0</v>
          </cell>
          <cell r="R20">
            <v>0</v>
          </cell>
          <cell r="AA20">
            <v>0</v>
          </cell>
          <cell r="AB20">
            <v>0</v>
          </cell>
        </row>
        <row r="21">
          <cell r="C21">
            <v>-4048.4832635281859</v>
          </cell>
          <cell r="D21">
            <v>591.04849500998671</v>
          </cell>
          <cell r="E21">
            <v>694.26383967976051</v>
          </cell>
          <cell r="F21">
            <v>258.58226466198937</v>
          </cell>
          <cell r="G21">
            <v>242.1109256327172</v>
          </cell>
          <cell r="H21">
            <v>240.5120798974063</v>
          </cell>
          <cell r="L21">
            <v>293.06577319558863</v>
          </cell>
          <cell r="M21">
            <v>307.71906185536812</v>
          </cell>
          <cell r="Q21">
            <v>374.0344429293371</v>
          </cell>
          <cell r="R21">
            <v>392.73616507580323</v>
          </cell>
          <cell r="AA21">
            <v>609.26269431729042</v>
          </cell>
          <cell r="AB21">
            <v>639.72582903315595</v>
          </cell>
        </row>
        <row r="23">
          <cell r="C23">
            <v>4294.8929884032113</v>
          </cell>
          <cell r="D23">
            <v>-261.0717273293767</v>
          </cell>
          <cell r="E23">
            <v>-328.02161850400785</v>
          </cell>
          <cell r="F23">
            <v>163.83064926408639</v>
          </cell>
          <cell r="G23">
            <v>381.43891113833592</v>
          </cell>
          <cell r="H23">
            <v>414.21524871219953</v>
          </cell>
          <cell r="L23">
            <v>502.7593867751911</v>
          </cell>
          <cell r="M23">
            <v>527.89735611395054</v>
          </cell>
          <cell r="Q23">
            <v>641.66253571498237</v>
          </cell>
          <cell r="R23">
            <v>673.74566250073212</v>
          </cell>
          <cell r="AA23">
            <v>1045.2006566305233</v>
          </cell>
          <cell r="AB23">
            <v>1097.4606894620488</v>
          </cell>
        </row>
        <row r="26">
          <cell r="C26">
            <v>4294.8929884032113</v>
          </cell>
          <cell r="D26">
            <v>-242.21369562880483</v>
          </cell>
          <cell r="E26">
            <v>-282.34504731773467</v>
          </cell>
          <cell r="F26">
            <v>130.83131687046597</v>
          </cell>
          <cell r="G26">
            <v>282.60536862266974</v>
          </cell>
          <cell r="H26">
            <v>284.72155708189871</v>
          </cell>
          <cell r="L26">
            <v>256.04120887723775</v>
          </cell>
          <cell r="M26">
            <v>249.42387470796174</v>
          </cell>
          <cell r="Q26">
            <v>224.62114239371616</v>
          </cell>
          <cell r="R26">
            <v>218.81585359969105</v>
          </cell>
          <cell r="AA26">
            <v>172.87498562759083</v>
          </cell>
          <cell r="AB26">
            <v>168.40706597347349</v>
          </cell>
        </row>
        <row r="27">
          <cell r="C27">
            <v>4294.8929884032113</v>
          </cell>
          <cell r="D27">
            <v>-242.21369562880483</v>
          </cell>
          <cell r="E27">
            <v>-524.5587429465395</v>
          </cell>
          <cell r="F27">
            <v>-393.72742607607353</v>
          </cell>
          <cell r="G27">
            <v>-111.12205745340378</v>
          </cell>
          <cell r="H27">
            <v>173.59949962849493</v>
          </cell>
          <cell r="L27">
            <v>1231.2943020768419</v>
          </cell>
          <cell r="M27">
            <v>1480.7181767848035</v>
          </cell>
          <cell r="Q27">
            <v>2415.5951890243723</v>
          </cell>
          <cell r="R27">
            <v>2634.4110426240632</v>
          </cell>
          <cell r="AA27">
            <v>4366.0372540145536</v>
          </cell>
          <cell r="AB27">
            <v>4534.444319988027</v>
          </cell>
        </row>
        <row r="29">
          <cell r="C29">
            <v>4687.9993440693224</v>
          </cell>
          <cell r="D29">
            <v>4704.037160123723</v>
          </cell>
          <cell r="E29">
            <v>5425.4969228980799</v>
          </cell>
          <cell r="F29">
            <v>8008.911681301016</v>
          </cell>
          <cell r="G29">
            <v>8409.3572653660667</v>
          </cell>
          <cell r="H29">
            <v>8829.8251286343693</v>
          </cell>
          <cell r="L29">
            <v>10732.707630262132</v>
          </cell>
          <cell r="M29">
            <v>11269.34301177524</v>
          </cell>
          <cell r="Q29">
            <v>13697.956864206628</v>
          </cell>
          <cell r="R29">
            <v>14382.85470741696</v>
          </cell>
          <cell r="AA29">
            <v>22312.528333935352</v>
          </cell>
          <cell r="AB29">
            <v>23428.154750632119</v>
          </cell>
        </row>
        <row r="30">
          <cell r="C30">
            <v>4687.9993440693224</v>
          </cell>
          <cell r="D30">
            <v>4364.2497660855961</v>
          </cell>
          <cell r="E30">
            <v>4670.0037406198135</v>
          </cell>
          <cell r="F30">
            <v>6395.7291671037974</v>
          </cell>
          <cell r="G30">
            <v>6230.4328175806122</v>
          </cell>
          <cell r="H30">
            <v>6069.4085193672645</v>
          </cell>
          <cell r="L30">
            <v>5465.8659956697047</v>
          </cell>
          <cell r="M30">
            <v>5324.6017750528954</v>
          </cell>
          <cell r="Q30">
            <v>4795.1229003412363</v>
          </cell>
          <cell r="R30">
            <v>4671.1939017497671</v>
          </cell>
          <cell r="AA30">
            <v>3690.4665057131019</v>
          </cell>
          <cell r="AB30">
            <v>3595.0871321508848</v>
          </cell>
        </row>
        <row r="32">
          <cell r="C32">
            <v>8982.8923324725329</v>
          </cell>
          <cell r="D32">
            <v>4122.0360704567911</v>
          </cell>
          <cell r="E32">
            <v>4145.444997673274</v>
          </cell>
          <cell r="F32">
            <v>6002.0017410277242</v>
          </cell>
          <cell r="G32">
            <v>6119.3107601272086</v>
          </cell>
          <cell r="H32">
            <v>6243.0080189957598</v>
          </cell>
          <cell r="L32">
            <v>6697.1602977465463</v>
          </cell>
          <cell r="M32">
            <v>6805.3199518376987</v>
          </cell>
          <cell r="Q32">
            <v>7210.7180893656086</v>
          </cell>
          <cell r="R32">
            <v>7305.6049443738302</v>
          </cell>
          <cell r="AA32">
            <v>8056.5037597276551</v>
          </cell>
          <cell r="AB32">
            <v>8129.5314521389118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L34">
            <v>0</v>
          </cell>
          <cell r="M34">
            <v>0</v>
          </cell>
          <cell r="Q34">
            <v>0</v>
          </cell>
          <cell r="R34">
            <v>0</v>
          </cell>
          <cell r="AA34">
            <v>0</v>
          </cell>
          <cell r="AB34">
            <v>0</v>
          </cell>
        </row>
        <row r="35">
          <cell r="C35">
            <v>2627.5120247615846</v>
          </cell>
          <cell r="D35">
            <v>2199</v>
          </cell>
          <cell r="E35">
            <v>2199</v>
          </cell>
          <cell r="F35">
            <v>2199</v>
          </cell>
          <cell r="G35">
            <v>2199</v>
          </cell>
          <cell r="H35">
            <v>2199</v>
          </cell>
          <cell r="I35">
            <v>2199</v>
          </cell>
          <cell r="J35">
            <v>2199</v>
          </cell>
          <cell r="K35">
            <v>2199</v>
          </cell>
          <cell r="L35">
            <v>2199</v>
          </cell>
          <cell r="M35">
            <v>2199</v>
          </cell>
          <cell r="N35">
            <v>2199</v>
          </cell>
          <cell r="O35">
            <v>2199</v>
          </cell>
          <cell r="P35">
            <v>2199</v>
          </cell>
          <cell r="Q35">
            <v>2199</v>
          </cell>
          <cell r="R35">
            <v>2199</v>
          </cell>
          <cell r="S35">
            <v>2199</v>
          </cell>
          <cell r="T35">
            <v>2199</v>
          </cell>
          <cell r="U35">
            <v>2199</v>
          </cell>
          <cell r="V35">
            <v>2199</v>
          </cell>
          <cell r="W35">
            <v>2199</v>
          </cell>
          <cell r="X35">
            <v>2199</v>
          </cell>
          <cell r="Y35">
            <v>2199</v>
          </cell>
          <cell r="Z35">
            <v>2199</v>
          </cell>
          <cell r="AA35">
            <v>2199</v>
          </cell>
          <cell r="AB35">
            <v>2199</v>
          </cell>
        </row>
        <row r="36">
          <cell r="C36">
            <v>6355.3803077109478</v>
          </cell>
          <cell r="D36">
            <v>1923.0360704567911</v>
          </cell>
          <cell r="E36">
            <v>1946.444997673274</v>
          </cell>
          <cell r="F36">
            <v>3803.0017410277242</v>
          </cell>
          <cell r="G36">
            <v>3920.3107601272086</v>
          </cell>
          <cell r="H36">
            <v>4044.0080189957598</v>
          </cell>
          <cell r="L36">
            <v>4498.1602977465463</v>
          </cell>
          <cell r="M36">
            <v>4606.3199518376987</v>
          </cell>
          <cell r="Q36">
            <v>5011.7180893656086</v>
          </cell>
          <cell r="R36">
            <v>5106.6049443738302</v>
          </cell>
          <cell r="AA36">
            <v>5857.5037597276551</v>
          </cell>
          <cell r="AB36">
            <v>5930.5314521389118</v>
          </cell>
        </row>
        <row r="37">
          <cell r="C37">
            <v>261</v>
          </cell>
          <cell r="D37">
            <v>281</v>
          </cell>
          <cell r="E37">
            <v>281</v>
          </cell>
          <cell r="F37">
            <v>281</v>
          </cell>
          <cell r="G37">
            <v>281</v>
          </cell>
          <cell r="H37">
            <v>281</v>
          </cell>
          <cell r="I37">
            <v>281</v>
          </cell>
          <cell r="J37">
            <v>281</v>
          </cell>
          <cell r="K37">
            <v>281</v>
          </cell>
          <cell r="L37">
            <v>281</v>
          </cell>
          <cell r="M37">
            <v>281</v>
          </cell>
          <cell r="N37">
            <v>281</v>
          </cell>
          <cell r="O37">
            <v>281</v>
          </cell>
          <cell r="P37">
            <v>281</v>
          </cell>
          <cell r="Q37">
            <v>281</v>
          </cell>
          <cell r="R37">
            <v>281</v>
          </cell>
          <cell r="S37">
            <v>281</v>
          </cell>
          <cell r="T37">
            <v>281</v>
          </cell>
          <cell r="U37">
            <v>281</v>
          </cell>
          <cell r="V37">
            <v>281</v>
          </cell>
          <cell r="W37">
            <v>281</v>
          </cell>
          <cell r="X37">
            <v>281</v>
          </cell>
          <cell r="Y37">
            <v>281</v>
          </cell>
          <cell r="Z37">
            <v>281</v>
          </cell>
          <cell r="AA37">
            <v>281</v>
          </cell>
          <cell r="AB37">
            <v>281</v>
          </cell>
        </row>
        <row r="39">
          <cell r="C39">
            <v>24.350116121497884</v>
          </cell>
          <cell r="D39">
            <v>6.8435447347216769</v>
          </cell>
          <cell r="E39">
            <v>6.9268505255276658</v>
          </cell>
          <cell r="F39">
            <v>13.533814025009695</v>
          </cell>
          <cell r="G39">
            <v>13.951283843869069</v>
          </cell>
          <cell r="H39">
            <v>14.391487612084555</v>
          </cell>
          <cell r="L39">
            <v>16.007687892336463</v>
          </cell>
          <cell r="M39">
            <v>16.392597693372593</v>
          </cell>
          <cell r="Q39">
            <v>17.835295691692558</v>
          </cell>
          <cell r="R39">
            <v>18.172971332291212</v>
          </cell>
          <cell r="AA39">
            <v>20.845209109351085</v>
          </cell>
          <cell r="AB39">
            <v>21.105094135725665</v>
          </cell>
        </row>
        <row r="41">
          <cell r="D41">
            <v>1</v>
          </cell>
          <cell r="E41">
            <v>2</v>
          </cell>
          <cell r="F41">
            <v>3</v>
          </cell>
          <cell r="G41">
            <v>4</v>
          </cell>
          <cell r="H41">
            <v>5</v>
          </cell>
          <cell r="L41">
            <v>9</v>
          </cell>
          <cell r="M41">
            <v>10</v>
          </cell>
          <cell r="Q41">
            <v>14</v>
          </cell>
          <cell r="R41">
            <v>15</v>
          </cell>
          <cell r="AA41">
            <v>24</v>
          </cell>
          <cell r="AB41">
            <v>25</v>
          </cell>
        </row>
        <row r="44">
          <cell r="C44">
            <v>8.1012892081869819E-2</v>
          </cell>
          <cell r="D44">
            <v>9.8964028067895574E-2</v>
          </cell>
          <cell r="E44">
            <v>9.2222743000752685E-2</v>
          </cell>
          <cell r="F44">
            <v>9.5098643281373046E-2</v>
          </cell>
          <cell r="G44">
            <v>0.13297613248904044</v>
          </cell>
          <cell r="H44">
            <v>0.13279132791327913</v>
          </cell>
          <cell r="L44">
            <v>0.13246425567703951</v>
          </cell>
          <cell r="M44">
            <v>0.13246425567703951</v>
          </cell>
          <cell r="Q44">
            <v>0.13246425567703954</v>
          </cell>
          <cell r="R44">
            <v>0.13246425567703951</v>
          </cell>
          <cell r="AA44">
            <v>0.13246425567703951</v>
          </cell>
          <cell r="AB44">
            <v>0.13246425567703954</v>
          </cell>
        </row>
        <row r="45">
          <cell r="C45">
            <v>3.0153468446018392E-2</v>
          </cell>
          <cell r="D45">
            <v>1.7951135986025754E-2</v>
          </cell>
          <cell r="E45">
            <v>-6.7412850671428881E-3</v>
          </cell>
          <cell r="F45">
            <v>2.875900280620361E-3</v>
          </cell>
          <cell r="G45">
            <v>3.7877489207667397E-2</v>
          </cell>
          <cell r="H45">
            <v>-1.8480457576131037E-4</v>
          </cell>
          <cell r="L45">
            <v>-2.7755575615628914E-17</v>
          </cell>
          <cell r="M45">
            <v>0</v>
          </cell>
          <cell r="Q45">
            <v>0</v>
          </cell>
          <cell r="R45">
            <v>-2.7755575615628914E-17</v>
          </cell>
          <cell r="AA45">
            <v>-2.7755575615628914E-17</v>
          </cell>
          <cell r="AB45">
            <v>2.7755575615628914E-17</v>
          </cell>
        </row>
        <row r="46">
          <cell r="C46">
            <v>4.1128638901033764E-2</v>
          </cell>
          <cell r="D46" t="str">
            <v>NM</v>
          </cell>
          <cell r="E46" t="str">
            <v>NM</v>
          </cell>
          <cell r="F46">
            <v>0.11529705275469117</v>
          </cell>
          <cell r="G46">
            <v>0.24811106563755209</v>
          </cell>
          <cell r="H46">
            <v>0.39238715924665568</v>
          </cell>
          <cell r="L46">
            <v>0.12931034482758622</v>
          </cell>
          <cell r="M46">
            <v>0.12931034482758622</v>
          </cell>
          <cell r="Q46">
            <v>0.12931034482758622</v>
          </cell>
          <cell r="R46">
            <v>0.12931034482758616</v>
          </cell>
          <cell r="AA46">
            <v>0.12931034482758619</v>
          </cell>
          <cell r="AB46">
            <v>0.12931034482758613</v>
          </cell>
        </row>
        <row r="47">
          <cell r="C47">
            <v>-0.22159311035432508</v>
          </cell>
          <cell r="D47" t="str">
            <v>NM</v>
          </cell>
          <cell r="E47">
            <v>6.1950095111532801E-2</v>
          </cell>
          <cell r="F47">
            <v>8.1579503719887092E-2</v>
          </cell>
          <cell r="G47">
            <v>0.79632243029470962</v>
          </cell>
          <cell r="H47">
            <v>0.1287735849056601</v>
          </cell>
          <cell r="L47">
            <v>0.13577586206896552</v>
          </cell>
          <cell r="M47">
            <v>0.13577586206896541</v>
          </cell>
          <cell r="Q47">
            <v>0.13577586206896586</v>
          </cell>
          <cell r="R47">
            <v>0.13577586206896522</v>
          </cell>
          <cell r="AA47">
            <v>0.13577586206896522</v>
          </cell>
          <cell r="AB47">
            <v>0.13577586206896564</v>
          </cell>
        </row>
        <row r="48">
          <cell r="C48">
            <v>32.318173465499569</v>
          </cell>
          <cell r="D48">
            <v>70.377378863457182</v>
          </cell>
          <cell r="E48">
            <v>57.050370160782904</v>
          </cell>
          <cell r="F48">
            <v>76.584612861509413</v>
          </cell>
          <cell r="G48">
            <v>258.4638718480993</v>
          </cell>
          <cell r="H48">
            <v>270.85357401587254</v>
          </cell>
          <cell r="L48">
            <v>328.07211094515623</v>
          </cell>
          <cell r="M48">
            <v>344.47571649241399</v>
          </cell>
          <cell r="Q48">
            <v>418.7123863697575</v>
          </cell>
          <cell r="R48">
            <v>439.64800568824523</v>
          </cell>
          <cell r="AA48">
            <v>682.03835632285791</v>
          </cell>
          <cell r="AB48">
            <v>716.14027413900101</v>
          </cell>
        </row>
        <row r="49">
          <cell r="C49">
            <v>-251.88841920489062</v>
          </cell>
          <cell r="D49">
            <v>86.436363730598529</v>
          </cell>
          <cell r="E49">
            <v>72.177590409186905</v>
          </cell>
          <cell r="F49">
            <v>69.01079974898235</v>
          </cell>
          <cell r="G49">
            <v>198.47696565436226</v>
          </cell>
          <cell r="H49">
            <v>192.61394967457733</v>
          </cell>
          <cell r="L49">
            <v>172.8879792430254</v>
          </cell>
          <cell r="M49">
            <v>168.41972377149904</v>
          </cell>
          <cell r="Q49">
            <v>151.67205144047372</v>
          </cell>
          <cell r="R49">
            <v>147.75211740750157</v>
          </cell>
          <cell r="AA49">
            <v>116.73123657665373</v>
          </cell>
          <cell r="AB49">
            <v>113.71434096126519</v>
          </cell>
        </row>
        <row r="50">
          <cell r="C50">
            <v>-251.88841920489062</v>
          </cell>
          <cell r="D50">
            <v>86.436363730598529</v>
          </cell>
          <cell r="E50">
            <v>158.61395413978545</v>
          </cell>
          <cell r="F50">
            <v>227.6247538887678</v>
          </cell>
          <cell r="G50">
            <v>426.10171954313006</v>
          </cell>
          <cell r="H50">
            <v>618.71566921770739</v>
          </cell>
          <cell r="L50">
            <v>1338.8975786135184</v>
          </cell>
          <cell r="M50">
            <v>1507.3173023850175</v>
          </cell>
          <cell r="Q50">
            <v>2138.5789582552311</v>
          </cell>
          <cell r="R50">
            <v>2286.3310756627325</v>
          </cell>
          <cell r="AA50">
            <v>3455.5856570027945</v>
          </cell>
          <cell r="AB50">
            <v>3569.2999979640599</v>
          </cell>
        </row>
        <row r="51">
          <cell r="C51">
            <v>-251.88841920489062</v>
          </cell>
          <cell r="D51">
            <v>93.166039701571748</v>
          </cell>
          <cell r="E51">
            <v>83.854171520485238</v>
          </cell>
          <cell r="F51">
            <v>86.417261551403669</v>
          </cell>
          <cell r="G51">
            <v>267.88888701659249</v>
          </cell>
          <cell r="H51">
            <v>280.21634851815867</v>
          </cell>
          <cell r="L51">
            <v>339.48072189700071</v>
          </cell>
          <cell r="M51">
            <v>356.45475799185073</v>
          </cell>
          <cell r="Q51">
            <v>433.27298618133216</v>
          </cell>
          <cell r="R51">
            <v>454.93663549039877</v>
          </cell>
          <cell r="AA51">
            <v>705.75603911858866</v>
          </cell>
          <cell r="AB51">
            <v>741.04384107451813</v>
          </cell>
        </row>
        <row r="52">
          <cell r="C52">
            <v>7577.649181479861</v>
          </cell>
          <cell r="D52">
            <v>3041.6112614028061</v>
          </cell>
          <cell r="E52">
            <v>3041.6112614028061</v>
          </cell>
          <cell r="F52">
            <v>3041.6112614028061</v>
          </cell>
          <cell r="G52">
            <v>3041.6112614028061</v>
          </cell>
          <cell r="H52">
            <v>3041.6112614028061</v>
          </cell>
          <cell r="L52">
            <v>3041.6112614028061</v>
          </cell>
          <cell r="M52">
            <v>3041.6112614028061</v>
          </cell>
          <cell r="Q52">
            <v>3041.6112614028061</v>
          </cell>
          <cell r="R52">
            <v>3041.6112614028061</v>
          </cell>
          <cell r="AA52">
            <v>3041.6112614028061</v>
          </cell>
          <cell r="AB52">
            <v>3041.6112614028061</v>
          </cell>
        </row>
        <row r="54">
          <cell r="C54">
            <v>1646.3880826665159</v>
          </cell>
          <cell r="D54">
            <v>1077.0280324246405</v>
          </cell>
          <cell r="E54">
            <v>1109.9485152446623</v>
          </cell>
          <cell r="F54">
            <v>3440.7810089856084</v>
          </cell>
          <cell r="G54">
            <v>3599.1156674179415</v>
          </cell>
          <cell r="H54">
            <v>3779.0714507888392</v>
          </cell>
          <cell r="L54">
            <v>4578.3263931547681</v>
          </cell>
          <cell r="M54">
            <v>4807.2427128125073</v>
          </cell>
          <cell r="Q54">
            <v>5843.2335626905578</v>
          </cell>
          <cell r="R54">
            <v>6135.3952408250843</v>
          </cell>
          <cell r="AA54">
            <v>9518.0117532722579</v>
          </cell>
          <cell r="AB54">
            <v>9993.9123409358708</v>
          </cell>
        </row>
        <row r="55">
          <cell r="C55">
            <v>1646.3880826665159</v>
          </cell>
          <cell r="D55">
            <v>999.2309113589655</v>
          </cell>
          <cell r="E55">
            <v>955.3896706145739</v>
          </cell>
          <cell r="F55">
            <v>2747.7270736004984</v>
          </cell>
          <cell r="G55">
            <v>2666.5591270456212</v>
          </cell>
          <cell r="H55">
            <v>2597.642436239596</v>
          </cell>
          <cell r="L55">
            <v>2331.6128055945733</v>
          </cell>
          <cell r="M55">
            <v>2271.3527359142277</v>
          </cell>
          <cell r="Q55">
            <v>2045.4892175719258</v>
          </cell>
          <cell r="R55">
            <v>1992.6239551726451</v>
          </cell>
          <cell r="AA55">
            <v>1574.2681891864115</v>
          </cell>
          <cell r="AB55">
            <v>1533.5815406364034</v>
          </cell>
        </row>
        <row r="56">
          <cell r="C56">
            <v>1394.4996634616252</v>
          </cell>
          <cell r="D56">
            <v>1085.6672750895641</v>
          </cell>
          <cell r="E56">
            <v>1114.0036247543594</v>
          </cell>
          <cell r="F56">
            <v>2975.3518274892663</v>
          </cell>
          <cell r="G56">
            <v>3092.6608465887512</v>
          </cell>
          <cell r="H56">
            <v>3216.3581054573033</v>
          </cell>
          <cell r="L56">
            <v>3670.5103842080916</v>
          </cell>
          <cell r="M56">
            <v>3778.6700382992449</v>
          </cell>
          <cell r="Q56">
            <v>4184.0681758271567</v>
          </cell>
          <cell r="R56">
            <v>4278.9550308353773</v>
          </cell>
          <cell r="AA56">
            <v>5029.8538461892058</v>
          </cell>
          <cell r="AB56">
            <v>5102.8815386004635</v>
          </cell>
        </row>
        <row r="58">
          <cell r="C58">
            <v>8972.1488449414865</v>
          </cell>
          <cell r="D58">
            <v>4127.2785364923702</v>
          </cell>
          <cell r="E58">
            <v>4155.6148861571655</v>
          </cell>
          <cell r="F58">
            <v>6016.9630888920728</v>
          </cell>
          <cell r="G58">
            <v>6134.2721079915573</v>
          </cell>
          <cell r="H58">
            <v>6257.9693668601094</v>
          </cell>
          <cell r="L58">
            <v>6712.1216456108978</v>
          </cell>
          <cell r="M58">
            <v>6820.281299702051</v>
          </cell>
          <cell r="Q58">
            <v>7225.6794372299628</v>
          </cell>
          <cell r="R58">
            <v>7320.5662922381835</v>
          </cell>
          <cell r="AA58">
            <v>8071.4651075920119</v>
          </cell>
          <cell r="AB58">
            <v>8144.4928000032696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L59">
            <v>0</v>
          </cell>
          <cell r="M59">
            <v>0</v>
          </cell>
          <cell r="Q59">
            <v>0</v>
          </cell>
          <cell r="R59">
            <v>0</v>
          </cell>
          <cell r="AA59">
            <v>0</v>
          </cell>
          <cell r="AB59">
            <v>0</v>
          </cell>
        </row>
        <row r="60">
          <cell r="C60">
            <v>2627.5120247615846</v>
          </cell>
          <cell r="D60">
            <v>2199</v>
          </cell>
          <cell r="E60">
            <v>2199</v>
          </cell>
          <cell r="F60">
            <v>2199</v>
          </cell>
          <cell r="G60">
            <v>2199</v>
          </cell>
          <cell r="H60">
            <v>2199</v>
          </cell>
          <cell r="L60">
            <v>2199</v>
          </cell>
          <cell r="M60">
            <v>2199</v>
          </cell>
          <cell r="Q60">
            <v>2199</v>
          </cell>
          <cell r="R60">
            <v>2199</v>
          </cell>
          <cell r="AA60">
            <v>2199</v>
          </cell>
          <cell r="AB60">
            <v>2199</v>
          </cell>
        </row>
        <row r="61">
          <cell r="C61">
            <v>6344.6368201799014</v>
          </cell>
          <cell r="D61">
            <v>1928.2785364923702</v>
          </cell>
          <cell r="E61">
            <v>1956.6148861571655</v>
          </cell>
          <cell r="F61">
            <v>3817.9630888920728</v>
          </cell>
          <cell r="G61">
            <v>3935.2721079915573</v>
          </cell>
          <cell r="H61">
            <v>4058.9693668601094</v>
          </cell>
          <cell r="L61">
            <v>4513.1216456108978</v>
          </cell>
          <cell r="M61">
            <v>4621.281299702051</v>
          </cell>
          <cell r="Q61">
            <v>5026.6794372299628</v>
          </cell>
          <cell r="R61">
            <v>5121.5662922381835</v>
          </cell>
          <cell r="AA61">
            <v>5872.4651075920119</v>
          </cell>
          <cell r="AB61">
            <v>5945.4928000032696</v>
          </cell>
        </row>
        <row r="62">
          <cell r="C62">
            <v>261</v>
          </cell>
          <cell r="D62">
            <v>281</v>
          </cell>
          <cell r="E62">
            <v>281</v>
          </cell>
          <cell r="F62">
            <v>281</v>
          </cell>
          <cell r="G62">
            <v>281</v>
          </cell>
          <cell r="H62">
            <v>281</v>
          </cell>
          <cell r="L62">
            <v>281</v>
          </cell>
          <cell r="M62">
            <v>281</v>
          </cell>
          <cell r="Q62">
            <v>281</v>
          </cell>
          <cell r="R62">
            <v>281</v>
          </cell>
          <cell r="AA62">
            <v>281</v>
          </cell>
          <cell r="AB62">
            <v>281</v>
          </cell>
        </row>
        <row r="64">
          <cell r="C64">
            <v>24.308953334022611</v>
          </cell>
          <cell r="D64">
            <v>6.8622011974817445</v>
          </cell>
          <cell r="E64">
            <v>6.9630422994916925</v>
          </cell>
          <cell r="F64">
            <v>13.587057255843675</v>
          </cell>
          <cell r="G64">
            <v>14.00452707470305</v>
          </cell>
          <cell r="H64">
            <v>14.444730842918538</v>
          </cell>
          <cell r="L64">
            <v>16.060931123170455</v>
          </cell>
          <cell r="M64">
            <v>16.445840924206585</v>
          </cell>
          <cell r="Q64">
            <v>17.888538922526557</v>
          </cell>
          <cell r="R64">
            <v>18.226214563125207</v>
          </cell>
          <cell r="AA64">
            <v>20.898452340185095</v>
          </cell>
          <cell r="AB64">
            <v>21.158337366559678</v>
          </cell>
        </row>
        <row r="65">
          <cell r="C65">
            <v>295.47814719909422</v>
          </cell>
          <cell r="D65">
            <v>38.059205397957612</v>
          </cell>
          <cell r="E65">
            <v>-13.327008702674277</v>
          </cell>
          <cell r="F65">
            <v>19.534242700726509</v>
          </cell>
          <cell r="G65">
            <v>181.87925898658989</v>
          </cell>
          <cell r="H65">
            <v>12.389702167773237</v>
          </cell>
          <cell r="L65">
            <v>15.62248147357883</v>
          </cell>
          <cell r="M65">
            <v>16.403605547257769</v>
          </cell>
          <cell r="Q65">
            <v>19.93868506522665</v>
          </cell>
          <cell r="R65">
            <v>20.935619318487738</v>
          </cell>
          <cell r="AA65">
            <v>32.478016967755025</v>
          </cell>
          <cell r="AB65">
            <v>34.1019178161431</v>
          </cell>
        </row>
        <row r="68">
          <cell r="C68">
            <v>-0.66723100075244546</v>
          </cell>
          <cell r="D68">
            <v>0.18184157742459015</v>
          </cell>
          <cell r="E68">
            <v>7.6966774558386464E-2</v>
          </cell>
          <cell r="F68">
            <v>5.5000000000000014E-2</v>
          </cell>
          <cell r="G68">
            <v>5.0000000000000135E-2</v>
          </cell>
          <cell r="H68">
            <v>5.0000000000000017E-2</v>
          </cell>
          <cell r="L68">
            <v>4.9999999999999982E-2</v>
          </cell>
          <cell r="M68">
            <v>4.9999999999999996E-2</v>
          </cell>
          <cell r="Q68">
            <v>5.0000000000000058E-2</v>
          </cell>
          <cell r="R68">
            <v>4.9999999999999968E-2</v>
          </cell>
          <cell r="AA68">
            <v>5.0000000000000024E-2</v>
          </cell>
          <cell r="AB68">
            <v>5.00000000000001E-2</v>
          </cell>
        </row>
        <row r="69">
          <cell r="C69">
            <v>0.13929323056813198</v>
          </cell>
          <cell r="D69">
            <v>0.15783243859909066</v>
          </cell>
          <cell r="E69">
            <v>0.16265934035373722</v>
          </cell>
          <cell r="F69">
            <v>0.17782602667300129</v>
          </cell>
          <cell r="G69">
            <v>0.25</v>
          </cell>
          <cell r="H69">
            <v>0.25</v>
          </cell>
          <cell r="L69">
            <v>0.25</v>
          </cell>
          <cell r="M69">
            <v>0.25</v>
          </cell>
          <cell r="Q69">
            <v>0.25</v>
          </cell>
          <cell r="R69">
            <v>0.25</v>
          </cell>
          <cell r="AA69">
            <v>0.25</v>
          </cell>
          <cell r="AB69">
            <v>0.25</v>
          </cell>
        </row>
        <row r="70">
          <cell r="C70">
            <v>-1.4197913729912606E-2</v>
          </cell>
          <cell r="D70">
            <v>-0.61932522713983018</v>
          </cell>
          <cell r="E70">
            <v>-8.3333333333333329E-2</v>
          </cell>
          <cell r="F70">
            <v>3.9627039627039541E-2</v>
          </cell>
          <cell r="G70">
            <v>3.8461538461538221E-2</v>
          </cell>
          <cell r="H70">
            <v>-7.1428571428571494E-2</v>
          </cell>
          <cell r="L70">
            <v>-6.6666666666666735E-2</v>
          </cell>
          <cell r="M70">
            <v>-6.6666666666666638E-2</v>
          </cell>
          <cell r="Q70">
            <v>-6.666666666666661E-2</v>
          </cell>
          <cell r="R70">
            <v>-6.6666666666666735E-2</v>
          </cell>
          <cell r="AA70">
            <v>-6.6666666666666749E-2</v>
          </cell>
          <cell r="AB70">
            <v>-6.6666666666666735E-2</v>
          </cell>
        </row>
        <row r="71">
          <cell r="C71">
            <v>1.1555802829230859</v>
          </cell>
          <cell r="D71">
            <v>2.4567183765175931</v>
          </cell>
          <cell r="E71">
            <v>4.3978699736293896</v>
          </cell>
          <cell r="F71">
            <v>2.0484505998635298</v>
          </cell>
          <cell r="G71">
            <v>2</v>
          </cell>
          <cell r="H71">
            <v>2</v>
          </cell>
          <cell r="L71">
            <v>2</v>
          </cell>
          <cell r="M71">
            <v>2</v>
          </cell>
          <cell r="Q71">
            <v>2</v>
          </cell>
          <cell r="R71">
            <v>2</v>
          </cell>
          <cell r="AA71">
            <v>2</v>
          </cell>
          <cell r="AB71">
            <v>2</v>
          </cell>
        </row>
        <row r="74">
          <cell r="C74">
            <v>25</v>
          </cell>
          <cell r="D74">
            <v>-174.22314587200833</v>
          </cell>
          <cell r="E74">
            <v>-187.63253946319207</v>
          </cell>
          <cell r="F74">
            <v>-182.72522689261629</v>
          </cell>
          <cell r="G74">
            <v>-178.1570962203009</v>
          </cell>
          <cell r="H74">
            <v>-187.06495103131596</v>
          </cell>
          <cell r="L74">
            <v>-212.2200426588746</v>
          </cell>
          <cell r="M74">
            <v>-222.83104479181833</v>
          </cell>
          <cell r="Q74">
            <v>-270.85252763848518</v>
          </cell>
          <cell r="R74">
            <v>-284.39515402040945</v>
          </cell>
          <cell r="AA74">
            <v>-441.190226919417</v>
          </cell>
          <cell r="AB74">
            <v>-463.24973826538792</v>
          </cell>
        </row>
        <row r="75">
          <cell r="C75">
            <v>2911.6112614028061</v>
          </cell>
          <cell r="D75">
            <v>3801.2322735710904</v>
          </cell>
          <cell r="E75">
            <v>4503.1809471166098</v>
          </cell>
          <cell r="F75">
            <v>4750.8558992080234</v>
          </cell>
          <cell r="G75">
            <v>4988.3986941684252</v>
          </cell>
          <cell r="H75">
            <v>5237.8186288768466</v>
          </cell>
          <cell r="L75">
            <v>6366.6012797662379</v>
          </cell>
          <cell r="M75">
            <v>6684.9313437545497</v>
          </cell>
          <cell r="Q75">
            <v>8125.5758291545553</v>
          </cell>
          <cell r="R75">
            <v>8531.8546206122828</v>
          </cell>
          <cell r="AA75">
            <v>13235.70680758251</v>
          </cell>
          <cell r="AB75">
            <v>13897.492147961637</v>
          </cell>
        </row>
        <row r="76">
          <cell r="C76">
            <v>105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L76">
            <v>0</v>
          </cell>
          <cell r="M76">
            <v>0</v>
          </cell>
          <cell r="Q76">
            <v>0</v>
          </cell>
          <cell r="R76">
            <v>0</v>
          </cell>
          <cell r="AA76">
            <v>0</v>
          </cell>
          <cell r="AB76">
            <v>0</v>
          </cell>
        </row>
        <row r="77">
          <cell r="C77">
            <v>3041.6112614028061</v>
          </cell>
          <cell r="D77">
            <v>3627.009127699082</v>
          </cell>
          <cell r="E77">
            <v>4315.5484076534176</v>
          </cell>
          <cell r="F77">
            <v>4568.1306723154075</v>
          </cell>
          <cell r="G77">
            <v>4810.2415979481248</v>
          </cell>
          <cell r="H77">
            <v>5050.7536778455305</v>
          </cell>
          <cell r="I77">
            <v>5316.3859083099996</v>
          </cell>
          <cell r="J77">
            <v>5582.2052037254998</v>
          </cell>
          <cell r="K77">
            <v>5861.3154639117747</v>
          </cell>
          <cell r="L77">
            <v>6154.3812371073636</v>
          </cell>
          <cell r="M77">
            <v>6462.1002989627314</v>
          </cell>
          <cell r="N77">
            <v>6785.2053139108684</v>
          </cell>
          <cell r="O77">
            <v>7124.4655796064126</v>
          </cell>
          <cell r="P77">
            <v>7480.6888585867327</v>
          </cell>
          <cell r="Q77">
            <v>7854.72330151607</v>
          </cell>
          <cell r="R77">
            <v>8247.4594665918739</v>
          </cell>
          <cell r="S77">
            <v>8659.8324399214671</v>
          </cell>
          <cell r="T77">
            <v>9092.8240619175413</v>
          </cell>
          <cell r="U77">
            <v>9547.4652650134176</v>
          </cell>
          <cell r="V77">
            <v>10024.838528264088</v>
          </cell>
          <cell r="W77">
            <v>10526.080454677294</v>
          </cell>
          <cell r="X77">
            <v>11052.384477411159</v>
          </cell>
          <cell r="Y77">
            <v>11605.003701281716</v>
          </cell>
          <cell r="Z77">
            <v>12185.253886345803</v>
          </cell>
          <cell r="AA77">
            <v>12794.516580663094</v>
          </cell>
          <cell r="AB77">
            <v>13434.24240969625</v>
          </cell>
        </row>
        <row r="78">
          <cell r="C78">
            <v>3041.6112614028061</v>
          </cell>
          <cell r="D78">
            <v>3334.3101945509443</v>
          </cell>
          <cell r="E78">
            <v>3971.27876767625</v>
          </cell>
          <cell r="F78">
            <v>4441.8395399844121</v>
          </cell>
          <cell r="G78">
            <v>4689.1861351317657</v>
          </cell>
          <cell r="H78">
            <v>4930.4976378968277</v>
          </cell>
          <cell r="I78">
            <v>5183.5697930777651</v>
          </cell>
          <cell r="J78">
            <v>5449.2955560177497</v>
          </cell>
          <cell r="K78">
            <v>5721.7603338186373</v>
          </cell>
          <cell r="L78">
            <v>6007.8483505095692</v>
          </cell>
          <cell r="M78">
            <v>6308.2407680350479</v>
          </cell>
          <cell r="N78">
            <v>6623.6528064367994</v>
          </cell>
          <cell r="O78">
            <v>6954.8354467586405</v>
          </cell>
          <cell r="P78">
            <v>7302.5772190965727</v>
          </cell>
          <cell r="Q78">
            <v>7667.7060800514009</v>
          </cell>
          <cell r="R78">
            <v>8051.0913840539724</v>
          </cell>
          <cell r="S78">
            <v>8453.6459532566696</v>
          </cell>
          <cell r="T78">
            <v>8876.3282509195051</v>
          </cell>
          <cell r="U78">
            <v>9320.1446634654785</v>
          </cell>
          <cell r="V78">
            <v>9786.1518966387521</v>
          </cell>
          <cell r="W78">
            <v>10275.45949147069</v>
          </cell>
          <cell r="X78">
            <v>10789.232466044226</v>
          </cell>
          <cell r="Y78">
            <v>11328.694089346438</v>
          </cell>
          <cell r="Z78">
            <v>11895.128793813759</v>
          </cell>
          <cell r="AA78">
            <v>12489.885233504448</v>
          </cell>
          <cell r="AB78">
            <v>13114.379495179672</v>
          </cell>
        </row>
        <row r="79">
          <cell r="C79">
            <v>-0.57035450773184038</v>
          </cell>
          <cell r="D79">
            <v>0.1924630782785462</v>
          </cell>
          <cell r="E79">
            <v>0.18983665486144893</v>
          </cell>
          <cell r="F79">
            <v>5.8528428093645626E-2</v>
          </cell>
          <cell r="G79">
            <v>5.3000000000000137E-2</v>
          </cell>
          <cell r="H79">
            <v>4.9999999999999906E-2</v>
          </cell>
          <cell r="L79">
            <v>5.0000000000000031E-2</v>
          </cell>
          <cell r="M79">
            <v>4.9999999999999926E-2</v>
          </cell>
          <cell r="Q79">
            <v>5.0000000000000086E-2</v>
          </cell>
          <cell r="R79">
            <v>5.0000000000000051E-2</v>
          </cell>
          <cell r="AA79">
            <v>5.0000000000000058E-2</v>
          </cell>
          <cell r="AB79">
            <v>5.0000000000000072E-2</v>
          </cell>
        </row>
        <row r="80">
          <cell r="C80">
            <v>-9827.7777777774045</v>
          </cell>
          <cell r="D80">
            <v>-28.020823957930975</v>
          </cell>
          <cell r="E80">
            <v>-12.444687563621242</v>
          </cell>
          <cell r="F80">
            <v>-12.827747466874511</v>
          </cell>
          <cell r="G80">
            <v>-13.822784810126581</v>
          </cell>
          <cell r="H80">
            <v>-14.341463414634147</v>
          </cell>
          <cell r="L80">
            <v>-15.365853658536585</v>
          </cell>
          <cell r="M80">
            <v>-15.365853658536585</v>
          </cell>
          <cell r="Q80">
            <v>-15.365853658536587</v>
          </cell>
          <cell r="R80">
            <v>-15.365853658536585</v>
          </cell>
          <cell r="AA80">
            <v>-15.365853658536585</v>
          </cell>
          <cell r="AB80">
            <v>-15.365853658536587</v>
          </cell>
        </row>
        <row r="81">
          <cell r="C81">
            <v>0.35322345811724692</v>
          </cell>
          <cell r="D81">
            <v>0.62288886656501807</v>
          </cell>
          <cell r="E81">
            <v>0.54226359255563328</v>
          </cell>
          <cell r="F81">
            <v>0.51338199513381988</v>
          </cell>
          <cell r="G81">
            <v>0.51219512195121952</v>
          </cell>
          <cell r="H81">
            <v>0.51219512195121952</v>
          </cell>
          <cell r="L81">
            <v>0.51219512195121952</v>
          </cell>
          <cell r="M81">
            <v>0.51219512195121952</v>
          </cell>
          <cell r="Q81">
            <v>0.51219512195121952</v>
          </cell>
          <cell r="R81">
            <v>0.51219512195121952</v>
          </cell>
          <cell r="AA81">
            <v>0.51219512195121952</v>
          </cell>
          <cell r="AB81">
            <v>0.51219512195121952</v>
          </cell>
        </row>
        <row r="82">
          <cell r="C82">
            <v>33.695238095238096</v>
          </cell>
          <cell r="D82">
            <v>39.822433342173333</v>
          </cell>
          <cell r="E82" t="str">
            <v xml:space="preserve">--  </v>
          </cell>
          <cell r="F82" t="str">
            <v xml:space="preserve">--  </v>
          </cell>
          <cell r="G82" t="str">
            <v xml:space="preserve">--  </v>
          </cell>
          <cell r="H82" t="str">
            <v xml:space="preserve">--  </v>
          </cell>
          <cell r="L82" t="str">
            <v xml:space="preserve">--  </v>
          </cell>
          <cell r="M82" t="str">
            <v xml:space="preserve">--  </v>
          </cell>
          <cell r="Q82" t="str">
            <v xml:space="preserve">--  </v>
          </cell>
          <cell r="R82" t="str">
            <v xml:space="preserve">--  </v>
          </cell>
          <cell r="AA82" t="str">
            <v xml:space="preserve">--  </v>
          </cell>
          <cell r="AB82" t="str">
            <v xml:space="preserve">--  </v>
          </cell>
        </row>
        <row r="83">
          <cell r="C83">
            <v>0.58159963518287627</v>
          </cell>
          <cell r="D83">
            <v>0.6270195718085152</v>
          </cell>
          <cell r="E83">
            <v>0.56696862780947466</v>
          </cell>
          <cell r="F83">
            <v>0.5347847278635256</v>
          </cell>
          <cell r="G83">
            <v>0.53190452995616178</v>
          </cell>
          <cell r="H83">
            <v>0.53116531165311653</v>
          </cell>
          <cell r="I83">
            <v>0.53049440635149769</v>
          </cell>
          <cell r="J83">
            <v>0.52985702270815815</v>
          </cell>
          <cell r="K83">
            <v>0.52985702270815815</v>
          </cell>
          <cell r="L83">
            <v>0.52985702270815804</v>
          </cell>
          <cell r="M83">
            <v>0.52985702270815804</v>
          </cell>
          <cell r="N83">
            <v>0.52985702270815815</v>
          </cell>
          <cell r="O83">
            <v>0.52985702270815815</v>
          </cell>
          <cell r="P83">
            <v>0.52985702270815815</v>
          </cell>
          <cell r="Q83">
            <v>0.52985702270815815</v>
          </cell>
          <cell r="R83">
            <v>0.52985702270815804</v>
          </cell>
          <cell r="S83">
            <v>0.52985702270815815</v>
          </cell>
          <cell r="T83">
            <v>0.52985702270815804</v>
          </cell>
          <cell r="U83">
            <v>0.52985702270815815</v>
          </cell>
          <cell r="V83">
            <v>0.52985702270815815</v>
          </cell>
          <cell r="W83">
            <v>0.52985702270815815</v>
          </cell>
          <cell r="X83">
            <v>0.52985702270815804</v>
          </cell>
          <cell r="Y83">
            <v>0.52985702270815804</v>
          </cell>
          <cell r="Z83">
            <v>0.52985702270815815</v>
          </cell>
          <cell r="AA83">
            <v>0.52985702270815804</v>
          </cell>
          <cell r="AB83">
            <v>0.52985702270815815</v>
          </cell>
        </row>
        <row r="85">
          <cell r="C85">
            <v>70.760000000000005</v>
          </cell>
          <cell r="D85">
            <v>-12</v>
          </cell>
          <cell r="E85">
            <v>-12</v>
          </cell>
          <cell r="F85">
            <v>-13</v>
          </cell>
          <cell r="G85">
            <v>-14</v>
          </cell>
          <cell r="H85">
            <v>-14</v>
          </cell>
          <cell r="L85">
            <v>-15</v>
          </cell>
          <cell r="M85">
            <v>-15</v>
          </cell>
          <cell r="Q85">
            <v>-15</v>
          </cell>
          <cell r="R85">
            <v>-14.999999999999998</v>
          </cell>
          <cell r="AA85">
            <v>-15</v>
          </cell>
          <cell r="AB85">
            <v>-15</v>
          </cell>
        </row>
        <row r="86">
          <cell r="C86">
            <v>0.6075673711839199</v>
          </cell>
          <cell r="D86">
            <v>0.55000000000000004</v>
          </cell>
          <cell r="E86">
            <v>0.5</v>
          </cell>
          <cell r="F86">
            <v>0.5</v>
          </cell>
          <cell r="G86">
            <v>0.5</v>
          </cell>
          <cell r="H86">
            <v>0.5</v>
          </cell>
          <cell r="L86">
            <v>0.5</v>
          </cell>
          <cell r="M86">
            <v>0.5</v>
          </cell>
          <cell r="Q86">
            <v>0.5</v>
          </cell>
          <cell r="R86">
            <v>0.5</v>
          </cell>
          <cell r="AA86">
            <v>0.5</v>
          </cell>
          <cell r="AB86">
            <v>0.5</v>
          </cell>
        </row>
        <row r="87">
          <cell r="C87">
            <v>16.847619047619048</v>
          </cell>
          <cell r="D87" t="e">
            <v>#DIV/0!</v>
          </cell>
          <cell r="E87" t="e">
            <v>#DIV/0!</v>
          </cell>
          <cell r="F87" t="e">
            <v>#DIV/0!</v>
          </cell>
          <cell r="G87" t="e">
            <v>#DIV/0!</v>
          </cell>
          <cell r="H87" t="e">
            <v>#DIV/0!</v>
          </cell>
          <cell r="L87" t="e">
            <v>#DIV/0!</v>
          </cell>
          <cell r="M87" t="e">
            <v>#DIV/0!</v>
          </cell>
          <cell r="Q87" t="e">
            <v>#DIV/0!</v>
          </cell>
          <cell r="R87" t="e">
            <v>#DIV/0!</v>
          </cell>
          <cell r="AA87" t="e">
            <v>#DIV/0!</v>
          </cell>
          <cell r="AB87" t="e">
            <v>#DIV/0!</v>
          </cell>
        </row>
        <row r="88">
          <cell r="C88">
            <v>0.58159963518287627</v>
          </cell>
          <cell r="D88">
            <v>0.57641921397379925</v>
          </cell>
          <cell r="E88">
            <v>0.52173913043478259</v>
          </cell>
          <cell r="F88">
            <v>0.51999999999999991</v>
          </cell>
          <cell r="G88">
            <v>0.51851851851851849</v>
          </cell>
          <cell r="H88">
            <v>0.51851851851851849</v>
          </cell>
          <cell r="L88">
            <v>0.51724137931034475</v>
          </cell>
          <cell r="M88">
            <v>0.51724137931034486</v>
          </cell>
          <cell r="Q88">
            <v>0.51724137931034486</v>
          </cell>
          <cell r="R88">
            <v>0.51724137931034475</v>
          </cell>
          <cell r="AA88">
            <v>0.51724137931034475</v>
          </cell>
          <cell r="AB88">
            <v>0.51724137931034486</v>
          </cell>
        </row>
        <row r="91">
          <cell r="C91" t="str">
            <v>N/A</v>
          </cell>
          <cell r="D91" t="str">
            <v>N/A</v>
          </cell>
          <cell r="E91" t="str">
            <v>NM</v>
          </cell>
          <cell r="F91" t="str">
            <v>NM</v>
          </cell>
          <cell r="G91" t="str">
            <v>NM</v>
          </cell>
          <cell r="H91" t="str">
            <v>NM</v>
          </cell>
          <cell r="L91">
            <v>6.7285229872368971E-2</v>
          </cell>
          <cell r="M91">
            <v>1.0092319896858251E-2</v>
          </cell>
          <cell r="Q91">
            <v>-0.22159311035432508</v>
          </cell>
        </row>
        <row r="92">
          <cell r="C92">
            <v>4.1128638901033764E-2</v>
          </cell>
          <cell r="D92" t="str">
            <v>NM</v>
          </cell>
          <cell r="E92" t="str">
            <v>NM</v>
          </cell>
          <cell r="F92">
            <v>0.11529705275469117</v>
          </cell>
          <cell r="G92">
            <v>0.24811106563755209</v>
          </cell>
          <cell r="H92">
            <v>0.39238715924665568</v>
          </cell>
          <cell r="L92">
            <v>0.12931034482758622</v>
          </cell>
          <cell r="M92">
            <v>0.12931034482758622</v>
          </cell>
          <cell r="Q92">
            <v>0.12931034482758622</v>
          </cell>
          <cell r="R92">
            <v>0.12931034482758616</v>
          </cell>
          <cell r="AA92">
            <v>0.12931034482758619</v>
          </cell>
          <cell r="AB92">
            <v>0.12931034482758613</v>
          </cell>
        </row>
        <row r="93">
          <cell r="C93">
            <v>-0.22159311035432508</v>
          </cell>
          <cell r="D93" t="str">
            <v>NM</v>
          </cell>
          <cell r="E93">
            <v>6.1950095111532801E-2</v>
          </cell>
          <cell r="F93">
            <v>8.1579503719887092E-2</v>
          </cell>
          <cell r="G93">
            <v>0.79632243029470962</v>
          </cell>
          <cell r="H93">
            <v>0.1287735849056601</v>
          </cell>
          <cell r="L93">
            <v>0.13577586206896552</v>
          </cell>
          <cell r="M93">
            <v>0.13577586206896541</v>
          </cell>
          <cell r="Q93">
            <v>0.13577586206896586</v>
          </cell>
          <cell r="R93">
            <v>0.13577586206896522</v>
          </cell>
          <cell r="AA93">
            <v>0.13577586206896522</v>
          </cell>
          <cell r="AB93">
            <v>0.13577586206896564</v>
          </cell>
        </row>
        <row r="96">
          <cell r="C96">
            <v>8.1012892081869819E-2</v>
          </cell>
          <cell r="D96">
            <v>9.8964028067895587E-2</v>
          </cell>
          <cell r="E96">
            <v>9.5533942276160716E-2</v>
          </cell>
          <cell r="F96">
            <v>9.5388621670169496E-2</v>
          </cell>
          <cell r="G96">
            <v>0.10364917615498205</v>
          </cell>
          <cell r="H96">
            <v>0.10891473179949016</v>
          </cell>
          <cell r="L96">
            <v>0.11883046167967669</v>
          </cell>
          <cell r="M96">
            <v>0.12012817419136208</v>
          </cell>
          <cell r="Q96">
            <v>0.12353059727477907</v>
          </cell>
          <cell r="R96">
            <v>0.12410696410608031</v>
          </cell>
          <cell r="AA96">
            <v>0.12717730242298697</v>
          </cell>
          <cell r="AB96">
            <v>0.12738467184848806</v>
          </cell>
        </row>
        <row r="97">
          <cell r="C97">
            <v>0.13929323056813198</v>
          </cell>
          <cell r="D97">
            <v>0.15783243859909066</v>
          </cell>
          <cell r="E97">
            <v>0.16022771404769467</v>
          </cell>
          <cell r="F97">
            <v>0.1658912702932373</v>
          </cell>
          <cell r="G97">
            <v>0.18380302375220742</v>
          </cell>
          <cell r="H97">
            <v>0.19546550375123012</v>
          </cell>
          <cell r="L97">
            <v>0.21805590402906791</v>
          </cell>
          <cell r="M97">
            <v>0.22105740416870798</v>
          </cell>
          <cell r="Q97">
            <v>0.22896663015162932</v>
          </cell>
          <cell r="R97">
            <v>0.23031207783981678</v>
          </cell>
          <cell r="AA97">
            <v>0.23750647234188815</v>
          </cell>
          <cell r="AB97">
            <v>0.23799401273536203</v>
          </cell>
        </row>
        <row r="98">
          <cell r="C98">
            <v>0.58159963518287627</v>
          </cell>
          <cell r="D98">
            <v>0.6270195718085152</v>
          </cell>
          <cell r="E98">
            <v>0.59623856486976601</v>
          </cell>
          <cell r="F98">
            <v>0.57500687951545626</v>
          </cell>
          <cell r="G98">
            <v>0.56391442338139042</v>
          </cell>
          <cell r="H98">
            <v>0.55720692249670045</v>
          </cell>
          <cell r="L98">
            <v>0.5449541126106634</v>
          </cell>
          <cell r="M98">
            <v>0.54342524577770712</v>
          </cell>
          <cell r="Q98">
            <v>0.53951354043588373</v>
          </cell>
          <cell r="R98">
            <v>0.53886433256182653</v>
          </cell>
          <cell r="AA98">
            <v>0.53546878604603498</v>
          </cell>
          <cell r="AB98">
            <v>0.53524317853379666</v>
          </cell>
        </row>
        <row r="99">
          <cell r="C99" t="str">
            <v>N/A</v>
          </cell>
          <cell r="D99">
            <v>0.18184157742459006</v>
          </cell>
          <cell r="E99">
            <v>0.12818620434658601</v>
          </cell>
          <cell r="F99">
            <v>0.10324341283797867</v>
          </cell>
          <cell r="G99">
            <v>8.9684647202367129E-2</v>
          </cell>
          <cell r="H99">
            <v>8.1629504760921234E-2</v>
          </cell>
          <cell r="L99">
            <v>6.7455994442968681E-2</v>
          </cell>
          <cell r="M99">
            <v>6.5697414841082935E-2</v>
          </cell>
          <cell r="Q99">
            <v>6.1188644865041608E-2</v>
          </cell>
          <cell r="R99">
            <v>6.0439039975640707E-2</v>
          </cell>
          <cell r="AA99">
            <v>5.6512292852530788E-2</v>
          </cell>
          <cell r="AB99">
            <v>5.6251027304184076E-2</v>
          </cell>
        </row>
        <row r="100">
          <cell r="C100" t="str">
            <v>N/A</v>
          </cell>
          <cell r="D100">
            <v>0.33913857437229078</v>
          </cell>
          <cell r="E100">
            <v>0.21914477781657604</v>
          </cell>
          <cell r="F100">
            <v>0.19681341270637231</v>
          </cell>
          <cell r="G100">
            <v>0.26125625049707457</v>
          </cell>
          <cell r="H100">
            <v>0.21585147231873636</v>
          </cell>
          <cell r="L100">
            <v>0.13913006281628948</v>
          </cell>
          <cell r="M100">
            <v>0.12988674031279479</v>
          </cell>
          <cell r="Q100">
            <v>0.10646113948910441</v>
          </cell>
          <cell r="R100">
            <v>0.10260436572670906</v>
          </cell>
          <cell r="AA100">
            <v>8.257577475611888E-2</v>
          </cell>
          <cell r="AB100">
            <v>8.1253544768669084E-2</v>
          </cell>
        </row>
        <row r="101">
          <cell r="C101" t="str">
            <v>N/A</v>
          </cell>
          <cell r="D101">
            <v>0.19246307827854614</v>
          </cell>
          <cell r="E101">
            <v>0.19114914267892225</v>
          </cell>
          <cell r="F101">
            <v>0.14519190729615872</v>
          </cell>
          <cell r="G101">
            <v>0.12141354016948069</v>
          </cell>
          <cell r="H101">
            <v>0.10675246073595535</v>
          </cell>
          <cell r="L101">
            <v>8.1456276026120378E-2</v>
          </cell>
          <cell r="M101">
            <v>7.8268700032828153E-2</v>
          </cell>
          <cell r="Q101">
            <v>7.0115151300994327E-2</v>
          </cell>
          <cell r="R101">
            <v>6.8762233355937674E-2</v>
          </cell>
          <cell r="AA101">
            <v>6.1687426135792922E-2</v>
          </cell>
          <cell r="AB101">
            <v>6.1217440919971278E-2</v>
          </cell>
        </row>
        <row r="102">
          <cell r="C102" t="str">
            <v>N/A</v>
          </cell>
          <cell r="D102">
            <v>-1.0607865499872302</v>
          </cell>
          <cell r="E102" t="e">
            <v>#NUM!</v>
          </cell>
          <cell r="F102">
            <v>-0.66337404255947896</v>
          </cell>
          <cell r="G102">
            <v>-0.45409363041748951</v>
          </cell>
          <cell r="H102">
            <v>-0.37359567582735476</v>
          </cell>
          <cell r="L102">
            <v>-0.2120661469571069</v>
          </cell>
          <cell r="M102">
            <v>-0.18911416507432666</v>
          </cell>
          <cell r="Q102">
            <v>-0.12697775533594047</v>
          </cell>
          <cell r="R102">
            <v>-0.11616829694094488</v>
          </cell>
          <cell r="AA102">
            <v>-5.7183939530537686E-2</v>
          </cell>
          <cell r="AB102">
            <v>-5.3114502338591274E-2</v>
          </cell>
        </row>
        <row r="105">
          <cell r="C105" t="str">
            <v>N/A</v>
          </cell>
          <cell r="D105">
            <v>0.22158369519612675</v>
          </cell>
          <cell r="E105">
            <v>-6.8118539622477159E-2</v>
          </cell>
          <cell r="F105">
            <v>3.1184284776661686E-2</v>
          </cell>
          <cell r="G105">
            <v>0.3982968410558434</v>
          </cell>
          <cell r="H105">
            <v>-1.3897574873186214E-3</v>
          </cell>
          <cell r="L105">
            <v>-2.2204460492503131E-16</v>
          </cell>
          <cell r="M105">
            <v>0</v>
          </cell>
          <cell r="Q105">
            <v>0</v>
          </cell>
          <cell r="R105">
            <v>-2.2204460492503131E-16</v>
          </cell>
          <cell r="AA105">
            <v>-2.2204460492503131E-16</v>
          </cell>
          <cell r="AB105">
            <v>2.2204460492503131E-16</v>
          </cell>
        </row>
        <row r="106">
          <cell r="C106" t="str">
            <v>N/A</v>
          </cell>
          <cell r="D106" t="str">
            <v>N/A</v>
          </cell>
          <cell r="E106" t="str">
            <v>N/A</v>
          </cell>
          <cell r="F106" t="str">
            <v>N/A</v>
          </cell>
          <cell r="G106" t="str">
            <v>N/A</v>
          </cell>
          <cell r="H106">
            <v>0.10388317875187125</v>
          </cell>
          <cell r="L106">
            <v>-7.7106589401865211E-4</v>
          </cell>
          <cell r="M106">
            <v>-4.9309688678944585E-4</v>
          </cell>
          <cell r="Q106">
            <v>0</v>
          </cell>
          <cell r="R106">
            <v>0</v>
          </cell>
          <cell r="AA106">
            <v>0</v>
          </cell>
          <cell r="AB106">
            <v>0</v>
          </cell>
        </row>
        <row r="107">
          <cell r="C107" t="str">
            <v>N/A</v>
          </cell>
          <cell r="D107" t="str">
            <v>N/A</v>
          </cell>
          <cell r="E107" t="str">
            <v>N/A</v>
          </cell>
          <cell r="F107" t="str">
            <v>N/A</v>
          </cell>
          <cell r="G107" t="str">
            <v>N/A</v>
          </cell>
          <cell r="H107" t="str">
            <v>N/A</v>
          </cell>
          <cell r="L107" t="str">
            <v>N/A</v>
          </cell>
          <cell r="M107">
            <v>5.0399379947003498E-2</v>
          </cell>
          <cell r="Q107">
            <v>-3.8560729350167744E-4</v>
          </cell>
          <cell r="R107">
            <v>-2.4657884395784535E-4</v>
          </cell>
          <cell r="AA107">
            <v>0</v>
          </cell>
          <cell r="AB107">
            <v>0</v>
          </cell>
        </row>
      </sheetData>
      <sheetData sheetId="6" refreshError="1">
        <row r="1">
          <cell r="AD1" t="str">
            <v>HILTON HOTELS CORP.</v>
          </cell>
        </row>
        <row r="19">
          <cell r="AD19" t="str">
            <v>PV of Operating Leases</v>
          </cell>
          <cell r="AF19" t="str">
            <v>PV of Operating Leases</v>
          </cell>
        </row>
        <row r="21">
          <cell r="AD21">
            <v>12.170005616925671</v>
          </cell>
          <cell r="AF21">
            <v>12.261837389171857</v>
          </cell>
        </row>
        <row r="22">
          <cell r="AD22">
            <v>11.393002824307876</v>
          </cell>
          <cell r="AF22">
            <v>11.565588935268684</v>
          </cell>
        </row>
        <row r="23">
          <cell r="AD23">
            <v>10.665608335805913</v>
          </cell>
          <cell r="AF23">
            <v>10.908874679559219</v>
          </cell>
        </row>
        <row r="24">
          <cell r="AD24">
            <v>9.9846548734374796</v>
          </cell>
          <cell r="AF24">
            <v>10.289449801508415</v>
          </cell>
        </row>
        <row r="25">
          <cell r="AD25">
            <v>9.3471773763691086</v>
          </cell>
          <cell r="AF25">
            <v>9.7051969453956026</v>
          </cell>
        </row>
        <row r="26">
          <cell r="AD26">
            <v>8.9427165757156146</v>
          </cell>
          <cell r="AF26">
            <v>8.9055908654648714</v>
          </cell>
        </row>
        <row r="27">
          <cell r="AD27">
            <v>8.3717623813102566</v>
          </cell>
          <cell r="AF27">
            <v>8.3999159266788102</v>
          </cell>
        </row>
        <row r="28">
          <cell r="AD28">
            <v>7.8372611695471424</v>
          </cell>
          <cell r="AF28">
            <v>7.9229540904346463</v>
          </cell>
        </row>
        <row r="29">
          <cell r="AD29">
            <v>7.3368855734386296</v>
          </cell>
          <cell r="AF29">
            <v>7.4730749768295111</v>
          </cell>
        </row>
        <row r="30">
          <cell r="AD30">
            <v>6.8684568184222341</v>
          </cell>
          <cell r="AF30">
            <v>7.0487407817671306</v>
          </cell>
        </row>
        <row r="31">
          <cell r="AD31">
            <v>6.4299352353700003</v>
          </cell>
          <cell r="AF31">
            <v>6.6485010203425121</v>
          </cell>
        </row>
        <row r="32">
          <cell r="AD32">
            <v>6.0194113793016308</v>
          </cell>
          <cell r="AF32">
            <v>6.2709875687063894</v>
          </cell>
        </row>
        <row r="33">
          <cell r="AD33">
            <v>5.6350977151297803</v>
          </cell>
          <cell r="AF33">
            <v>5.9149099874612245</v>
          </cell>
        </row>
        <row r="34">
          <cell r="AD34">
            <v>5.2753208342349573</v>
          </cell>
          <cell r="AF34">
            <v>5.5790511106029284</v>
          </cell>
        </row>
        <row r="35">
          <cell r="AD35">
            <v>4.9385141679788038</v>
          </cell>
          <cell r="AF35">
            <v>5.2622628849301361</v>
          </cell>
        </row>
        <row r="36">
          <cell r="AD36">
            <v>4.6232111664283888</v>
          </cell>
          <cell r="AF36">
            <v>4.9634624456990544</v>
          </cell>
        </row>
        <row r="37">
          <cell r="AD37">
            <v>4.3280389125897676</v>
          </cell>
          <cell r="AF37">
            <v>4.6816284151094649</v>
          </cell>
        </row>
        <row r="38">
          <cell r="AD38">
            <v>4.0517121443454105</v>
          </cell>
          <cell r="AF38">
            <v>4.415797410969124</v>
          </cell>
        </row>
        <row r="39">
          <cell r="AD39">
            <v>3.7930276580653537</v>
          </cell>
          <cell r="AF39">
            <v>4.1650607536022681</v>
          </cell>
        </row>
        <row r="40">
          <cell r="AD40">
            <v>0</v>
          </cell>
          <cell r="AF40">
            <v>3.9285613597455855</v>
          </cell>
        </row>
        <row r="41">
          <cell r="AD41">
            <v>0</v>
          </cell>
          <cell r="AF41">
            <v>3.705490812814173</v>
          </cell>
        </row>
        <row r="42">
          <cell r="AD42">
            <v>0</v>
          </cell>
          <cell r="AF42">
            <v>3.495086599522895</v>
          </cell>
        </row>
        <row r="43">
          <cell r="AD43">
            <v>0</v>
          </cell>
          <cell r="AF43">
            <v>0</v>
          </cell>
        </row>
        <row r="44">
          <cell r="AD44">
            <v>0</v>
          </cell>
          <cell r="AF44">
            <v>0</v>
          </cell>
        </row>
        <row r="45">
          <cell r="AD45">
            <v>0</v>
          </cell>
          <cell r="AF45">
            <v>0</v>
          </cell>
        </row>
        <row r="46">
          <cell r="AD46">
            <v>0</v>
          </cell>
          <cell r="AF46">
            <v>0</v>
          </cell>
        </row>
        <row r="47">
          <cell r="AD47">
            <v>0</v>
          </cell>
          <cell r="AF47">
            <v>0</v>
          </cell>
        </row>
        <row r="48">
          <cell r="AD48">
            <v>0</v>
          </cell>
          <cell r="AF48">
            <v>0</v>
          </cell>
        </row>
        <row r="49">
          <cell r="AD49">
            <v>0</v>
          </cell>
          <cell r="AF49">
            <v>0</v>
          </cell>
        </row>
        <row r="50">
          <cell r="AD50">
            <v>0</v>
          </cell>
          <cell r="AF50">
            <v>0</v>
          </cell>
        </row>
        <row r="51">
          <cell r="AD51">
            <v>0</v>
          </cell>
          <cell r="AF51">
            <v>0</v>
          </cell>
        </row>
        <row r="52">
          <cell r="AD52">
            <v>0</v>
          </cell>
          <cell r="AF52">
            <v>0</v>
          </cell>
        </row>
        <row r="53">
          <cell r="AD53">
            <v>0</v>
          </cell>
          <cell r="AF53">
            <v>0</v>
          </cell>
        </row>
        <row r="54">
          <cell r="AD54">
            <v>0</v>
          </cell>
          <cell r="AF54">
            <v>0</v>
          </cell>
        </row>
        <row r="55">
          <cell r="AD55">
            <v>0</v>
          </cell>
          <cell r="AF55">
            <v>0</v>
          </cell>
        </row>
        <row r="56">
          <cell r="AD56">
            <v>0</v>
          </cell>
          <cell r="AF56">
            <v>0</v>
          </cell>
        </row>
        <row r="57">
          <cell r="AD57">
            <v>0</v>
          </cell>
          <cell r="AF57">
            <v>0</v>
          </cell>
        </row>
        <row r="58">
          <cell r="AD58">
            <v>0</v>
          </cell>
          <cell r="AF58">
            <v>0</v>
          </cell>
        </row>
        <row r="59">
          <cell r="AD59">
            <v>0</v>
          </cell>
          <cell r="AF59">
            <v>0</v>
          </cell>
        </row>
        <row r="60">
          <cell r="AD60">
            <v>0</v>
          </cell>
          <cell r="AF60">
            <v>0</v>
          </cell>
        </row>
        <row r="62">
          <cell r="D62">
            <v>0</v>
          </cell>
          <cell r="F62">
            <v>0</v>
          </cell>
          <cell r="H62">
            <v>0</v>
          </cell>
          <cell r="J62">
            <v>0</v>
          </cell>
          <cell r="L62">
            <v>0</v>
          </cell>
          <cell r="N62">
            <v>0</v>
          </cell>
          <cell r="P62">
            <v>22.589905126791361</v>
          </cell>
          <cell r="R62">
            <v>36.185102450009104</v>
          </cell>
          <cell r="T62">
            <v>35.808679533591153</v>
          </cell>
          <cell r="V62">
            <v>39.473921800400568</v>
          </cell>
          <cell r="X62">
            <v>34.393112658610754</v>
          </cell>
          <cell r="Z62">
            <v>72.633872262788742</v>
          </cell>
          <cell r="AB62">
            <v>100.30528520333424</v>
          </cell>
          <cell r="AD62">
            <v>138.01180075872401</v>
          </cell>
          <cell r="AF62">
            <v>153.51202476158448</v>
          </cell>
        </row>
        <row r="63">
          <cell r="AD63">
            <v>9.4124048117449775</v>
          </cell>
          <cell r="AF63">
            <v>9.2414238906473862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Prilosec"/>
      <sheetName val="MKTD"/>
      <sheetName val="PPLN-brand "/>
      <sheetName val="PPLN-generic"/>
      <sheetName val="IMS"/>
      <sheetName val="VAR"/>
      <sheetName val="SUMMARY"/>
      <sheetName val="iQ_US_CoreIndustrials  "/>
      <sheetName val="P&amp;L Review"/>
      <sheetName val="ADRX"/>
      <sheetName val="#REF"/>
    </sheetNames>
    <sheetDataSet>
      <sheetData sheetId="0">
        <row r="3">
          <cell r="A3" t="str">
            <v>Product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>
        <row r="3">
          <cell r="A3" t="str">
            <v>Product</v>
          </cell>
          <cell r="C3">
            <v>36739</v>
          </cell>
          <cell r="D3">
            <v>36770</v>
          </cell>
          <cell r="E3">
            <v>36800</v>
          </cell>
          <cell r="F3">
            <v>36831</v>
          </cell>
          <cell r="G3">
            <v>36861</v>
          </cell>
          <cell r="H3" t="str">
            <v>Q4:00</v>
          </cell>
          <cell r="I3">
            <v>36892</v>
          </cell>
          <cell r="J3">
            <v>36923</v>
          </cell>
          <cell r="K3">
            <v>36951</v>
          </cell>
          <cell r="L3" t="str">
            <v>Q1:01</v>
          </cell>
          <cell r="M3">
            <v>36982</v>
          </cell>
          <cell r="N3">
            <v>37012</v>
          </cell>
          <cell r="O3">
            <v>37043</v>
          </cell>
          <cell r="P3" t="str">
            <v>Q2:01</v>
          </cell>
          <cell r="Q3">
            <v>37073</v>
          </cell>
          <cell r="R3">
            <v>37104</v>
          </cell>
          <cell r="S3">
            <v>37135</v>
          </cell>
          <cell r="T3" t="str">
            <v>Q3:01</v>
          </cell>
          <cell r="U3">
            <v>37165</v>
          </cell>
          <cell r="V3">
            <v>37196</v>
          </cell>
          <cell r="W3">
            <v>37226</v>
          </cell>
          <cell r="X3" t="str">
            <v>Q4:01</v>
          </cell>
          <cell r="Y3">
            <v>37257</v>
          </cell>
          <cell r="Z3">
            <v>37288</v>
          </cell>
          <cell r="AA3">
            <v>37316</v>
          </cell>
          <cell r="AB3" t="str">
            <v>Q1:02</v>
          </cell>
          <cell r="AC3">
            <v>37347</v>
          </cell>
          <cell r="AD3">
            <v>37377</v>
          </cell>
          <cell r="AE3">
            <v>37408</v>
          </cell>
          <cell r="AF3" t="str">
            <v>Q2:02</v>
          </cell>
          <cell r="AG3">
            <v>37438</v>
          </cell>
          <cell r="AH3">
            <v>37469</v>
          </cell>
          <cell r="AI3">
            <v>37500</v>
          </cell>
          <cell r="AJ3" t="str">
            <v>Q3:02</v>
          </cell>
          <cell r="AK3">
            <v>37530</v>
          </cell>
          <cell r="AL3">
            <v>37561</v>
          </cell>
          <cell r="AM3">
            <v>37591</v>
          </cell>
          <cell r="AN3" t="str">
            <v>Q4:02</v>
          </cell>
          <cell r="AO3">
            <v>37622</v>
          </cell>
          <cell r="AP3">
            <v>37653</v>
          </cell>
          <cell r="AQ3">
            <v>37681</v>
          </cell>
          <cell r="AR3" t="str">
            <v>Q1:03</v>
          </cell>
          <cell r="AS3">
            <v>37712</v>
          </cell>
          <cell r="AT3">
            <v>37742</v>
          </cell>
          <cell r="AU3">
            <v>37773</v>
          </cell>
          <cell r="AV3" t="str">
            <v>Q2:03</v>
          </cell>
          <cell r="AW3">
            <v>37803</v>
          </cell>
          <cell r="AX3">
            <v>37834</v>
          </cell>
          <cell r="AY3">
            <v>37865</v>
          </cell>
          <cell r="AZ3" t="str">
            <v>Q3:03</v>
          </cell>
          <cell r="BA3">
            <v>37895</v>
          </cell>
          <cell r="BB3">
            <v>37926</v>
          </cell>
          <cell r="BC3">
            <v>37956</v>
          </cell>
          <cell r="BD3" t="str">
            <v>Q4:03</v>
          </cell>
          <cell r="BE3">
            <v>37987</v>
          </cell>
          <cell r="BF3">
            <v>38018</v>
          </cell>
          <cell r="BG3">
            <v>38047</v>
          </cell>
          <cell r="BH3" t="str">
            <v>Q1:04</v>
          </cell>
          <cell r="BI3">
            <v>38078</v>
          </cell>
          <cell r="BJ3">
            <v>38108</v>
          </cell>
          <cell r="BK3">
            <v>38139</v>
          </cell>
          <cell r="BL3" t="str">
            <v>Q2:04</v>
          </cell>
          <cell r="BM3">
            <v>38169</v>
          </cell>
          <cell r="BN3">
            <v>38200</v>
          </cell>
          <cell r="BO3">
            <v>38231</v>
          </cell>
          <cell r="BP3" t="str">
            <v>Q3:04E</v>
          </cell>
        </row>
        <row r="5">
          <cell r="A5" t="str">
            <v>Generics</v>
          </cell>
        </row>
        <row r="6">
          <cell r="A6" t="str">
            <v xml:space="preserve">CARTIA XT </v>
          </cell>
        </row>
        <row r="7">
          <cell r="A7" t="str">
            <v>TRx</v>
          </cell>
          <cell r="D7">
            <v>531297</v>
          </cell>
          <cell r="E7">
            <v>550276</v>
          </cell>
          <cell r="F7">
            <v>529467</v>
          </cell>
          <cell r="G7">
            <v>537430</v>
          </cell>
          <cell r="H7">
            <v>1617173</v>
          </cell>
          <cell r="I7">
            <v>553828</v>
          </cell>
          <cell r="J7">
            <v>498811</v>
          </cell>
          <cell r="K7">
            <v>548017</v>
          </cell>
          <cell r="L7">
            <v>1600656</v>
          </cell>
          <cell r="M7">
            <v>521214</v>
          </cell>
          <cell r="N7">
            <v>542878</v>
          </cell>
          <cell r="O7">
            <v>519448</v>
          </cell>
          <cell r="P7">
            <v>1583540</v>
          </cell>
          <cell r="Q7">
            <v>532868</v>
          </cell>
          <cell r="R7">
            <v>513909</v>
          </cell>
          <cell r="S7">
            <v>438289</v>
          </cell>
          <cell r="T7">
            <v>1485066</v>
          </cell>
          <cell r="U7">
            <v>462198</v>
          </cell>
          <cell r="V7">
            <v>437619</v>
          </cell>
          <cell r="W7">
            <v>449469</v>
          </cell>
          <cell r="X7">
            <v>1349286</v>
          </cell>
          <cell r="Y7">
            <v>460675</v>
          </cell>
          <cell r="Z7">
            <v>416894</v>
          </cell>
          <cell r="AA7">
            <v>454568</v>
          </cell>
          <cell r="AB7">
            <v>1332137</v>
          </cell>
          <cell r="AC7">
            <v>463552</v>
          </cell>
          <cell r="AD7">
            <v>461606</v>
          </cell>
          <cell r="AE7">
            <v>433676</v>
          </cell>
          <cell r="AF7">
            <v>1358834</v>
          </cell>
          <cell r="AG7">
            <v>464356</v>
          </cell>
          <cell r="AH7">
            <v>452259</v>
          </cell>
          <cell r="AI7">
            <v>426827</v>
          </cell>
          <cell r="AJ7">
            <v>1343442</v>
          </cell>
          <cell r="AK7">
            <v>454107</v>
          </cell>
          <cell r="AL7">
            <v>432144</v>
          </cell>
          <cell r="AM7">
            <v>457531</v>
          </cell>
          <cell r="AN7">
            <v>1343782</v>
          </cell>
          <cell r="AO7">
            <v>451537</v>
          </cell>
          <cell r="AP7">
            <v>409586</v>
          </cell>
          <cell r="AQ7">
            <v>439998</v>
          </cell>
          <cell r="AR7">
            <v>1301121</v>
          </cell>
          <cell r="AS7">
            <v>428398</v>
          </cell>
          <cell r="AT7">
            <v>432290</v>
          </cell>
          <cell r="AU7">
            <v>420898</v>
          </cell>
          <cell r="AV7">
            <v>1281586</v>
          </cell>
          <cell r="AW7">
            <v>433542</v>
          </cell>
          <cell r="AX7">
            <v>417108</v>
          </cell>
          <cell r="AY7">
            <v>419723</v>
          </cell>
          <cell r="AZ7">
            <v>1270373</v>
          </cell>
          <cell r="BA7">
            <v>435094</v>
          </cell>
          <cell r="BB7">
            <v>402245</v>
          </cell>
          <cell r="BC7">
            <v>441849</v>
          </cell>
          <cell r="BD7">
            <v>1279188</v>
          </cell>
          <cell r="BE7">
            <v>430469</v>
          </cell>
          <cell r="BF7">
            <v>395948</v>
          </cell>
          <cell r="BG7">
            <v>438062</v>
          </cell>
          <cell r="BH7">
            <v>1264479</v>
          </cell>
          <cell r="BI7">
            <v>417782</v>
          </cell>
          <cell r="BJ7">
            <v>410243</v>
          </cell>
          <cell r="BK7">
            <v>424429</v>
          </cell>
          <cell r="BL7">
            <v>1252454</v>
          </cell>
          <cell r="BM7">
            <v>420925</v>
          </cell>
          <cell r="BN7">
            <v>422748</v>
          </cell>
          <cell r="BO7">
            <v>409786</v>
          </cell>
          <cell r="BP7">
            <v>1253459</v>
          </cell>
        </row>
        <row r="8">
          <cell r="A8" t="str">
            <v xml:space="preserve">  % Change</v>
          </cell>
          <cell r="S8">
            <v>-0.17505839483377472</v>
          </cell>
          <cell r="U8">
            <v>-0.16006149641270928</v>
          </cell>
          <cell r="V8">
            <v>-0.17347256769543706</v>
          </cell>
          <cell r="W8">
            <v>-0.16366968721507913</v>
          </cell>
          <cell r="X8">
            <v>-0.16565141762816971</v>
          </cell>
          <cell r="Y8">
            <v>-0.1681984298374225</v>
          </cell>
          <cell r="Z8">
            <v>-0.16422452592264403</v>
          </cell>
          <cell r="AA8">
            <v>-0.17052208234416089</v>
          </cell>
          <cell r="AB8">
            <v>-0.1677555952059655</v>
          </cell>
          <cell r="AC8">
            <v>-0.11063018261213242</v>
          </cell>
          <cell r="AD8">
            <v>-0.1497058270919065</v>
          </cell>
          <cell r="AE8">
            <v>-0.16512143660193124</v>
          </cell>
          <cell r="AF8">
            <v>-0.1419010571251752</v>
          </cell>
          <cell r="AG8">
            <v>-0.12857217922637498</v>
          </cell>
          <cell r="AH8">
            <v>-0.11996287280432916</v>
          </cell>
          <cell r="AI8">
            <v>-2.6151694429930927E-2</v>
          </cell>
          <cell r="AJ8">
            <v>-9.5365458504874545E-2</v>
          </cell>
          <cell r="AK8">
            <v>-1.7505484662417414E-2</v>
          </cell>
          <cell r="AL8">
            <v>-1.2510882754176555E-2</v>
          </cell>
          <cell r="AM8">
            <v>1.7936720886201352E-2</v>
          </cell>
          <cell r="AN8">
            <v>-4.0791944776719102E-3</v>
          </cell>
          <cell r="AO8">
            <v>-1.983611005589625E-2</v>
          </cell>
          <cell r="AP8">
            <v>-1.7529635830690782E-2</v>
          </cell>
          <cell r="AQ8">
            <v>-3.2052410200454018E-2</v>
          </cell>
          <cell r="AR8">
            <v>-2.3282890573567139E-2</v>
          </cell>
          <cell r="AS8">
            <v>-7.5836152146900426E-2</v>
          </cell>
          <cell r="AT8">
            <v>-6.3508706559273542E-2</v>
          </cell>
          <cell r="AU8">
            <v>-2.9464392772484582E-2</v>
          </cell>
          <cell r="AV8">
            <v>-5.6848739433955853E-2</v>
          </cell>
          <cell r="AW8">
            <v>-6.6358569718061089E-2</v>
          </cell>
          <cell r="AX8">
            <v>-7.7723163054798206E-2</v>
          </cell>
          <cell r="AY8">
            <v>-1.6643745592476611E-2</v>
          </cell>
          <cell r="AZ8">
            <v>-5.4389396788249833E-2</v>
          </cell>
          <cell r="BA8">
            <v>-4.186898682469109E-2</v>
          </cell>
          <cell r="BB8">
            <v>-6.9187585619608249E-2</v>
          </cell>
          <cell r="BC8">
            <v>-3.4275273150890295E-2</v>
          </cell>
          <cell r="BD8">
            <v>-4.8068808779995531E-2</v>
          </cell>
          <cell r="BE8">
            <v>-4.6658413374762175E-2</v>
          </cell>
          <cell r="BF8">
            <v>-3.3297036519802869E-2</v>
          </cell>
          <cell r="BG8">
            <v>-4.4000200000908762E-3</v>
          </cell>
          <cell r="BH8">
            <v>-2.8161869649325433E-2</v>
          </cell>
          <cell r="BI8">
            <v>-2.4780694587743124E-2</v>
          </cell>
          <cell r="BJ8">
            <v>-5.1000485785005489E-2</v>
          </cell>
          <cell r="BK8">
            <v>8.3892059358798843E-3</v>
          </cell>
          <cell r="BL8">
            <v>-2.2731209610591829E-2</v>
          </cell>
          <cell r="BM8">
            <v>-2.9102140046408431E-2</v>
          </cell>
          <cell r="BN8">
            <v>1.3521677838833179E-2</v>
          </cell>
          <cell r="BO8">
            <v>-2.3675138126812212E-2</v>
          </cell>
          <cell r="BP8">
            <v>-1.3314199845242292E-2</v>
          </cell>
        </row>
        <row r="9">
          <cell r="A9" t="str">
            <v>31300:CALCIUM BLOCKERS</v>
          </cell>
          <cell r="C9">
            <v>8141171</v>
          </cell>
          <cell r="D9">
            <v>7735778</v>
          </cell>
          <cell r="E9">
            <v>8068670</v>
          </cell>
          <cell r="F9">
            <v>7831795</v>
          </cell>
          <cell r="G9">
            <v>8007040</v>
          </cell>
          <cell r="H9">
            <v>23907505</v>
          </cell>
          <cell r="I9">
            <v>8207044</v>
          </cell>
          <cell r="J9">
            <v>7400997</v>
          </cell>
          <cell r="K9">
            <v>8157756</v>
          </cell>
          <cell r="L9">
            <v>23765797</v>
          </cell>
          <cell r="M9">
            <v>7748947</v>
          </cell>
          <cell r="N9">
            <v>8027394</v>
          </cell>
          <cell r="O9">
            <v>7702158</v>
          </cell>
          <cell r="P9">
            <v>23478499</v>
          </cell>
          <cell r="Q9">
            <v>7867939</v>
          </cell>
          <cell r="R9">
            <v>7928543</v>
          </cell>
          <cell r="S9">
            <v>7363604</v>
          </cell>
          <cell r="T9">
            <v>23160086</v>
          </cell>
          <cell r="U9">
            <v>8007406</v>
          </cell>
          <cell r="V9">
            <v>7650658</v>
          </cell>
          <cell r="W9">
            <v>7835929</v>
          </cell>
          <cell r="X9">
            <v>23493993</v>
          </cell>
          <cell r="Y9">
            <v>7976857</v>
          </cell>
          <cell r="Z9">
            <v>7234606</v>
          </cell>
          <cell r="AA9">
            <v>7780456</v>
          </cell>
          <cell r="AB9">
            <v>22991919</v>
          </cell>
          <cell r="AC9">
            <v>7872028</v>
          </cell>
          <cell r="AD9">
            <v>7877609</v>
          </cell>
          <cell r="AE9">
            <v>7379542</v>
          </cell>
          <cell r="AF9">
            <v>23129179</v>
          </cell>
          <cell r="AG9">
            <v>7847721</v>
          </cell>
          <cell r="AH9">
            <v>7648233</v>
          </cell>
          <cell r="AI9">
            <v>7290185</v>
          </cell>
          <cell r="AJ9">
            <v>22786139</v>
          </cell>
          <cell r="AK9">
            <v>7663700</v>
          </cell>
          <cell r="AL9">
            <v>7299824</v>
          </cell>
          <cell r="AM9">
            <v>7752317</v>
          </cell>
          <cell r="AN9">
            <v>22715841</v>
          </cell>
          <cell r="AO9">
            <v>7642984</v>
          </cell>
          <cell r="AP9">
            <v>6943941</v>
          </cell>
          <cell r="AQ9">
            <v>7544795</v>
          </cell>
          <cell r="AR9">
            <v>22131720</v>
          </cell>
          <cell r="AS9">
            <v>7337052</v>
          </cell>
          <cell r="AT9">
            <v>7530839</v>
          </cell>
          <cell r="AU9">
            <v>7316117</v>
          </cell>
          <cell r="AV9">
            <v>22184008</v>
          </cell>
          <cell r="AW9">
            <v>7316117</v>
          </cell>
          <cell r="AX9">
            <v>7254079</v>
          </cell>
          <cell r="AZ9">
            <v>14570196</v>
          </cell>
          <cell r="BD9">
            <v>0</v>
          </cell>
          <cell r="BH9">
            <v>0</v>
          </cell>
          <cell r="BL9">
            <v>0</v>
          </cell>
          <cell r="BP9">
            <v>0</v>
          </cell>
        </row>
        <row r="10">
          <cell r="A10" t="str">
            <v>TRx Market Share</v>
          </cell>
          <cell r="H10">
            <v>6.764290125632097E-2</v>
          </cell>
          <cell r="L10">
            <v>6.7351244311310079E-2</v>
          </cell>
          <cell r="P10">
            <v>6.7446389992818531E-2</v>
          </cell>
          <cell r="T10">
            <v>6.4121782622050719E-2</v>
          </cell>
          <cell r="X10">
            <v>5.7431105900133707E-2</v>
          </cell>
          <cell r="AB10">
            <v>5.7939356867080127E-2</v>
          </cell>
          <cell r="AC10">
            <v>5.8885969409661655E-2</v>
          </cell>
          <cell r="AD10">
            <v>5.859722156811794E-2</v>
          </cell>
          <cell r="AE10">
            <v>5.8767332715228125E-2</v>
          </cell>
          <cell r="AF10">
            <v>5.8749772311416676E-2</v>
          </cell>
          <cell r="AG10">
            <v>5.9170808952051172E-2</v>
          </cell>
          <cell r="AH10">
            <v>5.913248197328716E-2</v>
          </cell>
          <cell r="AI10">
            <v>5.8548171274117183E-2</v>
          </cell>
          <cell r="AJ10">
            <v>5.8958738029290525E-2</v>
          </cell>
          <cell r="AK10">
            <v>5.9254276654879499E-2</v>
          </cell>
          <cell r="AL10">
            <v>5.9199235488417254E-2</v>
          </cell>
          <cell r="AM10">
            <v>5.9018613402934891E-2</v>
          </cell>
          <cell r="AN10">
            <v>5.9156163313522046E-2</v>
          </cell>
          <cell r="AO10">
            <v>5.9078626881856618E-2</v>
          </cell>
          <cell r="AP10">
            <v>5.8984660151922372E-2</v>
          </cell>
          <cell r="AQ10">
            <v>5.8318085514583236E-2</v>
          </cell>
          <cell r="AR10">
            <v>5.8789872635294498E-2</v>
          </cell>
          <cell r="AS10">
            <v>5.8388300914318174E-2</v>
          </cell>
          <cell r="AT10">
            <v>5.7402634686520321E-2</v>
          </cell>
          <cell r="AU10">
            <v>5.7530244527254006E-2</v>
          </cell>
          <cell r="AV10">
            <v>5.7770714832053795E-2</v>
          </cell>
          <cell r="AW10">
            <v>5.9258483701121786E-2</v>
          </cell>
          <cell r="AX10">
            <v>5.7499787361014403E-2</v>
          </cell>
          <cell r="AY10" t="e">
            <v>#DIV/0!</v>
          </cell>
          <cell r="AZ10">
            <v>8.7189836018678135E-2</v>
          </cell>
          <cell r="BD10" t="e">
            <v>#DIV/0!</v>
          </cell>
          <cell r="BH10" t="e">
            <v>#DIV/0!</v>
          </cell>
          <cell r="BL10" t="e">
            <v>#DIV/0!</v>
          </cell>
          <cell r="BP10" t="e">
            <v>#DIV/0!</v>
          </cell>
        </row>
        <row r="11">
          <cell r="A11" t="str">
            <v>TRx Market Growth</v>
          </cell>
          <cell r="X11">
            <v>-1.7296325986337791E-2</v>
          </cell>
          <cell r="AB11">
            <v>-3.256267820515335E-2</v>
          </cell>
          <cell r="AF11">
            <v>-1.4878293539974607E-2</v>
          </cell>
          <cell r="AJ11">
            <v>-1.6146183567712136E-2</v>
          </cell>
          <cell r="AK11">
            <v>-4.2923513557324267E-2</v>
          </cell>
          <cell r="AL11">
            <v>-4.5856709318335742E-2</v>
          </cell>
          <cell r="AM11">
            <v>-1.0670336599527652E-2</v>
          </cell>
          <cell r="AN11">
            <v>-3.3121317436333619E-2</v>
          </cell>
          <cell r="AO11">
            <v>-4.1855206881607598E-2</v>
          </cell>
          <cell r="AP11">
            <v>-4.0177032446549243E-2</v>
          </cell>
          <cell r="AQ11">
            <v>-3.028884168228696E-2</v>
          </cell>
          <cell r="AR11">
            <v>-3.7413101533630089E-2</v>
          </cell>
          <cell r="AS11">
            <v>-6.7959107869026925E-2</v>
          </cell>
          <cell r="AT11">
            <v>-4.4019701917167975E-2</v>
          </cell>
          <cell r="AU11">
            <v>-8.5947068259791815E-3</v>
          </cell>
          <cell r="AV11">
            <v>-4.0864874624386816E-2</v>
          </cell>
          <cell r="AW11">
            <v>-6.7739920927362252E-2</v>
          </cell>
          <cell r="AX11">
            <v>-5.1535302337154199E-2</v>
          </cell>
          <cell r="AY11">
            <v>-1</v>
          </cell>
          <cell r="AZ11">
            <v>-0.36056758014159396</v>
          </cell>
          <cell r="BD11">
            <v>-1</v>
          </cell>
          <cell r="BH11">
            <v>-1</v>
          </cell>
          <cell r="BL11">
            <v>-1</v>
          </cell>
          <cell r="BP11">
            <v>-1</v>
          </cell>
        </row>
        <row r="12">
          <cell r="A12" t="str">
            <v>NRx</v>
          </cell>
          <cell r="D12">
            <v>166409</v>
          </cell>
          <cell r="E12">
            <v>173259</v>
          </cell>
          <cell r="F12">
            <v>165630</v>
          </cell>
          <cell r="G12">
            <v>165900</v>
          </cell>
          <cell r="H12">
            <v>504789</v>
          </cell>
          <cell r="I12">
            <v>184981</v>
          </cell>
          <cell r="J12">
            <v>166854</v>
          </cell>
          <cell r="K12">
            <v>179166</v>
          </cell>
          <cell r="L12">
            <v>531001</v>
          </cell>
          <cell r="M12">
            <v>164011</v>
          </cell>
          <cell r="N12">
            <v>167609</v>
          </cell>
          <cell r="O12">
            <v>157728</v>
          </cell>
          <cell r="P12">
            <v>489348</v>
          </cell>
          <cell r="Q12">
            <v>158889</v>
          </cell>
          <cell r="R12">
            <v>152592</v>
          </cell>
          <cell r="S12">
            <v>128156</v>
          </cell>
          <cell r="T12">
            <v>439637</v>
          </cell>
          <cell r="U12">
            <v>138618</v>
          </cell>
          <cell r="V12">
            <v>131380</v>
          </cell>
          <cell r="W12">
            <v>132108</v>
          </cell>
          <cell r="X12">
            <v>402106</v>
          </cell>
          <cell r="Y12">
            <v>151833</v>
          </cell>
          <cell r="Z12">
            <v>138182</v>
          </cell>
          <cell r="AA12">
            <v>145790</v>
          </cell>
          <cell r="AB12">
            <v>435805</v>
          </cell>
          <cell r="AC12">
            <v>142998</v>
          </cell>
          <cell r="AD12">
            <v>138455</v>
          </cell>
          <cell r="AE12">
            <v>125286</v>
          </cell>
          <cell r="AF12">
            <v>406739</v>
          </cell>
          <cell r="AG12">
            <v>135314</v>
          </cell>
          <cell r="AH12">
            <v>129282</v>
          </cell>
          <cell r="AI12">
            <v>122433</v>
          </cell>
          <cell r="AJ12">
            <v>387029</v>
          </cell>
          <cell r="AK12">
            <v>132389</v>
          </cell>
          <cell r="AL12">
            <v>126699</v>
          </cell>
          <cell r="AM12">
            <v>133372</v>
          </cell>
          <cell r="AN12">
            <v>392460</v>
          </cell>
          <cell r="AO12">
            <v>143746</v>
          </cell>
          <cell r="AP12">
            <v>131088</v>
          </cell>
          <cell r="AQ12">
            <v>136305</v>
          </cell>
          <cell r="AR12">
            <v>411139</v>
          </cell>
          <cell r="AS12">
            <v>127935</v>
          </cell>
          <cell r="AT12">
            <v>127507</v>
          </cell>
          <cell r="AU12">
            <v>122884</v>
          </cell>
          <cell r="AV12">
            <v>378326</v>
          </cell>
          <cell r="AW12">
            <v>124142</v>
          </cell>
          <cell r="AX12">
            <v>117750</v>
          </cell>
          <cell r="AY12">
            <v>121566</v>
          </cell>
          <cell r="AZ12">
            <v>363458</v>
          </cell>
          <cell r="BA12">
            <v>128927</v>
          </cell>
          <cell r="BB12">
            <v>116436</v>
          </cell>
          <cell r="BC12">
            <v>129816</v>
          </cell>
          <cell r="BD12">
            <v>375179</v>
          </cell>
          <cell r="BE12">
            <v>132615</v>
          </cell>
          <cell r="BF12">
            <v>126389</v>
          </cell>
          <cell r="BG12">
            <v>137254</v>
          </cell>
          <cell r="BH12">
            <v>396258</v>
          </cell>
          <cell r="BI12">
            <v>128631</v>
          </cell>
          <cell r="BJ12">
            <v>123596</v>
          </cell>
          <cell r="BK12">
            <v>127389</v>
          </cell>
          <cell r="BL12">
            <v>379616</v>
          </cell>
          <cell r="BM12">
            <v>124217</v>
          </cell>
          <cell r="BN12">
            <v>123620</v>
          </cell>
          <cell r="BO12">
            <v>122096</v>
          </cell>
          <cell r="BP12">
            <v>369933</v>
          </cell>
        </row>
        <row r="13">
          <cell r="A13" t="str">
            <v xml:space="preserve">  % Change</v>
          </cell>
          <cell r="S13">
            <v>-0.22987338425205373</v>
          </cell>
          <cell r="U13">
            <v>-0.19993766557581427</v>
          </cell>
          <cell r="V13">
            <v>-0.20678621022761579</v>
          </cell>
          <cell r="W13">
            <v>-0.20368896925858948</v>
          </cell>
          <cell r="X13">
            <v>-0.20341766559889385</v>
          </cell>
          <cell r="Y13">
            <v>-0.17919678237224368</v>
          </cell>
          <cell r="Z13">
            <v>-0.17183885312908287</v>
          </cell>
          <cell r="AA13">
            <v>-0.18628534431756028</v>
          </cell>
          <cell r="AB13">
            <v>-0.17927649853766758</v>
          </cell>
          <cell r="AC13">
            <v>-0.12811945540238157</v>
          </cell>
          <cell r="AD13">
            <v>-0.17394054018578953</v>
          </cell>
          <cell r="AE13">
            <v>-0.20568320146074259</v>
          </cell>
          <cell r="AF13">
            <v>-0.16881442245600264</v>
          </cell>
          <cell r="AG13">
            <v>-0.14837402211606843</v>
          </cell>
          <cell r="AH13">
            <v>-0.15276030198175528</v>
          </cell>
          <cell r="AI13">
            <v>-4.4656512375542357E-2</v>
          </cell>
          <cell r="AJ13">
            <v>-0.11966235780882861</v>
          </cell>
          <cell r="AK13">
            <v>-4.4936444040456491E-2</v>
          </cell>
          <cell r="AL13">
            <v>-3.5629471761303044E-2</v>
          </cell>
          <cell r="AM13">
            <v>9.5679292699912821E-3</v>
          </cell>
          <cell r="AN13">
            <v>-2.3988699497147548E-2</v>
          </cell>
          <cell r="AO13">
            <v>-5.3262465998827668E-2</v>
          </cell>
          <cell r="AP13">
            <v>-5.1338090344618004E-2</v>
          </cell>
          <cell r="AQ13">
            <v>-6.5059331915769292E-2</v>
          </cell>
          <cell r="AR13">
            <v>-5.659870813781398E-2</v>
          </cell>
          <cell r="AS13">
            <v>-0.10533713758234375</v>
          </cell>
          <cell r="AT13">
            <v>-7.9072622873857967E-2</v>
          </cell>
          <cell r="AU13">
            <v>-1.9172134157048659E-2</v>
          </cell>
          <cell r="AV13">
            <v>-6.9855607650114671E-2</v>
          </cell>
          <cell r="AW13">
            <v>-8.2563518926349055E-2</v>
          </cell>
          <cell r="AX13">
            <v>-8.9200352717315634E-2</v>
          </cell>
          <cell r="AY13">
            <v>-7.0814241258484456E-3</v>
          </cell>
          <cell r="AZ13">
            <v>-6.0902412997475674E-2</v>
          </cell>
          <cell r="BA13">
            <v>-2.6150208854209933E-2</v>
          </cell>
          <cell r="BB13">
            <v>-8.1003007127128046E-2</v>
          </cell>
          <cell r="BC13">
            <v>-2.6662267942296758E-2</v>
          </cell>
          <cell r="BD13">
            <v>-4.4032512867553386E-2</v>
          </cell>
          <cell r="BE13">
            <v>-7.7435198196819433E-2</v>
          </cell>
          <cell r="BF13">
            <v>-3.5846149151714912E-2</v>
          </cell>
          <cell r="BG13">
            <v>6.9623271340009119E-3</v>
          </cell>
          <cell r="BH13">
            <v>-3.619457166554374E-2</v>
          </cell>
          <cell r="BI13">
            <v>5.4402626333684978E-3</v>
          </cell>
          <cell r="BJ13">
            <v>-3.0672825805642012E-2</v>
          </cell>
          <cell r="BK13">
            <v>3.6660590475570354E-2</v>
          </cell>
          <cell r="BL13">
            <v>3.40975772217611E-3</v>
          </cell>
          <cell r="BM13">
            <v>6.0414686407495033E-4</v>
          </cell>
          <cell r="BN13">
            <v>4.9851380042462923E-2</v>
          </cell>
          <cell r="BO13">
            <v>4.3597716466774461E-3</v>
          </cell>
          <cell r="BP13">
            <v>1.7814988251737551E-2</v>
          </cell>
        </row>
        <row r="14">
          <cell r="A14" t="str">
            <v>Sales (IMS)</v>
          </cell>
          <cell r="C14">
            <v>18.720372999999999</v>
          </cell>
          <cell r="D14">
            <v>22.802963999999999</v>
          </cell>
          <cell r="E14">
            <v>18.047502000000001</v>
          </cell>
          <cell r="F14">
            <v>18.375865999999998</v>
          </cell>
          <cell r="G14">
            <v>24.099138</v>
          </cell>
          <cell r="H14">
            <v>60.522506</v>
          </cell>
          <cell r="I14">
            <v>18.495719000000001</v>
          </cell>
          <cell r="J14">
            <v>18.410323000000002</v>
          </cell>
          <cell r="K14">
            <v>23.554152999999999</v>
          </cell>
          <cell r="L14">
            <v>60.460195000000006</v>
          </cell>
          <cell r="M14">
            <v>17.669816000000001</v>
          </cell>
          <cell r="N14">
            <v>20.225114999999999</v>
          </cell>
          <cell r="O14">
            <v>25.124433</v>
          </cell>
          <cell r="P14">
            <v>63.019363999999996</v>
          </cell>
          <cell r="Q14">
            <v>20.726188</v>
          </cell>
          <cell r="R14">
            <v>20.385373000000001</v>
          </cell>
          <cell r="S14">
            <v>23.821065000000001</v>
          </cell>
          <cell r="T14">
            <v>64.932625999999999</v>
          </cell>
          <cell r="U14">
            <v>20.627987000000001</v>
          </cell>
          <cell r="V14">
            <v>25.850501999999999</v>
          </cell>
          <cell r="W14">
            <v>25.644891999999999</v>
          </cell>
          <cell r="X14">
            <v>72.123380999999995</v>
          </cell>
          <cell r="Y14">
            <v>19.981104999999999</v>
          </cell>
          <cell r="Z14">
            <v>19.474511</v>
          </cell>
          <cell r="AA14">
            <v>24.575537000000001</v>
          </cell>
          <cell r="AB14">
            <v>64.031153000000003</v>
          </cell>
          <cell r="AC14">
            <v>19.709845999999999</v>
          </cell>
          <cell r="AD14">
            <v>18.743818000000001</v>
          </cell>
          <cell r="AE14">
            <v>23.94361</v>
          </cell>
          <cell r="AF14">
            <v>62.397273999999996</v>
          </cell>
          <cell r="AG14">
            <v>19.653700000000001</v>
          </cell>
          <cell r="AH14">
            <v>19.347436999999999</v>
          </cell>
          <cell r="AI14">
            <v>24.913254999999999</v>
          </cell>
          <cell r="AJ14">
            <v>63.914391999999999</v>
          </cell>
          <cell r="AK14">
            <v>19.615981000000001</v>
          </cell>
          <cell r="AL14">
            <v>19.352487</v>
          </cell>
          <cell r="AM14">
            <v>24.324244</v>
          </cell>
          <cell r="AN14">
            <v>63.292712000000009</v>
          </cell>
          <cell r="AO14">
            <v>18.891769</v>
          </cell>
          <cell r="AP14">
            <v>19.795957999999999</v>
          </cell>
          <cell r="AQ14">
            <v>24.496834</v>
          </cell>
          <cell r="AR14">
            <v>63.184561000000002</v>
          </cell>
          <cell r="AS14">
            <v>13.892746000000001</v>
          </cell>
          <cell r="AT14">
            <v>14.614959000000001</v>
          </cell>
          <cell r="AU14">
            <v>19.271121999999998</v>
          </cell>
          <cell r="AV14">
            <v>47.778827</v>
          </cell>
          <cell r="AW14">
            <v>14.881872</v>
          </cell>
          <cell r="AX14">
            <v>15.363206</v>
          </cell>
          <cell r="AY14">
            <v>18.358927999999999</v>
          </cell>
          <cell r="AZ14">
            <v>48.604005999999998</v>
          </cell>
          <cell r="BA14">
            <v>14.966203</v>
          </cell>
          <cell r="BB14">
            <v>15.194376999999999</v>
          </cell>
          <cell r="BC14">
            <v>16.744060000000001</v>
          </cell>
          <cell r="BD14">
            <v>46.904640000000001</v>
          </cell>
          <cell r="BE14">
            <v>13.68661</v>
          </cell>
          <cell r="BF14">
            <v>14.126844</v>
          </cell>
          <cell r="BG14">
            <v>17.523942999999999</v>
          </cell>
          <cell r="BH14">
            <v>45.337397000000003</v>
          </cell>
          <cell r="BI14">
            <v>14.844479</v>
          </cell>
          <cell r="BJ14">
            <v>15.167012</v>
          </cell>
          <cell r="BK14">
            <v>16.328778</v>
          </cell>
          <cell r="BL14">
            <v>46.340268999999999</v>
          </cell>
          <cell r="BM14">
            <v>13.064251000000001</v>
          </cell>
          <cell r="BN14">
            <v>13.428108</v>
          </cell>
        </row>
        <row r="15">
          <cell r="A15" t="str">
            <v xml:space="preserve">  % Change</v>
          </cell>
          <cell r="S15">
            <v>4.4647748424283762E-2</v>
          </cell>
          <cell r="U15">
            <v>0.14298294578385407</v>
          </cell>
          <cell r="V15">
            <v>0.40676374109388913</v>
          </cell>
          <cell r="W15">
            <v>6.4141464312955865E-2</v>
          </cell>
          <cell r="X15">
            <v>0.19167869552526451</v>
          </cell>
          <cell r="Y15">
            <v>8.0309719238273347E-2</v>
          </cell>
          <cell r="Z15">
            <v>5.7803874489328555E-2</v>
          </cell>
          <cell r="AA15">
            <v>4.3363223462121514E-2</v>
          </cell>
          <cell r="AB15">
            <v>5.9062958695386136E-2</v>
          </cell>
          <cell r="AC15">
            <v>0.11545281512835204</v>
          </cell>
          <cell r="AD15">
            <v>-7.3240473539952555E-2</v>
          </cell>
          <cell r="AE15">
            <v>-4.6998990982204503E-2</v>
          </cell>
          <cell r="AF15">
            <v>-9.871410317628726E-3</v>
          </cell>
          <cell r="AG15">
            <v>-5.1745550122386241E-2</v>
          </cell>
          <cell r="AH15">
            <v>-5.0915722758666293E-2</v>
          </cell>
          <cell r="AI15">
            <v>4.5849755248138502E-2</v>
          </cell>
          <cell r="AJ15">
            <v>-1.5681392586832987E-2</v>
          </cell>
          <cell r="AK15">
            <v>-4.9059852519782954E-2</v>
          </cell>
          <cell r="AL15">
            <v>-0.25136900629628001</v>
          </cell>
          <cell r="AM15">
            <v>-5.1497506793945491E-2</v>
          </cell>
          <cell r="AN15">
            <v>-0.12243836710871869</v>
          </cell>
          <cell r="AO15">
            <v>-5.4518306169753838E-2</v>
          </cell>
          <cell r="AP15">
            <v>1.6506037045038058E-2</v>
          </cell>
          <cell r="AQ15">
            <v>-3.2024936016658012E-3</v>
          </cell>
          <cell r="AR15">
            <v>-1.3221564197040125E-2</v>
          </cell>
          <cell r="AS15">
            <v>-0.29513675550788165</v>
          </cell>
          <cell r="AT15">
            <v>-0.22027844060372337</v>
          </cell>
          <cell r="AU15">
            <v>-0.19514551063937313</v>
          </cell>
          <cell r="AV15">
            <v>-0.23428021871596505</v>
          </cell>
          <cell r="AW15">
            <v>-0.24279540239242492</v>
          </cell>
          <cell r="AX15">
            <v>-0.20593068735667674</v>
          </cell>
          <cell r="AY15">
            <v>-0.26308593557927296</v>
          </cell>
          <cell r="AZ15">
            <v>-0.23954520290203185</v>
          </cell>
          <cell r="BA15">
            <v>-0.23704029892769574</v>
          </cell>
          <cell r="BB15">
            <v>-0.21486179011514128</v>
          </cell>
          <cell r="BC15">
            <v>-0.31163081574087148</v>
          </cell>
          <cell r="BD15">
            <v>-0.25892510341475028</v>
          </cell>
          <cell r="BE15">
            <v>-0.27552523006183272</v>
          </cell>
          <cell r="BF15">
            <v>-0.28637735036617062</v>
          </cell>
          <cell r="BG15">
            <v>-0.28464457896885775</v>
          </cell>
          <cell r="BH15">
            <v>-0.28246083722889204</v>
          </cell>
          <cell r="BI15">
            <v>6.8505751130841785E-2</v>
          </cell>
          <cell r="BJ15">
            <v>3.7773147362233361E-2</v>
          </cell>
          <cell r="BK15">
            <v>-0.15268150967027239</v>
          </cell>
          <cell r="BL15">
            <v>-3.0108692287485472E-2</v>
          </cell>
          <cell r="BM15">
            <v>-0.12213658335456712</v>
          </cell>
          <cell r="BN15">
            <v>-0.12595665253723731</v>
          </cell>
        </row>
        <row r="17">
          <cell r="A17" t="str">
            <v xml:space="preserve">TAZTIA XT </v>
          </cell>
        </row>
        <row r="18">
          <cell r="A18" t="str">
            <v>TRx</v>
          </cell>
          <cell r="AS18">
            <v>17951</v>
          </cell>
          <cell r="AT18">
            <v>70026</v>
          </cell>
          <cell r="AU18">
            <v>79141</v>
          </cell>
          <cell r="AV18">
            <v>167118</v>
          </cell>
          <cell r="AW18">
            <v>90696</v>
          </cell>
          <cell r="AX18">
            <v>92035</v>
          </cell>
          <cell r="AY18">
            <v>95137</v>
          </cell>
          <cell r="AZ18">
            <v>277868</v>
          </cell>
          <cell r="BA18">
            <v>103616</v>
          </cell>
          <cell r="BB18">
            <v>98838</v>
          </cell>
          <cell r="BC18">
            <v>109769</v>
          </cell>
          <cell r="BD18">
            <v>312223</v>
          </cell>
          <cell r="BE18">
            <v>110187</v>
          </cell>
          <cell r="BF18">
            <v>103627</v>
          </cell>
          <cell r="BG18">
            <v>115164</v>
          </cell>
          <cell r="BH18">
            <v>328978</v>
          </cell>
          <cell r="BI18">
            <v>113297</v>
          </cell>
          <cell r="BJ18">
            <v>114952</v>
          </cell>
          <cell r="BK18">
            <v>120023</v>
          </cell>
          <cell r="BL18">
            <v>348272</v>
          </cell>
          <cell r="BM18">
            <v>119394</v>
          </cell>
          <cell r="BN18">
            <v>118290</v>
          </cell>
          <cell r="BO18">
            <v>114556</v>
          </cell>
          <cell r="BP18">
            <v>352240</v>
          </cell>
        </row>
        <row r="19">
          <cell r="A19" t="str">
            <v xml:space="preserve">  % Change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5.3114589716450338</v>
          </cell>
          <cell r="BJ19">
            <v>0.64156170565218629</v>
          </cell>
          <cell r="BK19">
            <v>0.51657168850532598</v>
          </cell>
          <cell r="BL19">
            <v>1.0839885589822762</v>
          </cell>
          <cell r="BM19">
            <v>0.3164196877480816</v>
          </cell>
          <cell r="BN19">
            <v>0.28527190742652242</v>
          </cell>
          <cell r="BO19">
            <v>0.20411616931372656</v>
          </cell>
          <cell r="BP19">
            <v>0.26765226654382657</v>
          </cell>
        </row>
        <row r="20">
          <cell r="A20" t="str">
            <v>NRx</v>
          </cell>
          <cell r="AS20">
            <v>13537</v>
          </cell>
          <cell r="AT20">
            <v>44943</v>
          </cell>
          <cell r="AU20">
            <v>39445</v>
          </cell>
          <cell r="AV20">
            <v>97925</v>
          </cell>
          <cell r="AW20">
            <v>40392</v>
          </cell>
          <cell r="AX20">
            <v>33259</v>
          </cell>
          <cell r="AY20">
            <v>31357</v>
          </cell>
          <cell r="AZ20">
            <v>105008</v>
          </cell>
          <cell r="BA20">
            <v>33266</v>
          </cell>
          <cell r="BB20">
            <v>29774</v>
          </cell>
          <cell r="BC20">
            <v>32644</v>
          </cell>
          <cell r="BD20">
            <v>95684</v>
          </cell>
          <cell r="BE20">
            <v>34311</v>
          </cell>
          <cell r="BF20">
            <v>33163</v>
          </cell>
          <cell r="BG20">
            <v>35953</v>
          </cell>
          <cell r="BH20">
            <v>103427</v>
          </cell>
          <cell r="BI20">
            <v>33840</v>
          </cell>
          <cell r="BJ20">
            <v>34213</v>
          </cell>
          <cell r="BK20">
            <v>35079</v>
          </cell>
          <cell r="BL20">
            <v>103132</v>
          </cell>
          <cell r="BM20">
            <v>33764</v>
          </cell>
          <cell r="BN20">
            <v>33627</v>
          </cell>
          <cell r="BO20">
            <v>32767</v>
          </cell>
          <cell r="BP20">
            <v>100158</v>
          </cell>
        </row>
        <row r="21">
          <cell r="A21" t="str">
            <v xml:space="preserve">  % Change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1.4998153209721505</v>
          </cell>
          <cell r="BJ21">
            <v>-0.23874685713014265</v>
          </cell>
          <cell r="BK21">
            <v>-0.11068576498922555</v>
          </cell>
          <cell r="BL21">
            <v>5.3173346949195732E-2</v>
          </cell>
          <cell r="BM21">
            <v>-0.16409189938601698</v>
          </cell>
          <cell r="BN21">
            <v>1.1064674223518534E-2</v>
          </cell>
          <cell r="BO21">
            <v>4.496603629173701E-2</v>
          </cell>
          <cell r="BP21">
            <v>-4.6186957184214505E-2</v>
          </cell>
        </row>
        <row r="22">
          <cell r="A22" t="str">
            <v>TRx Market Growth</v>
          </cell>
        </row>
        <row r="23">
          <cell r="A23" t="str">
            <v>NRx Market Growth</v>
          </cell>
        </row>
        <row r="24">
          <cell r="A24" t="str">
            <v>TRx Market Share</v>
          </cell>
        </row>
        <row r="25">
          <cell r="A25" t="str">
            <v>NRx Market Share</v>
          </cell>
        </row>
        <row r="26">
          <cell r="A26" t="str">
            <v>Price Change (YoY)</v>
          </cell>
        </row>
        <row r="29">
          <cell r="A29" t="str">
            <v>Sales (IMS)</v>
          </cell>
          <cell r="AS29">
            <v>3.9141569999999999</v>
          </cell>
          <cell r="AT29">
            <v>3.6410740000000001</v>
          </cell>
          <cell r="AU29">
            <v>4.5483799999999999</v>
          </cell>
          <cell r="AV29">
            <v>12.103610999999999</v>
          </cell>
          <cell r="AW29">
            <v>4.4496200000000004</v>
          </cell>
          <cell r="AX29">
            <v>4.715948</v>
          </cell>
          <cell r="AY29">
            <v>5.5233809999999997</v>
          </cell>
          <cell r="AZ29">
            <v>14.688949000000001</v>
          </cell>
          <cell r="BA29">
            <v>4.6754689999999997</v>
          </cell>
          <cell r="BB29">
            <v>4.8332100000000002</v>
          </cell>
          <cell r="BC29">
            <v>5.8933660000000003</v>
          </cell>
          <cell r="BD29">
            <v>15.402045000000001</v>
          </cell>
          <cell r="BE29">
            <v>4.9522740000000001</v>
          </cell>
          <cell r="BF29">
            <v>5.0543060000000004</v>
          </cell>
          <cell r="BG29">
            <v>6.2362799999999998</v>
          </cell>
          <cell r="BH29">
            <v>16.24286</v>
          </cell>
          <cell r="BI29">
            <v>5.1394159999999998</v>
          </cell>
          <cell r="BJ29">
            <v>5.524267</v>
          </cell>
          <cell r="BK29">
            <v>6.7644409999999997</v>
          </cell>
          <cell r="BL29">
            <v>17.428124</v>
          </cell>
          <cell r="BM29">
            <v>5.5041399999999996</v>
          </cell>
          <cell r="BN29">
            <v>5.3823790000000002</v>
          </cell>
        </row>
        <row r="30">
          <cell r="A30" t="str">
            <v xml:space="preserve">  % Change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0.31303266578218492</v>
          </cell>
          <cell r="BJ30">
            <v>0.51720810947539109</v>
          </cell>
          <cell r="BK30">
            <v>0.48721984530756002</v>
          </cell>
          <cell r="BL30">
            <v>0.43991111412949424</v>
          </cell>
          <cell r="BM30">
            <v>0.23699102395260696</v>
          </cell>
          <cell r="BN30">
            <v>0.14131432322833071</v>
          </cell>
        </row>
        <row r="32">
          <cell r="A32" t="str">
            <v xml:space="preserve">METFORMIN HCL </v>
          </cell>
        </row>
        <row r="33">
          <cell r="A33" t="str">
            <v>TRx</v>
          </cell>
          <cell r="Y33">
            <v>10856</v>
          </cell>
          <cell r="Z33">
            <v>336864</v>
          </cell>
          <cell r="AA33">
            <v>426266</v>
          </cell>
          <cell r="AB33">
            <v>773986</v>
          </cell>
          <cell r="AC33">
            <v>451802</v>
          </cell>
          <cell r="AD33">
            <v>451324</v>
          </cell>
          <cell r="AE33">
            <v>422069</v>
          </cell>
          <cell r="AF33">
            <v>1325195</v>
          </cell>
          <cell r="AG33">
            <v>429688</v>
          </cell>
          <cell r="AH33">
            <v>400642</v>
          </cell>
          <cell r="AI33">
            <v>371923</v>
          </cell>
          <cell r="AJ33">
            <v>1202253</v>
          </cell>
          <cell r="AK33">
            <v>405216</v>
          </cell>
          <cell r="AL33">
            <v>401922</v>
          </cell>
          <cell r="AM33">
            <v>422701</v>
          </cell>
          <cell r="AN33">
            <v>1229839</v>
          </cell>
          <cell r="AO33">
            <v>419434</v>
          </cell>
          <cell r="AP33">
            <v>393851</v>
          </cell>
          <cell r="AQ33">
            <v>427122</v>
          </cell>
          <cell r="AR33">
            <v>1240407</v>
          </cell>
          <cell r="AS33">
            <v>422215</v>
          </cell>
          <cell r="AT33">
            <v>437337</v>
          </cell>
          <cell r="AU33">
            <v>426187</v>
          </cell>
          <cell r="AV33">
            <v>1285739</v>
          </cell>
          <cell r="AW33">
            <v>442420</v>
          </cell>
          <cell r="AX33">
            <v>436258</v>
          </cell>
          <cell r="AY33">
            <v>449655</v>
          </cell>
          <cell r="AZ33">
            <v>1328333</v>
          </cell>
          <cell r="BA33">
            <v>473659</v>
          </cell>
          <cell r="BB33">
            <v>449063</v>
          </cell>
          <cell r="BC33">
            <v>489318</v>
          </cell>
          <cell r="BD33">
            <v>1412040</v>
          </cell>
          <cell r="BE33">
            <v>489343</v>
          </cell>
          <cell r="BF33">
            <v>466116</v>
          </cell>
          <cell r="BG33">
            <v>522569</v>
          </cell>
          <cell r="BH33">
            <v>1478028</v>
          </cell>
          <cell r="BI33">
            <v>510061</v>
          </cell>
          <cell r="BJ33">
            <v>515147</v>
          </cell>
          <cell r="BK33">
            <v>533383</v>
          </cell>
          <cell r="BL33">
            <v>1558591</v>
          </cell>
          <cell r="BM33">
            <v>533429</v>
          </cell>
          <cell r="BN33">
            <v>549446</v>
          </cell>
          <cell r="BO33">
            <v>538049</v>
          </cell>
          <cell r="BP33">
            <v>1620924</v>
          </cell>
        </row>
        <row r="34">
          <cell r="A34" t="str">
            <v xml:space="preserve">  % Change</v>
          </cell>
          <cell r="AP34">
            <v>0.16916916025458351</v>
          </cell>
          <cell r="AQ34">
            <v>2.0081357649917031E-3</v>
          </cell>
          <cell r="AR34">
            <v>0.60262201125084958</v>
          </cell>
          <cell r="AS34">
            <v>-6.5486651232176896E-2</v>
          </cell>
          <cell r="AT34">
            <v>-3.099103969653727E-2</v>
          </cell>
          <cell r="AU34">
            <v>9.7566985492893998E-3</v>
          </cell>
          <cell r="AV34">
            <v>-2.9773731413112792E-2</v>
          </cell>
          <cell r="AW34">
            <v>2.9630801884157787E-2</v>
          </cell>
          <cell r="AX34">
            <v>8.8897319801718222E-2</v>
          </cell>
          <cell r="AY34">
            <v>0.20900025005175804</v>
          </cell>
          <cell r="AZ34">
            <v>0.10486977366660755</v>
          </cell>
          <cell r="BA34">
            <v>0.16890497907288959</v>
          </cell>
          <cell r="BB34">
            <v>0.11728892670717195</v>
          </cell>
          <cell r="BC34">
            <v>0.15759839697564004</v>
          </cell>
          <cell r="BD34">
            <v>0.14815028633829308</v>
          </cell>
          <cell r="BE34">
            <v>0.16667461388442528</v>
          </cell>
          <cell r="BF34">
            <v>0.18348309386036843</v>
          </cell>
          <cell r="BG34">
            <v>0.223465426739901</v>
          </cell>
          <cell r="BH34">
            <v>0.19156696148925323</v>
          </cell>
          <cell r="BI34">
            <v>0.20805987470838327</v>
          </cell>
          <cell r="BJ34">
            <v>0.17791771562890868</v>
          </cell>
          <cell r="BK34">
            <v>0.25152339231370258</v>
          </cell>
          <cell r="BL34">
            <v>0.21221414299480679</v>
          </cell>
          <cell r="BM34">
            <v>0.20570724650784333</v>
          </cell>
          <cell r="BN34">
            <v>0.25945197566577582</v>
          </cell>
          <cell r="BO34">
            <v>0.19658182384272394</v>
          </cell>
          <cell r="BP34">
            <v>0.2202693149985735</v>
          </cell>
        </row>
        <row r="35">
          <cell r="A35" t="str">
            <v>NRx</v>
          </cell>
          <cell r="Y35">
            <v>9804</v>
          </cell>
          <cell r="Z35">
            <v>277985</v>
          </cell>
          <cell r="AA35">
            <v>244945</v>
          </cell>
          <cell r="AB35">
            <v>532734</v>
          </cell>
          <cell r="AC35">
            <v>208694</v>
          </cell>
          <cell r="AD35">
            <v>181886</v>
          </cell>
          <cell r="AE35">
            <v>161296</v>
          </cell>
          <cell r="AF35">
            <v>551876</v>
          </cell>
          <cell r="AG35">
            <v>161193</v>
          </cell>
          <cell r="AH35">
            <v>144560</v>
          </cell>
          <cell r="AI35">
            <v>131925</v>
          </cell>
          <cell r="AJ35">
            <v>437678</v>
          </cell>
          <cell r="AK35">
            <v>145545</v>
          </cell>
          <cell r="AL35">
            <v>143613</v>
          </cell>
          <cell r="AM35">
            <v>153366</v>
          </cell>
          <cell r="AN35">
            <v>442524</v>
          </cell>
          <cell r="AO35">
            <v>183106</v>
          </cell>
          <cell r="AP35">
            <v>165372</v>
          </cell>
          <cell r="AQ35">
            <v>166633</v>
          </cell>
          <cell r="AR35">
            <v>515111</v>
          </cell>
          <cell r="AS35">
            <v>156381</v>
          </cell>
          <cell r="AT35">
            <v>157901</v>
          </cell>
          <cell r="AU35">
            <v>152042</v>
          </cell>
          <cell r="AV35">
            <v>466324</v>
          </cell>
          <cell r="AW35">
            <v>157711</v>
          </cell>
          <cell r="AX35">
            <v>152347</v>
          </cell>
          <cell r="AY35">
            <v>158669</v>
          </cell>
          <cell r="AZ35">
            <v>468727</v>
          </cell>
          <cell r="BA35">
            <v>170943</v>
          </cell>
          <cell r="BB35">
            <v>157926</v>
          </cell>
          <cell r="BC35">
            <v>172678</v>
          </cell>
          <cell r="BD35">
            <v>501547</v>
          </cell>
          <cell r="BE35">
            <v>183676</v>
          </cell>
          <cell r="BF35">
            <v>178598</v>
          </cell>
          <cell r="BG35">
            <v>198443</v>
          </cell>
          <cell r="BH35">
            <v>560717</v>
          </cell>
          <cell r="BI35">
            <v>191378</v>
          </cell>
          <cell r="BJ35">
            <v>186351</v>
          </cell>
          <cell r="BK35">
            <v>191947</v>
          </cell>
          <cell r="BL35">
            <v>569676</v>
          </cell>
          <cell r="BM35">
            <v>191048</v>
          </cell>
          <cell r="BN35">
            <v>196678</v>
          </cell>
          <cell r="BO35">
            <v>195645</v>
          </cell>
          <cell r="BP35">
            <v>583371</v>
          </cell>
        </row>
        <row r="36">
          <cell r="A36" t="str">
            <v xml:space="preserve">  % Change</v>
          </cell>
          <cell r="AR36">
            <v>-3.3080298985985523E-2</v>
          </cell>
          <cell r="AS36">
            <v>-0.25066844279183875</v>
          </cell>
          <cell r="AT36">
            <v>-0.13186831311920655</v>
          </cell>
          <cell r="AU36">
            <v>-5.7372780478127217E-2</v>
          </cell>
          <cell r="AV36">
            <v>-0.15502033065398746</v>
          </cell>
          <cell r="AW36">
            <v>-2.160143430545991E-2</v>
          </cell>
          <cell r="AX36">
            <v>5.3866906474820064E-2</v>
          </cell>
          <cell r="AY36">
            <v>0.20272124313056672</v>
          </cell>
          <cell r="AZ36">
            <v>7.0940280297387526E-2</v>
          </cell>
          <cell r="BA36">
            <v>0.17450273111408832</v>
          </cell>
          <cell r="BB36">
            <v>9.9663679471914124E-2</v>
          </cell>
          <cell r="BC36">
            <v>0.12592099943924984</v>
          </cell>
          <cell r="BD36">
            <v>0.13337807666928803</v>
          </cell>
          <cell r="BE36">
            <v>3.1129509682916723E-3</v>
          </cell>
          <cell r="BF36">
            <v>7.9977263381951103E-2</v>
          </cell>
          <cell r="BG36">
            <v>0.19089856150942497</v>
          </cell>
          <cell r="BH36">
            <v>8.8536257233877702E-2</v>
          </cell>
          <cell r="BI36">
            <v>0.22379317180475899</v>
          </cell>
          <cell r="BJ36">
            <v>0.1801761863446083</v>
          </cell>
          <cell r="BK36">
            <v>0.26246037279172851</v>
          </cell>
          <cell r="BL36">
            <v>0.2216313121349105</v>
          </cell>
          <cell r="BM36">
            <v>0.21138030955355047</v>
          </cell>
          <cell r="BN36">
            <v>0.29098702304607249</v>
          </cell>
          <cell r="BO36">
            <v>0.23303858976863778</v>
          </cell>
          <cell r="BP36">
            <v>0.24458586767990753</v>
          </cell>
        </row>
        <row r="37">
          <cell r="A37" t="str">
            <v>Sales (IMS)</v>
          </cell>
          <cell r="Y37">
            <v>9.8097300000000001</v>
          </cell>
          <cell r="Z37">
            <v>22.759188000000002</v>
          </cell>
          <cell r="AA37">
            <v>13.709581999999999</v>
          </cell>
          <cell r="AB37">
            <v>46.278500000000001</v>
          </cell>
          <cell r="AC37">
            <v>12.14237</v>
          </cell>
          <cell r="AD37">
            <v>17.297170000000001</v>
          </cell>
          <cell r="AE37">
            <v>17.229205</v>
          </cell>
          <cell r="AF37">
            <v>46.668745000000001</v>
          </cell>
          <cell r="AG37">
            <v>12.763629999999999</v>
          </cell>
          <cell r="AH37">
            <v>12.755822</v>
          </cell>
          <cell r="AI37">
            <v>14.426050999999999</v>
          </cell>
          <cell r="AJ37">
            <v>39.945503000000002</v>
          </cell>
          <cell r="AK37">
            <v>13.582758999999999</v>
          </cell>
          <cell r="AL37">
            <v>14.402753000000001</v>
          </cell>
          <cell r="AM37">
            <v>19.841929</v>
          </cell>
          <cell r="AN37">
            <v>47.827440999999993</v>
          </cell>
          <cell r="AO37">
            <v>12.379276000000001</v>
          </cell>
          <cell r="AP37">
            <v>11.925841999999999</v>
          </cell>
          <cell r="AQ37">
            <v>12.623616999999999</v>
          </cell>
          <cell r="AR37">
            <v>36.928735000000003</v>
          </cell>
          <cell r="AS37">
            <v>3.6528290000000001</v>
          </cell>
          <cell r="AT37">
            <v>3.674172</v>
          </cell>
          <cell r="AU37">
            <v>5.5562279999999999</v>
          </cell>
          <cell r="AV37">
            <v>12.883229</v>
          </cell>
          <cell r="AW37">
            <v>4.8099470000000002</v>
          </cell>
          <cell r="AX37">
            <v>6.0422849999999997</v>
          </cell>
          <cell r="AY37">
            <v>8.4632020000000008</v>
          </cell>
          <cell r="AZ37">
            <v>19.315434</v>
          </cell>
          <cell r="BA37">
            <v>7.2549640000000002</v>
          </cell>
          <cell r="BB37">
            <v>8.4396579999999997</v>
          </cell>
          <cell r="BC37">
            <v>8.7300769999999996</v>
          </cell>
          <cell r="BD37">
            <v>24.424699</v>
          </cell>
          <cell r="BE37">
            <v>5.635319</v>
          </cell>
          <cell r="BF37">
            <v>5.0940240000000001</v>
          </cell>
          <cell r="BG37">
            <v>6.3874029999999999</v>
          </cell>
          <cell r="BH37">
            <v>17.116745999999999</v>
          </cell>
          <cell r="BI37">
            <v>4.9534349999999998</v>
          </cell>
          <cell r="BJ37">
            <v>5.1197119999999998</v>
          </cell>
          <cell r="BK37">
            <v>6.0757479999999999</v>
          </cell>
          <cell r="BL37">
            <v>16.148895</v>
          </cell>
          <cell r="BM37">
            <v>4.848509</v>
          </cell>
          <cell r="BN37">
            <v>5.1217569999999997</v>
          </cell>
        </row>
        <row r="38">
          <cell r="A38" t="str">
            <v xml:space="preserve">  % Change</v>
          </cell>
          <cell r="AR38">
            <v>-0.20203258532579915</v>
          </cell>
          <cell r="AS38">
            <v>-0.699166719511924</v>
          </cell>
          <cell r="AT38">
            <v>-0.78758536801106771</v>
          </cell>
          <cell r="AU38">
            <v>-0.67751106333693278</v>
          </cell>
          <cell r="AV38">
            <v>-0.72394310153401387</v>
          </cell>
          <cell r="AW38">
            <v>-0.62315211268267723</v>
          </cell>
          <cell r="AX38">
            <v>-0.52631159324738153</v>
          </cell>
          <cell r="AY38">
            <v>-0.4133389657363612</v>
          </cell>
          <cell r="AZ38">
            <v>-0.51645535668933751</v>
          </cell>
          <cell r="BA38">
            <v>-0.46586963664745873</v>
          </cell>
          <cell r="BB38">
            <v>-0.41402466597878895</v>
          </cell>
          <cell r="BC38">
            <v>-0.56001873608155739</v>
          </cell>
          <cell r="BD38">
            <v>-0.48931620656852615</v>
          </cell>
          <cell r="BE38">
            <v>-0.54477798216955509</v>
          </cell>
          <cell r="BF38">
            <v>-0.57285833570493383</v>
          </cell>
          <cell r="BG38">
            <v>-0.49401166084173809</v>
          </cell>
          <cell r="BH38">
            <v>-0.53649249019767398</v>
          </cell>
          <cell r="BI38">
            <v>0.35605444437722089</v>
          </cell>
          <cell r="BJ38">
            <v>0.39343286051932247</v>
          </cell>
          <cell r="BK38">
            <v>9.3502282483728161E-2</v>
          </cell>
          <cell r="BL38">
            <v>0.25348194928460877</v>
          </cell>
          <cell r="BM38">
            <v>8.0171361555543275E-3</v>
          </cell>
          <cell r="BN38">
            <v>-0.15234766317709281</v>
          </cell>
        </row>
        <row r="40">
          <cell r="A40" t="str">
            <v xml:space="preserve">FLUOXETINE HCL </v>
          </cell>
        </row>
        <row r="41">
          <cell r="A41" t="str">
            <v>TRx</v>
          </cell>
          <cell r="Z41">
            <v>19</v>
          </cell>
          <cell r="AA41">
            <v>182</v>
          </cell>
          <cell r="AB41">
            <v>201</v>
          </cell>
          <cell r="AC41">
            <v>2307</v>
          </cell>
          <cell r="AD41">
            <v>7374</v>
          </cell>
          <cell r="AE41">
            <v>10427</v>
          </cell>
          <cell r="AF41">
            <v>20108</v>
          </cell>
          <cell r="AG41">
            <v>11400</v>
          </cell>
          <cell r="AH41">
            <v>13278</v>
          </cell>
          <cell r="AI41">
            <v>16623</v>
          </cell>
          <cell r="AJ41">
            <v>41301</v>
          </cell>
          <cell r="AK41">
            <v>19569</v>
          </cell>
          <cell r="AL41">
            <v>19063</v>
          </cell>
          <cell r="AM41">
            <v>16726</v>
          </cell>
          <cell r="AN41">
            <v>55358</v>
          </cell>
          <cell r="AO41">
            <v>13523</v>
          </cell>
          <cell r="AP41">
            <v>14182</v>
          </cell>
          <cell r="AQ41">
            <v>17541</v>
          </cell>
          <cell r="AR41">
            <v>45246</v>
          </cell>
          <cell r="AS41">
            <v>18305</v>
          </cell>
          <cell r="AT41">
            <v>19783</v>
          </cell>
          <cell r="AU41">
            <v>20849</v>
          </cell>
          <cell r="AV41">
            <v>58937</v>
          </cell>
          <cell r="AW41">
            <v>23381</v>
          </cell>
          <cell r="AX41">
            <v>23706</v>
          </cell>
          <cell r="AY41">
            <v>24778</v>
          </cell>
          <cell r="AZ41">
            <v>71865</v>
          </cell>
          <cell r="BA41">
            <v>25029</v>
          </cell>
          <cell r="BB41">
            <v>23701</v>
          </cell>
          <cell r="BC41">
            <v>24891</v>
          </cell>
          <cell r="BD41">
            <v>73621</v>
          </cell>
          <cell r="BE41">
            <v>24075</v>
          </cell>
          <cell r="BF41">
            <v>23553</v>
          </cell>
          <cell r="BG41">
            <v>26003</v>
          </cell>
          <cell r="BH41">
            <v>73631</v>
          </cell>
          <cell r="BI41">
            <v>25175</v>
          </cell>
          <cell r="BJ41">
            <v>24797</v>
          </cell>
          <cell r="BK41">
            <v>27293</v>
          </cell>
          <cell r="BL41">
            <v>77265</v>
          </cell>
          <cell r="BM41">
            <v>25694</v>
          </cell>
          <cell r="BN41">
            <v>22009</v>
          </cell>
          <cell r="BO41">
            <v>15132</v>
          </cell>
          <cell r="BP41">
            <v>62835</v>
          </cell>
        </row>
        <row r="42">
          <cell r="A42" t="str">
            <v xml:space="preserve">  % Change</v>
          </cell>
          <cell r="AS42">
            <v>6.9345470307758994</v>
          </cell>
          <cell r="AT42">
            <v>1.6828044480607538</v>
          </cell>
          <cell r="AU42">
            <v>0.9995204756881173</v>
          </cell>
          <cell r="AV42">
            <v>1.9310224786154766</v>
          </cell>
          <cell r="AW42">
            <v>1.0509649122807017</v>
          </cell>
          <cell r="AX42">
            <v>0.78535924084952558</v>
          </cell>
          <cell r="AY42">
            <v>0.49058533357396383</v>
          </cell>
          <cell r="AZ42">
            <v>0.74003050773589019</v>
          </cell>
          <cell r="BA42">
            <v>0.27901272420665335</v>
          </cell>
          <cell r="BB42">
            <v>0.24329853643183119</v>
          </cell>
          <cell r="BC42">
            <v>0.48816214277173264</v>
          </cell>
          <cell r="BD42">
            <v>0.32990714982477698</v>
          </cell>
          <cell r="BE42">
            <v>0.78030022923907416</v>
          </cell>
          <cell r="BF42">
            <v>0.66076716965167104</v>
          </cell>
          <cell r="BG42">
            <v>0.48241263325922135</v>
          </cell>
          <cell r="BH42">
            <v>0.62734827388056402</v>
          </cell>
          <cell r="BI42">
            <v>0.37530729308931976</v>
          </cell>
          <cell r="BJ42">
            <v>0.25344993175959152</v>
          </cell>
          <cell r="BK42">
            <v>0.30907957216173432</v>
          </cell>
          <cell r="BL42">
            <v>0.31097612705091882</v>
          </cell>
          <cell r="BM42">
            <v>9.8926478764808978E-2</v>
          </cell>
          <cell r="BN42">
            <v>-7.1585252678646794E-2</v>
          </cell>
          <cell r="BO42">
            <v>-0.38929695697796429</v>
          </cell>
          <cell r="BP42">
            <v>-0.12565226466290957</v>
          </cell>
        </row>
        <row r="43">
          <cell r="A43" t="str">
            <v>NRx</v>
          </cell>
          <cell r="Z43">
            <v>17</v>
          </cell>
          <cell r="AA43">
            <v>163</v>
          </cell>
          <cell r="AB43">
            <v>180</v>
          </cell>
          <cell r="AC43">
            <v>1124</v>
          </cell>
          <cell r="AD43">
            <v>3524</v>
          </cell>
          <cell r="AE43">
            <v>4567</v>
          </cell>
          <cell r="AF43">
            <v>9215</v>
          </cell>
          <cell r="AG43">
            <v>4570</v>
          </cell>
          <cell r="AH43">
            <v>5151</v>
          </cell>
          <cell r="AI43">
            <v>6608</v>
          </cell>
          <cell r="AJ43">
            <v>16329</v>
          </cell>
          <cell r="AK43">
            <v>7818</v>
          </cell>
          <cell r="AL43">
            <v>7304</v>
          </cell>
          <cell r="AM43">
            <v>6688</v>
          </cell>
          <cell r="AN43">
            <v>21810</v>
          </cell>
          <cell r="AO43">
            <v>5100</v>
          </cell>
          <cell r="AP43">
            <v>5442</v>
          </cell>
          <cell r="AQ43">
            <v>6656</v>
          </cell>
          <cell r="AR43">
            <v>17198</v>
          </cell>
          <cell r="AS43">
            <v>6899</v>
          </cell>
          <cell r="AT43">
            <v>7514</v>
          </cell>
          <cell r="AU43">
            <v>7546</v>
          </cell>
          <cell r="AV43">
            <v>21959</v>
          </cell>
          <cell r="AW43">
            <v>8722</v>
          </cell>
          <cell r="AX43">
            <v>8581</v>
          </cell>
          <cell r="AY43">
            <v>8825</v>
          </cell>
          <cell r="AZ43">
            <v>26128</v>
          </cell>
          <cell r="BA43">
            <v>9131</v>
          </cell>
          <cell r="BB43">
            <v>8209</v>
          </cell>
          <cell r="BC43">
            <v>8521</v>
          </cell>
          <cell r="BD43">
            <v>25861</v>
          </cell>
          <cell r="BE43">
            <v>8695</v>
          </cell>
          <cell r="BF43">
            <v>8578</v>
          </cell>
          <cell r="BG43">
            <v>9479</v>
          </cell>
          <cell r="BH43">
            <v>26752</v>
          </cell>
          <cell r="BI43">
            <v>9462</v>
          </cell>
          <cell r="BJ43">
            <v>9114</v>
          </cell>
          <cell r="BK43">
            <v>9791</v>
          </cell>
          <cell r="BL43">
            <v>28367</v>
          </cell>
          <cell r="BM43">
            <v>8963</v>
          </cell>
          <cell r="BN43">
            <v>7839</v>
          </cell>
          <cell r="BO43">
            <v>5089</v>
          </cell>
          <cell r="BP43">
            <v>21891</v>
          </cell>
        </row>
        <row r="44">
          <cell r="A44" t="str">
            <v xml:space="preserve">  % Change</v>
          </cell>
          <cell r="AS44">
            <v>5.1379003558718859</v>
          </cell>
          <cell r="AT44">
            <v>1.1322360953461974</v>
          </cell>
          <cell r="AU44">
            <v>0.65228815414933217</v>
          </cell>
          <cell r="AV44">
            <v>1.3829625610417797</v>
          </cell>
          <cell r="AW44">
            <v>0.90853391684901541</v>
          </cell>
          <cell r="AX44">
            <v>0.66589011842360701</v>
          </cell>
          <cell r="AY44">
            <v>0.33550242130750596</v>
          </cell>
          <cell r="AZ44">
            <v>0.60009798517974167</v>
          </cell>
          <cell r="BA44">
            <v>0.16794576618060875</v>
          </cell>
          <cell r="BB44">
            <v>0.12390470974808321</v>
          </cell>
          <cell r="BC44">
            <v>0.27407296650717705</v>
          </cell>
          <cell r="BD44">
            <v>0.18574048601558912</v>
          </cell>
          <cell r="BE44">
            <v>0.70490196078431366</v>
          </cell>
          <cell r="BF44">
            <v>0.57625872840867332</v>
          </cell>
          <cell r="BG44">
            <v>0.42412860576923084</v>
          </cell>
          <cell r="BH44">
            <v>0.55552971275729734</v>
          </cell>
          <cell r="BI44">
            <v>0.37150311639368017</v>
          </cell>
          <cell r="BJ44">
            <v>0.21293585307426133</v>
          </cell>
          <cell r="BK44">
            <v>0.29750861383514438</v>
          </cell>
          <cell r="BL44">
            <v>0.29181656723894522</v>
          </cell>
          <cell r="BM44">
            <v>2.7631277229993145E-2</v>
          </cell>
          <cell r="BN44">
            <v>-8.647010837897684E-2</v>
          </cell>
          <cell r="BO44">
            <v>-0.42334277620396599</v>
          </cell>
          <cell r="BP44">
            <v>-0.16216319657072875</v>
          </cell>
        </row>
        <row r="45">
          <cell r="A45" t="str">
            <v>Sales (IMS)</v>
          </cell>
          <cell r="W45">
            <v>2.2591E-2</v>
          </cell>
          <cell r="Y45">
            <v>2.1458999999999999E-2</v>
          </cell>
          <cell r="Z45">
            <v>3.1789999999999999E-2</v>
          </cell>
          <cell r="AA45">
            <v>0.696492</v>
          </cell>
          <cell r="AB45">
            <v>0.74974099999999999</v>
          </cell>
          <cell r="AC45">
            <v>2.5264440000000001</v>
          </cell>
          <cell r="AD45">
            <v>1.9836020000000001</v>
          </cell>
          <cell r="AE45">
            <v>1.9896160000000001</v>
          </cell>
          <cell r="AF45">
            <v>6.4996620000000007</v>
          </cell>
          <cell r="AG45">
            <v>2.9886149999999998</v>
          </cell>
          <cell r="AH45">
            <v>2.472248</v>
          </cell>
          <cell r="AI45">
            <v>4.7904270000000002</v>
          </cell>
          <cell r="AJ45">
            <v>10.251289999999999</v>
          </cell>
          <cell r="AK45">
            <v>2.4747710000000001</v>
          </cell>
          <cell r="AL45">
            <v>0.81443699999999997</v>
          </cell>
          <cell r="AM45">
            <v>0.62750099999999998</v>
          </cell>
          <cell r="AN45">
            <v>3.916709</v>
          </cell>
          <cell r="AO45">
            <v>2.1161759999999998</v>
          </cell>
          <cell r="AP45">
            <v>1.7902130000000001</v>
          </cell>
          <cell r="AQ45">
            <v>1.9120729999999999</v>
          </cell>
          <cell r="AR45">
            <v>5.8184620000000002</v>
          </cell>
          <cell r="AS45">
            <v>1.9886170000000001</v>
          </cell>
          <cell r="AT45">
            <v>2.0070250000000001</v>
          </cell>
          <cell r="AU45">
            <v>4.9681069999999998</v>
          </cell>
          <cell r="AV45">
            <v>8.963749</v>
          </cell>
          <cell r="AW45">
            <v>4.6599469999999998</v>
          </cell>
          <cell r="AX45">
            <v>4.0104480000000002</v>
          </cell>
          <cell r="AY45">
            <v>4.0084179999999998</v>
          </cell>
          <cell r="AZ45">
            <v>12.678812999999998</v>
          </cell>
          <cell r="BA45">
            <v>3.510974</v>
          </cell>
          <cell r="BB45">
            <v>2.07463</v>
          </cell>
          <cell r="BC45">
            <v>3.8625940000000001</v>
          </cell>
          <cell r="BD45">
            <v>9.4481980000000014</v>
          </cell>
          <cell r="BE45">
            <v>4.3460590000000003</v>
          </cell>
          <cell r="BF45">
            <v>3.7856160000000001</v>
          </cell>
          <cell r="BG45">
            <v>5.050567</v>
          </cell>
          <cell r="BH45">
            <v>13.182242</v>
          </cell>
          <cell r="BI45">
            <v>3.808627</v>
          </cell>
          <cell r="BJ45">
            <v>4.4314410000000004</v>
          </cell>
          <cell r="BK45">
            <v>4.0714370000000004</v>
          </cell>
          <cell r="BL45">
            <v>12.311505</v>
          </cell>
          <cell r="BM45">
            <v>2.342374</v>
          </cell>
          <cell r="BN45">
            <v>1.1732800000000001</v>
          </cell>
        </row>
        <row r="46">
          <cell r="A46" t="str">
            <v xml:space="preserve">  % Change</v>
          </cell>
          <cell r="AS46">
            <v>-0.21287905055485101</v>
          </cell>
          <cell r="AT46">
            <v>1.1808316386049178E-2</v>
          </cell>
          <cell r="AU46">
            <v>1.4970180175471044</v>
          </cell>
          <cell r="AV46">
            <v>0.37911002141342109</v>
          </cell>
          <cell r="AW46">
            <v>0.55923295573367593</v>
          </cell>
          <cell r="AX46">
            <v>0.62218677090647878</v>
          </cell>
          <cell r="AY46">
            <v>-0.1632441116418224</v>
          </cell>
          <cell r="AZ46">
            <v>0.2368017098335915</v>
          </cell>
          <cell r="BA46">
            <v>0.41870661972360268</v>
          </cell>
          <cell r="BB46">
            <v>1.5473179632064848</v>
          </cell>
          <cell r="BC46">
            <v>5.1555184772613911</v>
          </cell>
          <cell r="BD46">
            <v>1.4122797991885538</v>
          </cell>
          <cell r="BE46">
            <v>1.0537322982587463</v>
          </cell>
          <cell r="BF46">
            <v>1.1146176460566424</v>
          </cell>
          <cell r="BG46">
            <v>1.6414090884605348</v>
          </cell>
          <cell r="BH46">
            <v>1.2655887414921674</v>
          </cell>
          <cell r="BI46">
            <v>0.91521394014030855</v>
          </cell>
          <cell r="BJ46">
            <v>1.2079650228572141</v>
          </cell>
          <cell r="BK46">
            <v>-0.18048524317209746</v>
          </cell>
          <cell r="BL46">
            <v>0.37347721360783304</v>
          </cell>
          <cell r="BM46">
            <v>-0.49733891823233178</v>
          </cell>
          <cell r="BN46">
            <v>-0.70744415586488096</v>
          </cell>
        </row>
        <row r="48">
          <cell r="A48" t="str">
            <v>LOVASTATIN</v>
          </cell>
        </row>
        <row r="49">
          <cell r="A49" t="str">
            <v>TRx</v>
          </cell>
          <cell r="AT49">
            <v>344</v>
          </cell>
          <cell r="AU49">
            <v>2691</v>
          </cell>
          <cell r="AV49">
            <v>3035</v>
          </cell>
          <cell r="AW49">
            <v>3840</v>
          </cell>
          <cell r="AX49">
            <v>9065</v>
          </cell>
          <cell r="AY49">
            <v>13035</v>
          </cell>
          <cell r="AZ49">
            <v>25940</v>
          </cell>
          <cell r="BA49">
            <v>11034</v>
          </cell>
          <cell r="BB49">
            <v>24435</v>
          </cell>
          <cell r="BC49">
            <v>34948</v>
          </cell>
          <cell r="BD49">
            <v>70417</v>
          </cell>
          <cell r="BE49">
            <v>43030</v>
          </cell>
          <cell r="BF49">
            <v>46503</v>
          </cell>
          <cell r="BG49">
            <v>55711</v>
          </cell>
          <cell r="BH49">
            <v>145244</v>
          </cell>
          <cell r="BI49">
            <v>58226</v>
          </cell>
          <cell r="BJ49">
            <v>62250</v>
          </cell>
          <cell r="BK49">
            <v>67905</v>
          </cell>
          <cell r="BL49">
            <v>188381</v>
          </cell>
          <cell r="BM49">
            <v>70509</v>
          </cell>
          <cell r="BN49">
            <v>76818</v>
          </cell>
          <cell r="BO49">
            <v>79852</v>
          </cell>
          <cell r="BP49">
            <v>227179</v>
          </cell>
        </row>
        <row r="50">
          <cell r="A50" t="str">
            <v xml:space="preserve">  % Change</v>
          </cell>
        </row>
        <row r="51">
          <cell r="A51" t="str">
            <v>NRx</v>
          </cell>
          <cell r="AT51">
            <v>166</v>
          </cell>
          <cell r="AU51">
            <v>1075</v>
          </cell>
          <cell r="AV51">
            <v>1241</v>
          </cell>
          <cell r="AW51">
            <v>1308</v>
          </cell>
          <cell r="AX51">
            <v>3705</v>
          </cell>
          <cell r="AY51">
            <v>4877</v>
          </cell>
          <cell r="AZ51">
            <v>9890</v>
          </cell>
          <cell r="BA51">
            <v>4327</v>
          </cell>
          <cell r="BB51">
            <v>17205</v>
          </cell>
          <cell r="BC51">
            <v>21033</v>
          </cell>
          <cell r="BD51">
            <v>42565</v>
          </cell>
          <cell r="BE51">
            <v>22364</v>
          </cell>
          <cell r="BF51">
            <v>21884</v>
          </cell>
          <cell r="BG51">
            <v>23778</v>
          </cell>
          <cell r="BH51">
            <v>68026</v>
          </cell>
          <cell r="BI51">
            <v>23214</v>
          </cell>
          <cell r="BJ51">
            <v>24197</v>
          </cell>
          <cell r="BK51">
            <v>25517</v>
          </cell>
          <cell r="BL51">
            <v>72928</v>
          </cell>
          <cell r="BM51">
            <v>25197</v>
          </cell>
          <cell r="BN51">
            <v>27799</v>
          </cell>
          <cell r="BO51">
            <v>29081</v>
          </cell>
          <cell r="BP51">
            <v>82077</v>
          </cell>
        </row>
        <row r="52">
          <cell r="A52" t="str">
            <v xml:space="preserve">  % Change</v>
          </cell>
        </row>
        <row r="53">
          <cell r="A53" t="str">
            <v>Sales (IMS)</v>
          </cell>
          <cell r="AT53">
            <v>0.46146500000000001</v>
          </cell>
          <cell r="AU53">
            <v>0.70899100000000004</v>
          </cell>
          <cell r="AV53">
            <v>1.1704560000000002</v>
          </cell>
          <cell r="AW53">
            <v>1.6658919999999999</v>
          </cell>
          <cell r="AX53">
            <v>2.766826</v>
          </cell>
          <cell r="AY53">
            <v>2.9205559999999999</v>
          </cell>
          <cell r="AZ53">
            <v>7.353273999999999</v>
          </cell>
          <cell r="BA53">
            <v>1.298003</v>
          </cell>
          <cell r="BB53">
            <v>1.515552</v>
          </cell>
          <cell r="BC53">
            <v>1.0545089999999999</v>
          </cell>
          <cell r="BD53">
            <v>3.8680639999999999</v>
          </cell>
          <cell r="BE53">
            <v>0.93295700000000004</v>
          </cell>
          <cell r="BF53">
            <v>0.97473399999999999</v>
          </cell>
          <cell r="BG53">
            <v>1.342141</v>
          </cell>
          <cell r="BH53">
            <v>3.2498320000000001</v>
          </cell>
          <cell r="BI53">
            <v>1.1638850000000001</v>
          </cell>
          <cell r="BJ53">
            <v>1.089682</v>
          </cell>
          <cell r="BK53">
            <v>1.3157479999999999</v>
          </cell>
          <cell r="BL53">
            <v>3.569315</v>
          </cell>
          <cell r="BM53">
            <v>1.102441</v>
          </cell>
          <cell r="BN53">
            <v>1.128593</v>
          </cell>
        </row>
        <row r="54">
          <cell r="A54" t="str">
            <v xml:space="preserve">  % Change</v>
          </cell>
        </row>
        <row r="56">
          <cell r="A56" t="str">
            <v>ALBUTEROL</v>
          </cell>
        </row>
        <row r="57">
          <cell r="A57" t="str">
            <v>TRx</v>
          </cell>
          <cell r="J57">
            <v>244</v>
          </cell>
          <cell r="K57">
            <v>74958</v>
          </cell>
          <cell r="L57">
            <v>75202</v>
          </cell>
          <cell r="M57">
            <v>198773</v>
          </cell>
          <cell r="N57">
            <v>263651</v>
          </cell>
          <cell r="O57">
            <v>293043</v>
          </cell>
          <cell r="P57">
            <v>755467</v>
          </cell>
          <cell r="Q57">
            <v>280884</v>
          </cell>
          <cell r="R57">
            <v>293430</v>
          </cell>
          <cell r="S57">
            <v>283380</v>
          </cell>
          <cell r="T57">
            <v>857694</v>
          </cell>
          <cell r="U57">
            <v>306834</v>
          </cell>
          <cell r="V57">
            <v>270507</v>
          </cell>
          <cell r="W57">
            <v>269530</v>
          </cell>
          <cell r="X57">
            <v>846871</v>
          </cell>
          <cell r="Y57">
            <v>280184</v>
          </cell>
          <cell r="Z57">
            <v>281501</v>
          </cell>
          <cell r="AA57">
            <v>314679</v>
          </cell>
          <cell r="AB57">
            <v>876364</v>
          </cell>
          <cell r="AC57">
            <v>303406</v>
          </cell>
          <cell r="AD57">
            <v>314924</v>
          </cell>
          <cell r="AE57">
            <v>290125</v>
          </cell>
          <cell r="AF57">
            <v>908455</v>
          </cell>
          <cell r="AG57">
            <v>303350</v>
          </cell>
          <cell r="AH57">
            <v>323330</v>
          </cell>
          <cell r="AI57">
            <v>320144</v>
          </cell>
          <cell r="AJ57">
            <v>946824</v>
          </cell>
          <cell r="AK57">
            <v>323349</v>
          </cell>
          <cell r="AL57">
            <v>298860</v>
          </cell>
          <cell r="AM57">
            <v>308920</v>
          </cell>
          <cell r="AN57">
            <v>931129</v>
          </cell>
          <cell r="AO57">
            <v>297960</v>
          </cell>
          <cell r="AP57">
            <v>286529</v>
          </cell>
          <cell r="AQ57">
            <v>305500</v>
          </cell>
          <cell r="AR57">
            <v>889989</v>
          </cell>
          <cell r="AS57">
            <v>278782</v>
          </cell>
          <cell r="AT57">
            <v>264846</v>
          </cell>
          <cell r="AU57">
            <v>241213</v>
          </cell>
          <cell r="AV57">
            <v>784841</v>
          </cell>
          <cell r="AW57">
            <v>228140</v>
          </cell>
          <cell r="AX57">
            <v>238179</v>
          </cell>
          <cell r="AY57">
            <v>264324</v>
          </cell>
          <cell r="AZ57">
            <v>730643</v>
          </cell>
          <cell r="BA57">
            <v>280043</v>
          </cell>
          <cell r="BB57">
            <v>256673</v>
          </cell>
          <cell r="BC57">
            <v>307106</v>
          </cell>
          <cell r="BD57">
            <v>843822</v>
          </cell>
          <cell r="BE57">
            <v>233939</v>
          </cell>
          <cell r="BF57">
            <v>213730</v>
          </cell>
          <cell r="BG57">
            <v>237574</v>
          </cell>
          <cell r="BH57">
            <v>685243</v>
          </cell>
          <cell r="BI57">
            <v>200573</v>
          </cell>
          <cell r="BJ57">
            <v>186102</v>
          </cell>
          <cell r="BK57">
            <v>181119</v>
          </cell>
          <cell r="BL57">
            <v>567794</v>
          </cell>
          <cell r="BM57">
            <v>169124</v>
          </cell>
          <cell r="BN57">
            <v>176542</v>
          </cell>
          <cell r="BO57">
            <v>160182</v>
          </cell>
          <cell r="BP57">
            <v>505848</v>
          </cell>
        </row>
        <row r="58">
          <cell r="A58" t="str">
            <v xml:space="preserve">  % Change</v>
          </cell>
          <cell r="Z58">
            <v>1152.6926229508197</v>
          </cell>
          <cell r="AA58">
            <v>3.1980709197150405</v>
          </cell>
          <cell r="AB58">
            <v>10.653466663120662</v>
          </cell>
          <cell r="AC58">
            <v>0.52639442982698847</v>
          </cell>
          <cell r="AD58">
            <v>0.19447299649915983</v>
          </cell>
          <cell r="AE58">
            <v>-9.9575830168269208E-3</v>
          </cell>
          <cell r="AF58">
            <v>0.20250785275862482</v>
          </cell>
          <cell r="AG58">
            <v>7.9983195910055427E-2</v>
          </cell>
          <cell r="AH58">
            <v>0.10189823808063259</v>
          </cell>
          <cell r="AI58">
            <v>0.12973392617686508</v>
          </cell>
          <cell r="AJ58">
            <v>0.10391818060986791</v>
          </cell>
          <cell r="AK58">
            <v>5.3823891746025643E-2</v>
          </cell>
          <cell r="AL58">
            <v>0.10481429316062063</v>
          </cell>
          <cell r="AM58">
            <v>0.14614328646161834</v>
          </cell>
          <cell r="AN58">
            <v>9.9493311259920336E-2</v>
          </cell>
          <cell r="AO58">
            <v>6.3444022499500319E-2</v>
          </cell>
          <cell r="AP58">
            <v>1.786139303235168E-2</v>
          </cell>
          <cell r="AQ58">
            <v>-2.9169407555000526E-2</v>
          </cell>
          <cell r="AR58">
            <v>1.5547192719007175E-2</v>
          </cell>
          <cell r="AS58">
            <v>-8.115857959302053E-2</v>
          </cell>
          <cell r="AT58">
            <v>-0.15901614357749805</v>
          </cell>
          <cell r="AU58">
            <v>-0.16858940112020682</v>
          </cell>
          <cell r="AV58">
            <v>-0.1360705813716695</v>
          </cell>
          <cell r="AW58">
            <v>-0.24793143233888248</v>
          </cell>
          <cell r="AX58">
            <v>-0.26335632326106451</v>
          </cell>
          <cell r="AY58">
            <v>-0.17435903843270528</v>
          </cell>
          <cell r="AZ58">
            <v>-0.22832226475036543</v>
          </cell>
          <cell r="BA58">
            <v>-0.13392959310218988</v>
          </cell>
          <cell r="BB58">
            <v>-0.14115974034665058</v>
          </cell>
          <cell r="BC58">
            <v>-5.8720704389485512E-3</v>
          </cell>
          <cell r="BD58">
            <v>-9.3764666335169444E-2</v>
          </cell>
          <cell r="BE58">
            <v>-0.21486441133037992</v>
          </cell>
          <cell r="BF58">
            <v>-0.25407201365306831</v>
          </cell>
          <cell r="BG58">
            <v>-0.22234369885433714</v>
          </cell>
          <cell r="BH58">
            <v>-0.23005452876383869</v>
          </cell>
          <cell r="BI58">
            <v>-0.28053819830548599</v>
          </cell>
          <cell r="BJ58">
            <v>-0.29731995197208949</v>
          </cell>
          <cell r="BK58">
            <v>-0.2491325094418626</v>
          </cell>
          <cell r="BL58">
            <v>-0.27654900801563631</v>
          </cell>
          <cell r="BM58">
            <v>-0.25868326466204961</v>
          </cell>
          <cell r="BN58">
            <v>-0.25878435966227076</v>
          </cell>
          <cell r="BO58">
            <v>-0.39399373496163803</v>
          </cell>
          <cell r="BP58">
            <v>-0.30766735601381245</v>
          </cell>
        </row>
        <row r="59">
          <cell r="A59" t="str">
            <v>28111:BETA AGONISTS,AEROSOL</v>
          </cell>
          <cell r="C59">
            <v>3307582</v>
          </cell>
          <cell r="D59">
            <v>3478369</v>
          </cell>
          <cell r="E59">
            <v>3692347</v>
          </cell>
          <cell r="F59">
            <v>3620156</v>
          </cell>
          <cell r="G59">
            <v>3715575</v>
          </cell>
          <cell r="H59">
            <v>11028078</v>
          </cell>
          <cell r="I59">
            <v>3881983</v>
          </cell>
          <cell r="J59">
            <v>3427540</v>
          </cell>
          <cell r="K59">
            <v>3739482</v>
          </cell>
          <cell r="L59">
            <v>11049005</v>
          </cell>
          <cell r="M59">
            <v>3516428</v>
          </cell>
          <cell r="N59">
            <v>3598056</v>
          </cell>
          <cell r="O59">
            <v>3149325</v>
          </cell>
          <cell r="P59">
            <v>10263809</v>
          </cell>
          <cell r="Q59">
            <v>2985325</v>
          </cell>
          <cell r="R59">
            <v>3263922</v>
          </cell>
          <cell r="S59">
            <v>3219834</v>
          </cell>
          <cell r="T59">
            <v>9469081</v>
          </cell>
          <cell r="U59">
            <v>3644120</v>
          </cell>
          <cell r="V59">
            <v>3442449</v>
          </cell>
          <cell r="W59">
            <v>3449412</v>
          </cell>
          <cell r="X59">
            <v>10535981</v>
          </cell>
          <cell r="Y59">
            <v>3558307</v>
          </cell>
          <cell r="Z59">
            <v>3312589</v>
          </cell>
          <cell r="AA59">
            <v>3416885</v>
          </cell>
          <cell r="AB59">
            <v>10287781</v>
          </cell>
          <cell r="AC59">
            <v>3327430</v>
          </cell>
          <cell r="AD59">
            <v>3293992</v>
          </cell>
          <cell r="AE59">
            <v>2918832</v>
          </cell>
          <cell r="AF59">
            <v>9540254</v>
          </cell>
          <cell r="AG59">
            <v>2951072</v>
          </cell>
          <cell r="AH59">
            <v>3111539</v>
          </cell>
          <cell r="AI59">
            <v>3207205</v>
          </cell>
          <cell r="AJ59">
            <v>9269816</v>
          </cell>
          <cell r="AK59">
            <v>3459962</v>
          </cell>
          <cell r="AL59">
            <v>3366923</v>
          </cell>
          <cell r="AM59">
            <v>3489228</v>
          </cell>
          <cell r="AN59">
            <v>10316113</v>
          </cell>
          <cell r="AO59">
            <v>3400776</v>
          </cell>
          <cell r="AP59">
            <v>3400776</v>
          </cell>
          <cell r="AQ59">
            <v>3400776</v>
          </cell>
          <cell r="AR59">
            <v>10202328</v>
          </cell>
          <cell r="AS59">
            <v>3197689</v>
          </cell>
          <cell r="AT59">
            <v>3238995</v>
          </cell>
          <cell r="AU59">
            <v>2911607</v>
          </cell>
          <cell r="AV59">
            <v>9348291</v>
          </cell>
          <cell r="AW59">
            <v>2911607</v>
          </cell>
          <cell r="AX59">
            <v>2702585</v>
          </cell>
          <cell r="AY59">
            <v>2702585</v>
          </cell>
          <cell r="AZ59">
            <v>8316777</v>
          </cell>
          <cell r="BD59">
            <v>0</v>
          </cell>
          <cell r="BH59">
            <v>0</v>
          </cell>
          <cell r="BL59">
            <v>0</v>
          </cell>
          <cell r="BP59">
            <v>0</v>
          </cell>
        </row>
        <row r="60">
          <cell r="A60" t="str">
            <v>TRx Market Share</v>
          </cell>
          <cell r="L60">
            <v>6.8062237278379368E-3</v>
          </cell>
          <cell r="P60">
            <v>7.3604935555601242E-2</v>
          </cell>
          <cell r="T60">
            <v>9.0578378197419582E-2</v>
          </cell>
          <cell r="X60">
            <v>8.0378941457848116E-2</v>
          </cell>
          <cell r="AB60">
            <v>8.5184939298377366E-2</v>
          </cell>
          <cell r="AC60">
            <v>9.118328559879546E-2</v>
          </cell>
          <cell r="AD60">
            <v>9.5605575241227064E-2</v>
          </cell>
          <cell r="AE60">
            <v>9.939763576663542E-2</v>
          </cell>
          <cell r="AF60">
            <v>9.5223355688433459E-2</v>
          </cell>
          <cell r="AG60">
            <v>0.10279315448758959</v>
          </cell>
          <cell r="AH60">
            <v>0.10391320822268338</v>
          </cell>
          <cell r="AI60">
            <v>9.982024847180021E-2</v>
          </cell>
          <cell r="AJ60">
            <v>0.1021405387118795</v>
          </cell>
          <cell r="AK60">
            <v>9.3454494586934764E-2</v>
          </cell>
          <cell r="AL60">
            <v>8.8763538696905162E-2</v>
          </cell>
          <cell r="AM60">
            <v>8.8535343634752448E-2</v>
          </cell>
          <cell r="AN60">
            <v>9.0259674356029246E-2</v>
          </cell>
          <cell r="AO60">
            <v>8.7615297214518092E-2</v>
          </cell>
          <cell r="AP60">
            <v>8.4254005556378894E-2</v>
          </cell>
          <cell r="AQ60">
            <v>8.9832438243506771E-2</v>
          </cell>
          <cell r="AR60">
            <v>8.7233913671467919E-2</v>
          </cell>
          <cell r="AS60">
            <v>8.7182336993997855E-2</v>
          </cell>
          <cell r="AT60">
            <v>8.1767955801104977E-2</v>
          </cell>
          <cell r="AU60">
            <v>8.2845315318997373E-2</v>
          </cell>
          <cell r="AV60">
            <v>8.3955559363738247E-2</v>
          </cell>
          <cell r="AW60">
            <v>7.8355354963770871E-2</v>
          </cell>
          <cell r="AX60">
            <v>8.8130068064464204E-2</v>
          </cell>
          <cell r="AY60">
            <v>9.7804139370269577E-2</v>
          </cell>
          <cell r="AZ60">
            <v>8.7851700243976719E-2</v>
          </cell>
          <cell r="BD60" t="e">
            <v>#DIV/0!</v>
          </cell>
          <cell r="BH60" t="e">
            <v>#DIV/0!</v>
          </cell>
          <cell r="BL60" t="e">
            <v>#DIV/0!</v>
          </cell>
          <cell r="BP60" t="e">
            <v>#DIV/0!</v>
          </cell>
        </row>
        <row r="61">
          <cell r="A61" t="str">
            <v>TRx Market Growth</v>
          </cell>
          <cell r="X61">
            <v>-4.4622190738948353E-2</v>
          </cell>
          <cell r="AB61">
            <v>-6.8895253463999717E-2</v>
          </cell>
          <cell r="AF61">
            <v>-7.0495758446011636E-2</v>
          </cell>
          <cell r="AJ61">
            <v>-2.1043752820363415E-2</v>
          </cell>
          <cell r="AK61">
            <v>-5.0535657442674742E-2</v>
          </cell>
          <cell r="AL61">
            <v>-2.1939613339224451E-2</v>
          </cell>
          <cell r="AM61">
            <v>1.1542836866109463E-2</v>
          </cell>
          <cell r="AN61">
            <v>-2.0868298832353638E-2</v>
          </cell>
          <cell r="AO61">
            <v>-4.4271334654373606E-2</v>
          </cell>
          <cell r="AP61">
            <v>2.662177529418841E-2</v>
          </cell>
          <cell r="AQ61">
            <v>-4.7145279984547317E-3</v>
          </cell>
          <cell r="AR61">
            <v>-8.3062615738029866E-3</v>
          </cell>
          <cell r="AS61">
            <v>-3.8991353687380381E-2</v>
          </cell>
          <cell r="AT61">
            <v>-1.6696154696186238E-2</v>
          </cell>
          <cell r="AU61">
            <v>-2.4753051905693768E-3</v>
          </cell>
          <cell r="AV61">
            <v>-2.0121372030555973E-2</v>
          </cell>
          <cell r="AW61">
            <v>-1.3373106450808359E-2</v>
          </cell>
          <cell r="AX61">
            <v>-0.13143142348529135</v>
          </cell>
          <cell r="AY61">
            <v>-0.15733949030386274</v>
          </cell>
          <cell r="AZ61">
            <v>-0.10281099430668306</v>
          </cell>
          <cell r="BD61">
            <v>-1</v>
          </cell>
          <cell r="BH61">
            <v>-1</v>
          </cell>
          <cell r="BL61">
            <v>-1</v>
          </cell>
          <cell r="BP61">
            <v>-1</v>
          </cell>
        </row>
        <row r="62">
          <cell r="A62" t="str">
            <v>NRx</v>
          </cell>
          <cell r="J62">
            <v>131</v>
          </cell>
          <cell r="K62">
            <v>57506</v>
          </cell>
          <cell r="L62">
            <v>57637</v>
          </cell>
          <cell r="M62">
            <v>136029</v>
          </cell>
          <cell r="N62">
            <v>168794</v>
          </cell>
          <cell r="O62">
            <v>169236</v>
          </cell>
          <cell r="P62">
            <v>474059</v>
          </cell>
          <cell r="Q62">
            <v>144098</v>
          </cell>
          <cell r="R62">
            <v>150385</v>
          </cell>
          <cell r="S62">
            <v>151828</v>
          </cell>
          <cell r="T62">
            <v>446311</v>
          </cell>
          <cell r="U62">
            <v>169376</v>
          </cell>
          <cell r="V62">
            <v>142340</v>
          </cell>
          <cell r="W62">
            <v>140137</v>
          </cell>
          <cell r="X62">
            <v>451853</v>
          </cell>
          <cell r="Y62">
            <v>159332</v>
          </cell>
          <cell r="Z62">
            <v>163709</v>
          </cell>
          <cell r="AA62">
            <v>177263</v>
          </cell>
          <cell r="AB62">
            <v>500304</v>
          </cell>
          <cell r="AC62">
            <v>163048</v>
          </cell>
          <cell r="AD62">
            <v>164621</v>
          </cell>
          <cell r="AE62">
            <v>143946</v>
          </cell>
          <cell r="AF62">
            <v>471615</v>
          </cell>
          <cell r="AG62">
            <v>146583</v>
          </cell>
          <cell r="AH62">
            <v>161155</v>
          </cell>
          <cell r="AI62">
            <v>165442</v>
          </cell>
          <cell r="AJ62">
            <v>473180</v>
          </cell>
          <cell r="AK62">
            <v>167328</v>
          </cell>
          <cell r="AL62">
            <v>153292</v>
          </cell>
          <cell r="AM62">
            <v>152935</v>
          </cell>
          <cell r="AN62">
            <v>473555</v>
          </cell>
          <cell r="AO62">
            <v>155477</v>
          </cell>
          <cell r="AP62">
            <v>160962</v>
          </cell>
          <cell r="AQ62">
            <v>167710</v>
          </cell>
          <cell r="AR62">
            <v>484149</v>
          </cell>
          <cell r="AS62">
            <v>142699</v>
          </cell>
          <cell r="AT62">
            <v>130454</v>
          </cell>
          <cell r="AU62">
            <v>114087</v>
          </cell>
          <cell r="AV62">
            <v>387240</v>
          </cell>
          <cell r="AW62">
            <v>103522</v>
          </cell>
          <cell r="AX62">
            <v>116196</v>
          </cell>
          <cell r="AY62">
            <v>139333</v>
          </cell>
          <cell r="AZ62">
            <v>359051</v>
          </cell>
          <cell r="BA62">
            <v>147899</v>
          </cell>
          <cell r="BB62">
            <v>133792</v>
          </cell>
          <cell r="BC62">
            <v>170664</v>
          </cell>
          <cell r="BD62">
            <v>452355</v>
          </cell>
          <cell r="BE62">
            <v>123500</v>
          </cell>
          <cell r="BF62">
            <v>112463</v>
          </cell>
          <cell r="BG62">
            <v>127078</v>
          </cell>
          <cell r="BH62">
            <v>363041</v>
          </cell>
          <cell r="BI62">
            <v>106443</v>
          </cell>
          <cell r="BJ62">
            <v>95880</v>
          </cell>
          <cell r="BK62">
            <v>91133</v>
          </cell>
          <cell r="BL62">
            <v>293456</v>
          </cell>
          <cell r="BM62">
            <v>82563</v>
          </cell>
          <cell r="BN62">
            <v>91262</v>
          </cell>
          <cell r="BO62">
            <v>84837</v>
          </cell>
          <cell r="BP62">
            <v>258662</v>
          </cell>
        </row>
        <row r="63">
          <cell r="A63" t="str">
            <v xml:space="preserve">  % Change</v>
          </cell>
          <cell r="Z63">
            <v>1248.6870229007634</v>
          </cell>
          <cell r="AA63">
            <v>2.0825131290647931</v>
          </cell>
          <cell r="AB63">
            <v>7.6802574734979263</v>
          </cell>
          <cell r="AC63">
            <v>0.19862676341074326</v>
          </cell>
          <cell r="AD63">
            <v>-2.4722442740855666E-2</v>
          </cell>
          <cell r="AE63">
            <v>-0.14943629015103166</v>
          </cell>
          <cell r="AF63">
            <v>-5.1554764280395959E-3</v>
          </cell>
          <cell r="AG63">
            <v>1.7245208122250055E-2</v>
          </cell>
          <cell r="AH63">
            <v>7.1616185124846243E-2</v>
          </cell>
          <cell r="AI63">
            <v>8.9667255051769201E-2</v>
          </cell>
          <cell r="AJ63">
            <v>6.0202414907990276E-2</v>
          </cell>
          <cell r="AK63">
            <v>-1.2091441526544511E-2</v>
          </cell>
          <cell r="AL63">
            <v>7.6942531965715988E-2</v>
          </cell>
          <cell r="AM63">
            <v>9.132491775905005E-2</v>
          </cell>
          <cell r="AN63">
            <v>4.8028894352809326E-2</v>
          </cell>
          <cell r="AO63">
            <v>-2.4194763136093145E-2</v>
          </cell>
          <cell r="AP63">
            <v>-1.6779773867044545E-2</v>
          </cell>
          <cell r="AQ63">
            <v>-5.3891675081658375E-2</v>
          </cell>
          <cell r="AR63">
            <v>-3.2290367456586422E-2</v>
          </cell>
          <cell r="AS63">
            <v>-0.12480373877631123</v>
          </cell>
          <cell r="AT63">
            <v>-0.20754946209778824</v>
          </cell>
          <cell r="AU63">
            <v>-0.20743195364928513</v>
          </cell>
          <cell r="AV63">
            <v>-0.17890652332941059</v>
          </cell>
          <cell r="AW63">
            <v>-0.29376530702741788</v>
          </cell>
          <cell r="AX63">
            <v>-0.27897986410598496</v>
          </cell>
          <cell r="AY63">
            <v>-0.15781361443889697</v>
          </cell>
          <cell r="AZ63">
            <v>-0.24119573946489703</v>
          </cell>
          <cell r="BA63">
            <v>-0.11611326257410592</v>
          </cell>
          <cell r="BB63">
            <v>-0.12720820395063015</v>
          </cell>
          <cell r="BC63">
            <v>0.11592506620459675</v>
          </cell>
          <cell r="BD63">
            <v>-4.4767767207610554E-2</v>
          </cell>
          <cell r="BE63">
            <v>-0.2056702920689234</v>
          </cell>
          <cell r="BF63">
            <v>-0.30130714081584475</v>
          </cell>
          <cell r="BG63">
            <v>-0.24227535626975139</v>
          </cell>
          <cell r="BH63">
            <v>-0.25014613269881791</v>
          </cell>
          <cell r="BI63">
            <v>-0.2540732590978213</v>
          </cell>
          <cell r="BJ63">
            <v>-0.265028285832554</v>
          </cell>
          <cell r="BK63">
            <v>-0.20119733186077293</v>
          </cell>
          <cell r="BL63">
            <v>-0.24218572461522569</v>
          </cell>
          <cell r="BM63">
            <v>-0.20245938061474855</v>
          </cell>
          <cell r="BN63">
            <v>-0.21458570002409727</v>
          </cell>
          <cell r="BO63">
            <v>-0.39112055291998304</v>
          </cell>
          <cell r="BP63">
            <v>-0.27959537781540789</v>
          </cell>
        </row>
        <row r="64">
          <cell r="A64" t="str">
            <v>Sales (IMS)</v>
          </cell>
          <cell r="K64">
            <v>0.56440500000000005</v>
          </cell>
          <cell r="L64">
            <v>0.56440500000000005</v>
          </cell>
          <cell r="M64">
            <v>1.8563769999999999</v>
          </cell>
          <cell r="N64">
            <v>1.2085300000000001</v>
          </cell>
          <cell r="O64">
            <v>5.163983</v>
          </cell>
          <cell r="P64">
            <v>8.2288899999999998</v>
          </cell>
          <cell r="Q64">
            <v>4.6767000000000003</v>
          </cell>
          <cell r="R64">
            <v>4.0168850000000003</v>
          </cell>
          <cell r="S64">
            <v>5.7231949999999996</v>
          </cell>
          <cell r="T64">
            <v>14.416779999999999</v>
          </cell>
          <cell r="U64">
            <v>4.7250579999999998</v>
          </cell>
          <cell r="V64">
            <v>4.961176</v>
          </cell>
          <cell r="W64">
            <v>4.6282379999999996</v>
          </cell>
          <cell r="X64">
            <v>14.314471999999999</v>
          </cell>
          <cell r="Y64">
            <v>3.6526160000000001</v>
          </cell>
          <cell r="Z64">
            <v>3.1017610000000002</v>
          </cell>
          <cell r="AA64">
            <v>4.2118589999999996</v>
          </cell>
          <cell r="AB64">
            <v>10.966236</v>
          </cell>
          <cell r="AC64">
            <v>3.081782</v>
          </cell>
          <cell r="AD64">
            <v>4.2337210000000001</v>
          </cell>
          <cell r="AE64">
            <v>6.0064299999999999</v>
          </cell>
          <cell r="AF64">
            <v>13.321933000000001</v>
          </cell>
          <cell r="AG64">
            <v>3.3098369999999999</v>
          </cell>
          <cell r="AH64">
            <v>3.484219</v>
          </cell>
          <cell r="AI64">
            <v>4.6130890000000004</v>
          </cell>
          <cell r="AJ64">
            <v>11.407145</v>
          </cell>
          <cell r="AK64">
            <v>3.560581</v>
          </cell>
          <cell r="AL64">
            <v>3.4271639999999999</v>
          </cell>
          <cell r="AM64">
            <v>4.7508970000000001</v>
          </cell>
          <cell r="AN64">
            <v>11.738641999999999</v>
          </cell>
          <cell r="AO64">
            <v>2.714788</v>
          </cell>
          <cell r="AP64">
            <v>2.8255669999999999</v>
          </cell>
          <cell r="AQ64">
            <v>3.6342629999999998</v>
          </cell>
          <cell r="AR64">
            <v>9.1746180000000006</v>
          </cell>
          <cell r="AS64">
            <v>1.1380570000000001</v>
          </cell>
          <cell r="AT64">
            <v>1.14717</v>
          </cell>
          <cell r="AU64">
            <v>2.3698130000000002</v>
          </cell>
          <cell r="AV64">
            <v>4.6550400000000005</v>
          </cell>
          <cell r="AW64">
            <v>1.841445</v>
          </cell>
          <cell r="AX64">
            <v>2.0870540000000002</v>
          </cell>
          <cell r="AY64">
            <v>2.3666839999999998</v>
          </cell>
          <cell r="AZ64">
            <v>6.2951829999999998</v>
          </cell>
          <cell r="BA64">
            <v>1.679214</v>
          </cell>
          <cell r="BB64">
            <v>1.4660070000000001</v>
          </cell>
          <cell r="BC64">
            <v>1.5539210000000001</v>
          </cell>
          <cell r="BD64">
            <v>4.6991420000000002</v>
          </cell>
          <cell r="BE64">
            <v>0.97637399999999996</v>
          </cell>
          <cell r="BF64">
            <v>0.845275</v>
          </cell>
          <cell r="BG64">
            <v>1.2247859999999999</v>
          </cell>
          <cell r="BH64">
            <v>3.0464349999999998</v>
          </cell>
          <cell r="BI64">
            <v>0.71559099999999998</v>
          </cell>
          <cell r="BJ64">
            <v>0.95062899999999995</v>
          </cell>
          <cell r="BK64">
            <v>0.819886</v>
          </cell>
          <cell r="BL64">
            <v>2.4861059999999999</v>
          </cell>
          <cell r="BM64">
            <v>0.69128999999999996</v>
          </cell>
          <cell r="BN64">
            <v>0.70632499999999998</v>
          </cell>
        </row>
        <row r="65">
          <cell r="A65" t="str">
            <v xml:space="preserve">  % Change</v>
          </cell>
          <cell r="AA65">
            <v>6.4624764132139143</v>
          </cell>
          <cell r="AB65">
            <v>18.429728652297552</v>
          </cell>
          <cell r="AC65">
            <v>0.66010567896499484</v>
          </cell>
          <cell r="AD65">
            <v>2.5031989276228144</v>
          </cell>
          <cell r="AE65">
            <v>0.16313899561636824</v>
          </cell>
          <cell r="AF65">
            <v>0.61892223617037079</v>
          </cell>
          <cell r="AG65">
            <v>-0.29227083199692094</v>
          </cell>
          <cell r="AH65">
            <v>-0.132606733824842</v>
          </cell>
          <cell r="AI65">
            <v>-0.1939661325535823</v>
          </cell>
          <cell r="AJ65">
            <v>-0.20875916813601925</v>
          </cell>
          <cell r="AK65">
            <v>-0.24644713355899539</v>
          </cell>
          <cell r="AL65">
            <v>-0.30920330179779953</v>
          </cell>
          <cell r="AM65">
            <v>2.650231038248263E-2</v>
          </cell>
          <cell r="AN65">
            <v>-0.17994586178239758</v>
          </cell>
          <cell r="AO65">
            <v>-0.25675515849462416</v>
          </cell>
          <cell r="AP65">
            <v>-8.904425582757669E-2</v>
          </cell>
          <cell r="AQ65">
            <v>-0.13713564485420804</v>
          </cell>
          <cell r="AR65">
            <v>-0.16337583834599212</v>
          </cell>
          <cell r="AS65">
            <v>-0.63071463198889477</v>
          </cell>
          <cell r="AT65">
            <v>-0.72903977375930062</v>
          </cell>
          <cell r="AU65">
            <v>-0.60545398847568355</v>
          </cell>
          <cell r="AV65">
            <v>-0.65057323137715828</v>
          </cell>
          <cell r="AW65">
            <v>-0.44364480788630978</v>
          </cell>
          <cell r="AX65">
            <v>-0.400998042889956</v>
          </cell>
          <cell r="AY65">
            <v>-0.48696329075810163</v>
          </cell>
          <cell r="AZ65">
            <v>-0.44813684756352268</v>
          </cell>
          <cell r="BA65">
            <v>-0.52838764235387425</v>
          </cell>
          <cell r="BB65">
            <v>-0.5722390291214543</v>
          </cell>
          <cell r="BC65">
            <v>-0.67292050322286512</v>
          </cell>
          <cell r="BD65">
            <v>-0.59968606249342971</v>
          </cell>
          <cell r="BE65">
            <v>-0.64034981737063812</v>
          </cell>
          <cell r="BF65">
            <v>-0.70084765287816575</v>
          </cell>
          <cell r="BG65">
            <v>-0.66298916726720103</v>
          </cell>
          <cell r="BH65">
            <v>-0.66794966286334767</v>
          </cell>
          <cell r="BI65">
            <v>-0.3712169074132492</v>
          </cell>
          <cell r="BJ65">
            <v>-0.17132683037387664</v>
          </cell>
          <cell r="BK65">
            <v>-0.65402924196972512</v>
          </cell>
          <cell r="BL65">
            <v>-0.46593240874407105</v>
          </cell>
          <cell r="BM65">
            <v>-0.62459372938100244</v>
          </cell>
          <cell r="BN65">
            <v>-0.66156841174210157</v>
          </cell>
        </row>
        <row r="67">
          <cell r="A67" t="str">
            <v>POTASSIUM CL</v>
          </cell>
        </row>
        <row r="68">
          <cell r="A68" t="str">
            <v>TRx</v>
          </cell>
          <cell r="AC68">
            <v>799</v>
          </cell>
          <cell r="AD68">
            <v>39149</v>
          </cell>
          <cell r="AE68">
            <v>91963</v>
          </cell>
          <cell r="AF68">
            <v>131911</v>
          </cell>
          <cell r="AG68">
            <v>130707</v>
          </cell>
          <cell r="AH68">
            <v>148548</v>
          </cell>
          <cell r="AI68">
            <v>151471</v>
          </cell>
          <cell r="AJ68">
            <v>430726</v>
          </cell>
          <cell r="AK68">
            <v>158763</v>
          </cell>
          <cell r="AL68">
            <v>160099</v>
          </cell>
          <cell r="AM68">
            <v>172694</v>
          </cell>
          <cell r="AN68">
            <v>491556</v>
          </cell>
          <cell r="AO68">
            <v>175869</v>
          </cell>
          <cell r="AP68">
            <v>167579</v>
          </cell>
          <cell r="AQ68">
            <v>190266</v>
          </cell>
          <cell r="AR68">
            <v>533714</v>
          </cell>
          <cell r="AS68">
            <v>195935</v>
          </cell>
          <cell r="AT68">
            <v>208200</v>
          </cell>
          <cell r="AU68">
            <v>212864</v>
          </cell>
          <cell r="AV68">
            <v>616999</v>
          </cell>
          <cell r="AW68">
            <v>229522</v>
          </cell>
          <cell r="AX68">
            <v>216575</v>
          </cell>
          <cell r="AY68">
            <v>221158</v>
          </cell>
          <cell r="AZ68">
            <v>667255</v>
          </cell>
          <cell r="BA68">
            <v>229532</v>
          </cell>
          <cell r="BB68">
            <v>213511</v>
          </cell>
          <cell r="BC68">
            <v>234024</v>
          </cell>
          <cell r="BD68">
            <v>677067</v>
          </cell>
          <cell r="BE68">
            <v>235866</v>
          </cell>
          <cell r="BF68">
            <v>220290</v>
          </cell>
          <cell r="BG68">
            <v>242650</v>
          </cell>
          <cell r="BH68">
            <v>698806</v>
          </cell>
          <cell r="BI68">
            <v>232018</v>
          </cell>
          <cell r="BJ68">
            <v>233552</v>
          </cell>
          <cell r="BK68">
            <v>258237</v>
          </cell>
          <cell r="BL68">
            <v>723807</v>
          </cell>
          <cell r="BM68">
            <v>267417</v>
          </cell>
          <cell r="BN68">
            <v>285917</v>
          </cell>
          <cell r="BO68">
            <v>289312</v>
          </cell>
          <cell r="BP68">
            <v>842646</v>
          </cell>
        </row>
        <row r="69">
          <cell r="A69" t="str">
            <v xml:space="preserve">  % Change</v>
          </cell>
          <cell r="AT69">
            <v>4.3181435030268975</v>
          </cell>
          <cell r="AU69">
            <v>1.3146700303382883</v>
          </cell>
          <cell r="AV69">
            <v>3.6773885422747155</v>
          </cell>
          <cell r="AW69">
            <v>0.7560038865554255</v>
          </cell>
          <cell r="AX69">
            <v>0.45794625306298298</v>
          </cell>
          <cell r="AY69">
            <v>0.46006826389209809</v>
          </cell>
          <cell r="AZ69">
            <v>0.5491402887218324</v>
          </cell>
          <cell r="BA69">
            <v>0.44575247381316796</v>
          </cell>
          <cell r="BB69">
            <v>0.33361857350764224</v>
          </cell>
          <cell r="BC69">
            <v>0.35513683162124909</v>
          </cell>
          <cell r="BD69">
            <v>0.37739545443448974</v>
          </cell>
          <cell r="BE69">
            <v>0.34114596660013996</v>
          </cell>
          <cell r="BF69">
            <v>0.31454418513059523</v>
          </cell>
          <cell r="BG69">
            <v>0.2753198154163119</v>
          </cell>
          <cell r="BH69">
            <v>0.30932671805498835</v>
          </cell>
          <cell r="BI69">
            <v>0.18415801158547485</v>
          </cell>
          <cell r="BJ69">
            <v>0.12176753121998085</v>
          </cell>
          <cell r="BK69">
            <v>0.21315487823211066</v>
          </cell>
          <cell r="BL69">
            <v>0.17310887051680801</v>
          </cell>
          <cell r="BM69">
            <v>0.16510399874521831</v>
          </cell>
          <cell r="BN69">
            <v>0.32017545884797416</v>
          </cell>
          <cell r="BO69">
            <v>0.30816882048128491</v>
          </cell>
          <cell r="BP69">
            <v>0.26285453087650157</v>
          </cell>
        </row>
        <row r="70">
          <cell r="A70" t="str">
            <v>NRx</v>
          </cell>
          <cell r="AC70">
            <v>497</v>
          </cell>
          <cell r="AD70">
            <v>32782</v>
          </cell>
          <cell r="AE70">
            <v>73894</v>
          </cell>
          <cell r="AF70">
            <v>107173</v>
          </cell>
          <cell r="AG70">
            <v>84540</v>
          </cell>
          <cell r="AH70">
            <v>78549</v>
          </cell>
          <cell r="AI70">
            <v>71769</v>
          </cell>
          <cell r="AJ70">
            <v>234858</v>
          </cell>
          <cell r="AK70">
            <v>71840</v>
          </cell>
          <cell r="AL70">
            <v>70003</v>
          </cell>
          <cell r="AM70">
            <v>73981</v>
          </cell>
          <cell r="AN70">
            <v>215824</v>
          </cell>
          <cell r="AO70">
            <v>79388</v>
          </cell>
          <cell r="AP70">
            <v>75573</v>
          </cell>
          <cell r="AQ70">
            <v>85104</v>
          </cell>
          <cell r="AR70">
            <v>240065</v>
          </cell>
          <cell r="AS70">
            <v>85901</v>
          </cell>
          <cell r="AT70">
            <v>89474</v>
          </cell>
          <cell r="AU70">
            <v>90166</v>
          </cell>
          <cell r="AV70">
            <v>265541</v>
          </cell>
          <cell r="AW70">
            <v>96592</v>
          </cell>
          <cell r="AX70">
            <v>89018</v>
          </cell>
          <cell r="AY70">
            <v>90005</v>
          </cell>
          <cell r="AZ70">
            <v>275615</v>
          </cell>
          <cell r="BA70">
            <v>93769</v>
          </cell>
          <cell r="BB70">
            <v>85009</v>
          </cell>
          <cell r="BC70">
            <v>93398</v>
          </cell>
          <cell r="BD70">
            <v>272176</v>
          </cell>
          <cell r="BE70">
            <v>97816</v>
          </cell>
          <cell r="BF70">
            <v>92417</v>
          </cell>
          <cell r="BG70">
            <v>101119</v>
          </cell>
          <cell r="BH70">
            <v>291352</v>
          </cell>
          <cell r="BI70">
            <v>97223</v>
          </cell>
          <cell r="BJ70">
            <v>96322</v>
          </cell>
          <cell r="BK70">
            <v>106062</v>
          </cell>
          <cell r="BL70">
            <v>299607</v>
          </cell>
          <cell r="BM70">
            <v>108140</v>
          </cell>
          <cell r="BN70">
            <v>112921</v>
          </cell>
          <cell r="BO70">
            <v>114373</v>
          </cell>
          <cell r="BP70">
            <v>335434</v>
          </cell>
        </row>
        <row r="71">
          <cell r="A71" t="str">
            <v xml:space="preserve">  % Change</v>
          </cell>
          <cell r="AT71">
            <v>1.7293636751876029</v>
          </cell>
          <cell r="AU71">
            <v>0.22020732400465537</v>
          </cell>
          <cell r="AV71">
            <v>1.4776856111147398</v>
          </cell>
          <cell r="AW71">
            <v>0.14255973503666897</v>
          </cell>
          <cell r="AX71">
            <v>0.1332798635246788</v>
          </cell>
          <cell r="AY71">
            <v>0.25409299279633268</v>
          </cell>
          <cell r="AZ71">
            <v>0.17353890435922992</v>
          </cell>
          <cell r="BA71">
            <v>0.3052477728285079</v>
          </cell>
          <cell r="BB71">
            <v>0.21436224161821626</v>
          </cell>
          <cell r="BC71">
            <v>0.26245928008542729</v>
          </cell>
          <cell r="BD71">
            <v>0.26110163837200684</v>
          </cell>
          <cell r="BE71">
            <v>0.23212576207991131</v>
          </cell>
          <cell r="BF71">
            <v>0.2228838341735806</v>
          </cell>
          <cell r="BG71">
            <v>0.18818151908253422</v>
          </cell>
          <cell r="BH71">
            <v>0.21363797304896592</v>
          </cell>
          <cell r="BI71">
            <v>0.13180288937264995</v>
          </cell>
          <cell r="BJ71">
            <v>7.653620046046905E-2</v>
          </cell>
          <cell r="BK71">
            <v>0.17629705210389734</v>
          </cell>
          <cell r="BL71">
            <v>0.12828904011056674</v>
          </cell>
          <cell r="BM71">
            <v>0.1195544144442604</v>
          </cell>
          <cell r="BN71">
            <v>0.26851872654968667</v>
          </cell>
          <cell r="BO71">
            <v>0.27074051441586588</v>
          </cell>
          <cell r="BP71">
            <v>0.21703825989151526</v>
          </cell>
        </row>
        <row r="72">
          <cell r="A72" t="str">
            <v>Sales (IMS)</v>
          </cell>
          <cell r="AC72">
            <v>0.33346100000000001</v>
          </cell>
          <cell r="AD72">
            <v>2.198569</v>
          </cell>
          <cell r="AE72">
            <v>3.430933</v>
          </cell>
          <cell r="AF72">
            <v>5.9629630000000002</v>
          </cell>
          <cell r="AG72">
            <v>2.8401380000000001</v>
          </cell>
          <cell r="AH72">
            <v>2.9120520000000001</v>
          </cell>
          <cell r="AI72">
            <v>3.6170580000000001</v>
          </cell>
          <cell r="AJ72">
            <v>9.3692480000000007</v>
          </cell>
          <cell r="AK72">
            <v>2.3869090000000002</v>
          </cell>
          <cell r="AL72">
            <v>2.564152</v>
          </cell>
          <cell r="AM72">
            <v>3.166477</v>
          </cell>
          <cell r="AN72">
            <v>8.1175379999999997</v>
          </cell>
          <cell r="AO72">
            <v>2.661219</v>
          </cell>
          <cell r="AP72">
            <v>3.0420430000000001</v>
          </cell>
          <cell r="AQ72">
            <v>3.8186330000000002</v>
          </cell>
          <cell r="AR72">
            <v>9.5218950000000007</v>
          </cell>
          <cell r="AS72">
            <v>1.1297029999999999</v>
          </cell>
          <cell r="AT72">
            <v>1.3138460000000001</v>
          </cell>
          <cell r="AU72">
            <v>1.9505680000000001</v>
          </cell>
          <cell r="AV72">
            <v>4.3941170000000005</v>
          </cell>
          <cell r="AW72">
            <v>1.538484</v>
          </cell>
          <cell r="AX72">
            <v>1.436825</v>
          </cell>
          <cell r="AY72">
            <v>1.669305</v>
          </cell>
          <cell r="AZ72">
            <v>4.6446140000000007</v>
          </cell>
          <cell r="BA72">
            <v>1.2469250000000001</v>
          </cell>
          <cell r="BB72">
            <v>1.262416</v>
          </cell>
          <cell r="BC72">
            <v>1.416086</v>
          </cell>
          <cell r="BD72">
            <v>3.925427</v>
          </cell>
          <cell r="BE72">
            <v>1.1407970000000001</v>
          </cell>
          <cell r="BF72">
            <v>0.90678899999999996</v>
          </cell>
          <cell r="BG72">
            <v>1.315477</v>
          </cell>
          <cell r="BH72">
            <v>3.3630629999999999</v>
          </cell>
          <cell r="BI72">
            <v>1.121159</v>
          </cell>
          <cell r="BJ72">
            <v>1.389195</v>
          </cell>
          <cell r="BK72">
            <v>1.771414</v>
          </cell>
          <cell r="BL72">
            <v>4.2817679999999996</v>
          </cell>
          <cell r="BM72">
            <v>1.45503</v>
          </cell>
          <cell r="BN72">
            <v>1.816454</v>
          </cell>
        </row>
        <row r="73">
          <cell r="A73" t="str">
            <v xml:space="preserve">  % Change</v>
          </cell>
          <cell r="AT73">
            <v>-0.40240856666313407</v>
          </cell>
          <cell r="AU73">
            <v>-0.43147592797644252</v>
          </cell>
          <cell r="AV73">
            <v>-0.2630983958813764</v>
          </cell>
          <cell r="AW73">
            <v>-0.4583066034115244</v>
          </cell>
          <cell r="AX73">
            <v>-0.50659363225656684</v>
          </cell>
          <cell r="AY73">
            <v>-0.53849095038011563</v>
          </cell>
          <cell r="AZ73">
            <v>-0.50427035339442394</v>
          </cell>
          <cell r="BA73">
            <v>-0.47759843379031208</v>
          </cell>
          <cell r="BB73">
            <v>-0.507667252175378</v>
          </cell>
          <cell r="BC73">
            <v>-0.55278816173305545</v>
          </cell>
          <cell r="BD73">
            <v>-0.51642640909103221</v>
          </cell>
          <cell r="BE73">
            <v>-0.57132539636910751</v>
          </cell>
          <cell r="BF73">
            <v>-0.70191446997954987</v>
          </cell>
          <cell r="BG73">
            <v>-0.65551101663867672</v>
          </cell>
          <cell r="BH73">
            <v>-0.64680738445445995</v>
          </cell>
          <cell r="BI73">
            <v>-7.5630497573254685E-3</v>
          </cell>
          <cell r="BJ73">
            <v>5.73499481674411E-2</v>
          </cell>
          <cell r="BK73">
            <v>-9.1847092744267278E-2</v>
          </cell>
          <cell r="BL73">
            <v>-2.5568049280435878E-2</v>
          </cell>
          <cell r="BM73">
            <v>-5.4244308033102651E-2</v>
          </cell>
          <cell r="BN73">
            <v>0.26421380474309686</v>
          </cell>
        </row>
        <row r="75">
          <cell r="A75" t="str">
            <v xml:space="preserve">DILTIA XT </v>
          </cell>
        </row>
        <row r="76">
          <cell r="A76" t="str">
            <v>TRx</v>
          </cell>
          <cell r="D76">
            <v>78831</v>
          </cell>
          <cell r="E76">
            <v>80698</v>
          </cell>
          <cell r="F76">
            <v>76117</v>
          </cell>
          <cell r="G76">
            <v>76870</v>
          </cell>
          <cell r="H76">
            <v>233685</v>
          </cell>
          <cell r="I76">
            <v>77077</v>
          </cell>
          <cell r="J76">
            <v>68727</v>
          </cell>
          <cell r="K76">
            <v>75130</v>
          </cell>
          <cell r="L76">
            <v>220934</v>
          </cell>
          <cell r="M76">
            <v>70511</v>
          </cell>
          <cell r="N76">
            <v>72873</v>
          </cell>
          <cell r="O76">
            <v>71270</v>
          </cell>
          <cell r="P76">
            <v>214654</v>
          </cell>
          <cell r="Q76">
            <v>73198</v>
          </cell>
          <cell r="R76">
            <v>72862</v>
          </cell>
          <cell r="S76">
            <v>65866</v>
          </cell>
          <cell r="T76">
            <v>211926</v>
          </cell>
          <cell r="U76">
            <v>70838</v>
          </cell>
          <cell r="V76">
            <v>66622</v>
          </cell>
          <cell r="W76">
            <v>69623</v>
          </cell>
          <cell r="X76">
            <v>207083</v>
          </cell>
          <cell r="Y76">
            <v>70368</v>
          </cell>
          <cell r="Z76">
            <v>63604</v>
          </cell>
          <cell r="AA76">
            <v>67417</v>
          </cell>
          <cell r="AB76">
            <v>201389</v>
          </cell>
          <cell r="AC76">
            <v>68937</v>
          </cell>
          <cell r="AD76">
            <v>72053</v>
          </cell>
          <cell r="AE76">
            <v>71262</v>
          </cell>
          <cell r="AF76">
            <v>212252</v>
          </cell>
          <cell r="AG76">
            <v>78992</v>
          </cell>
          <cell r="AH76">
            <v>77043</v>
          </cell>
          <cell r="AI76">
            <v>73613</v>
          </cell>
          <cell r="AJ76">
            <v>229648</v>
          </cell>
          <cell r="AK76">
            <v>77494</v>
          </cell>
          <cell r="AL76">
            <v>71775</v>
          </cell>
          <cell r="AM76">
            <v>75577</v>
          </cell>
          <cell r="AN76">
            <v>224846</v>
          </cell>
          <cell r="AO76">
            <v>73234</v>
          </cell>
          <cell r="AP76">
            <v>66754</v>
          </cell>
          <cell r="AQ76">
            <v>72328</v>
          </cell>
          <cell r="AR76">
            <v>212316</v>
          </cell>
          <cell r="AS76">
            <v>69817</v>
          </cell>
          <cell r="AT76">
            <v>68927</v>
          </cell>
          <cell r="AU76">
            <v>65331</v>
          </cell>
          <cell r="AV76">
            <v>204075</v>
          </cell>
          <cell r="AW76">
            <v>63496</v>
          </cell>
          <cell r="AX76">
            <v>57522</v>
          </cell>
          <cell r="AY76">
            <v>54228</v>
          </cell>
          <cell r="AZ76">
            <v>175246</v>
          </cell>
          <cell r="BA76">
            <v>55484</v>
          </cell>
          <cell r="BB76">
            <v>51991</v>
          </cell>
          <cell r="BC76">
            <v>57304</v>
          </cell>
          <cell r="BD76">
            <v>164779</v>
          </cell>
          <cell r="BE76">
            <v>53053</v>
          </cell>
          <cell r="BF76">
            <v>48982</v>
          </cell>
          <cell r="BG76">
            <v>53560</v>
          </cell>
          <cell r="BH76">
            <v>155595</v>
          </cell>
          <cell r="BI76">
            <v>50397</v>
          </cell>
          <cell r="BJ76">
            <v>50088</v>
          </cell>
          <cell r="BK76">
            <v>51650</v>
          </cell>
          <cell r="BL76">
            <v>152135</v>
          </cell>
          <cell r="BM76">
            <v>50559</v>
          </cell>
          <cell r="BN76">
            <v>51114</v>
          </cell>
          <cell r="BO76">
            <v>50185</v>
          </cell>
          <cell r="BP76">
            <v>151858</v>
          </cell>
        </row>
        <row r="77">
          <cell r="A77" t="str">
            <v xml:space="preserve">  % Change</v>
          </cell>
          <cell r="S77">
            <v>-0.16446575585746726</v>
          </cell>
          <cell r="U77">
            <v>-0.12218394507918406</v>
          </cell>
          <cell r="V77">
            <v>-0.12474217323331183</v>
          </cell>
          <cell r="W77">
            <v>-9.4276050474827677E-2</v>
          </cell>
          <cell r="X77">
            <v>-0.11383700280291842</v>
          </cell>
          <cell r="Y77">
            <v>-8.7042827302567516E-2</v>
          </cell>
          <cell r="Z77">
            <v>-7.4541301089819156E-2</v>
          </cell>
          <cell r="AA77">
            <v>-0.10266205244243309</v>
          </cell>
          <cell r="AB77">
            <v>-8.8465333538522817E-2</v>
          </cell>
          <cell r="AC77">
            <v>-2.2322758151210431E-2</v>
          </cell>
          <cell r="AD77">
            <v>-1.1252452897506648E-2</v>
          </cell>
          <cell r="AE77">
            <v>-1.1224919320895754E-4</v>
          </cell>
          <cell r="AF77">
            <v>-1.1190101279268005E-2</v>
          </cell>
          <cell r="AG77">
            <v>7.9155168173993928E-2</v>
          </cell>
          <cell r="AH77">
            <v>5.7382449013203107E-2</v>
          </cell>
          <cell r="AI77">
            <v>0.11761758722254267</v>
          </cell>
          <cell r="AJ77">
            <v>8.3623528967658567E-2</v>
          </cell>
          <cell r="AK77">
            <v>9.3960868460430946E-2</v>
          </cell>
          <cell r="AL77">
            <v>7.7346822370988555E-2</v>
          </cell>
          <cell r="AM77">
            <v>8.5517716846444491E-2</v>
          </cell>
          <cell r="AN77">
            <v>8.5777200446197854E-2</v>
          </cell>
          <cell r="AO77">
            <v>4.0728740336516633E-2</v>
          </cell>
          <cell r="AP77">
            <v>4.9525187095151191E-2</v>
          </cell>
          <cell r="AQ77">
            <v>7.2845128083421029E-2</v>
          </cell>
          <cell r="AR77">
            <v>5.4258176961005766E-2</v>
          </cell>
          <cell r="AS77">
            <v>1.2765278442635974E-2</v>
          </cell>
          <cell r="AT77">
            <v>-4.3384730684357331E-2</v>
          </cell>
          <cell r="AU77">
            <v>-8.3228087900985126E-2</v>
          </cell>
          <cell r="AV77">
            <v>-3.8524960895539251E-2</v>
          </cell>
          <cell r="AW77">
            <v>-0.19617176422928906</v>
          </cell>
          <cell r="AX77">
            <v>-0.25337798372337528</v>
          </cell>
          <cell r="AY77">
            <v>-0.26333663890888837</v>
          </cell>
          <cell r="AZ77">
            <v>-0.23689298404514736</v>
          </cell>
          <cell r="BA77">
            <v>-0.28402198879913287</v>
          </cell>
          <cell r="BB77">
            <v>-0.27563915012190876</v>
          </cell>
          <cell r="BC77">
            <v>-0.24177990658533677</v>
          </cell>
          <cell r="BD77">
            <v>-0.26714729192425035</v>
          </cell>
          <cell r="BE77">
            <v>-0.27556872490919515</v>
          </cell>
          <cell r="BF77">
            <v>-0.26623123707942598</v>
          </cell>
          <cell r="BG77">
            <v>-0.259484570290897</v>
          </cell>
          <cell r="BH77">
            <v>-0.26715367659526368</v>
          </cell>
          <cell r="BI77">
            <v>-0.27815575003222714</v>
          </cell>
          <cell r="BJ77">
            <v>-0.27331814818576172</v>
          </cell>
          <cell r="BK77">
            <v>-0.20941054017235305</v>
          </cell>
          <cell r="BL77">
            <v>-0.25451427171383068</v>
          </cell>
          <cell r="BM77">
            <v>-0.20374511780269622</v>
          </cell>
          <cell r="BN77">
            <v>-0.11140085532491917</v>
          </cell>
          <cell r="BO77">
            <v>-7.4555580143099487E-2</v>
          </cell>
          <cell r="BP77">
            <v>-0.13345811031350219</v>
          </cell>
        </row>
        <row r="78">
          <cell r="A78" t="str">
            <v>NRx</v>
          </cell>
          <cell r="D78">
            <v>21124</v>
          </cell>
          <cell r="E78">
            <v>21837</v>
          </cell>
          <cell r="F78">
            <v>20447</v>
          </cell>
          <cell r="G78">
            <v>20332</v>
          </cell>
          <cell r="H78">
            <v>62616</v>
          </cell>
          <cell r="I78">
            <v>22821</v>
          </cell>
          <cell r="J78">
            <v>20569</v>
          </cell>
          <cell r="K78">
            <v>22001</v>
          </cell>
          <cell r="L78">
            <v>65391</v>
          </cell>
          <cell r="M78">
            <v>19564</v>
          </cell>
          <cell r="N78">
            <v>19400</v>
          </cell>
          <cell r="O78">
            <v>18280</v>
          </cell>
          <cell r="P78">
            <v>57244</v>
          </cell>
          <cell r="Q78">
            <v>18617</v>
          </cell>
          <cell r="R78">
            <v>18309</v>
          </cell>
          <cell r="S78">
            <v>16398</v>
          </cell>
          <cell r="T78">
            <v>53324</v>
          </cell>
          <cell r="U78">
            <v>18018</v>
          </cell>
          <cell r="V78">
            <v>17154</v>
          </cell>
          <cell r="W78">
            <v>17827</v>
          </cell>
          <cell r="X78">
            <v>52999</v>
          </cell>
          <cell r="Y78">
            <v>20861</v>
          </cell>
          <cell r="Z78">
            <v>18534</v>
          </cell>
          <cell r="AA78">
            <v>18638</v>
          </cell>
          <cell r="AB78">
            <v>58033</v>
          </cell>
          <cell r="AC78">
            <v>18367</v>
          </cell>
          <cell r="AD78">
            <v>18483</v>
          </cell>
          <cell r="AE78">
            <v>17844</v>
          </cell>
          <cell r="AF78">
            <v>54694</v>
          </cell>
          <cell r="AG78">
            <v>19608</v>
          </cell>
          <cell r="AH78">
            <v>18843</v>
          </cell>
          <cell r="AI78">
            <v>17377</v>
          </cell>
          <cell r="AJ78">
            <v>55828</v>
          </cell>
          <cell r="AK78">
            <v>19234</v>
          </cell>
          <cell r="AL78">
            <v>17238</v>
          </cell>
          <cell r="AM78">
            <v>18536</v>
          </cell>
          <cell r="AN78">
            <v>55008</v>
          </cell>
          <cell r="AO78">
            <v>19977</v>
          </cell>
          <cell r="AP78">
            <v>18817</v>
          </cell>
          <cell r="AQ78">
            <v>19306</v>
          </cell>
          <cell r="AR78">
            <v>58100</v>
          </cell>
          <cell r="AS78">
            <v>18043</v>
          </cell>
          <cell r="AT78">
            <v>16513</v>
          </cell>
          <cell r="AU78">
            <v>15919</v>
          </cell>
          <cell r="AV78">
            <v>50475</v>
          </cell>
          <cell r="AW78">
            <v>15161</v>
          </cell>
          <cell r="AX78">
            <v>13396</v>
          </cell>
          <cell r="AY78">
            <v>12931</v>
          </cell>
          <cell r="AZ78">
            <v>41488</v>
          </cell>
          <cell r="BA78">
            <v>13794</v>
          </cell>
          <cell r="BB78">
            <v>12620</v>
          </cell>
          <cell r="BC78">
            <v>13660</v>
          </cell>
          <cell r="BD78">
            <v>40074</v>
          </cell>
          <cell r="BE78">
            <v>13858</v>
          </cell>
          <cell r="BF78">
            <v>12888</v>
          </cell>
          <cell r="BG78">
            <v>13665</v>
          </cell>
          <cell r="BH78">
            <v>40411</v>
          </cell>
          <cell r="BI78">
            <v>12660</v>
          </cell>
          <cell r="BJ78">
            <v>13016</v>
          </cell>
          <cell r="BK78">
            <v>13325</v>
          </cell>
          <cell r="BL78">
            <v>39001</v>
          </cell>
          <cell r="BM78">
            <v>12665</v>
          </cell>
          <cell r="BN78">
            <v>12857</v>
          </cell>
          <cell r="BO78">
            <v>12999</v>
          </cell>
          <cell r="BP78">
            <v>38521</v>
          </cell>
        </row>
        <row r="79">
          <cell r="A79" t="str">
            <v xml:space="preserve">  % Change</v>
          </cell>
          <cell r="S79">
            <v>-0.22372656693807991</v>
          </cell>
          <cell r="U79">
            <v>-0.17488666025552957</v>
          </cell>
          <cell r="V79">
            <v>-0.16105052085880567</v>
          </cell>
          <cell r="W79">
            <v>-0.12320480031477477</v>
          </cell>
          <cell r="X79">
            <v>-0.15358694263447037</v>
          </cell>
          <cell r="Y79">
            <v>-8.5885806932211595E-2</v>
          </cell>
          <cell r="Z79">
            <v>-9.8935290971850831E-2</v>
          </cell>
          <cell r="AA79">
            <v>-0.15285668833234856</v>
          </cell>
          <cell r="AB79">
            <v>-0.11252313009435544</v>
          </cell>
          <cell r="AC79">
            <v>-6.1183806992435086E-2</v>
          </cell>
          <cell r="AD79">
            <v>-4.7268041237113367E-2</v>
          </cell>
          <cell r="AE79">
            <v>-2.3851203501094043E-2</v>
          </cell>
          <cell r="AF79">
            <v>-4.4546153308643754E-2</v>
          </cell>
          <cell r="AG79">
            <v>5.3230917978192016E-2</v>
          </cell>
          <cell r="AH79">
            <v>2.9165983942323503E-2</v>
          </cell>
          <cell r="AI79">
            <v>5.9702402732040527E-2</v>
          </cell>
          <cell r="AJ79">
            <v>4.6958217688095383E-2</v>
          </cell>
          <cell r="AK79">
            <v>6.7488067488067571E-2</v>
          </cell>
          <cell r="AL79">
            <v>4.8968170689052126E-3</v>
          </cell>
          <cell r="AM79">
            <v>3.9771133673641046E-2</v>
          </cell>
          <cell r="AN79">
            <v>3.7906375591992392E-2</v>
          </cell>
          <cell r="AO79">
            <v>-4.2375725037150702E-2</v>
          </cell>
          <cell r="AP79">
            <v>1.52692349196073E-2</v>
          </cell>
          <cell r="AQ79">
            <v>3.5840755445863293E-2</v>
          </cell>
          <cell r="AR79">
            <v>1.1545155342649327E-3</v>
          </cell>
          <cell r="AS79">
            <v>-1.7640333206293879E-2</v>
          </cell>
          <cell r="AT79">
            <v>-0.10658442893469677</v>
          </cell>
          <cell r="AU79">
            <v>-0.10787939923783907</v>
          </cell>
          <cell r="AV79">
            <v>-7.7138260138223558E-2</v>
          </cell>
          <cell r="AW79">
            <v>-0.22679518563851486</v>
          </cell>
          <cell r="AX79">
            <v>-0.28907286525500187</v>
          </cell>
          <cell r="AY79">
            <v>-0.255855441100305</v>
          </cell>
          <cell r="AZ79">
            <v>-0.25686035681020281</v>
          </cell>
          <cell r="BA79">
            <v>-0.28283248414266404</v>
          </cell>
          <cell r="BB79">
            <v>-0.26789650771551221</v>
          </cell>
          <cell r="BC79">
            <v>-0.2630556754423824</v>
          </cell>
          <cell r="BD79">
            <v>-0.27148778359511339</v>
          </cell>
          <cell r="BE79">
            <v>-0.30630224758472246</v>
          </cell>
          <cell r="BF79">
            <v>-0.31508742094914177</v>
          </cell>
          <cell r="BG79">
            <v>-0.29218895680099455</v>
          </cell>
          <cell r="BH79">
            <v>-0.30445783132530124</v>
          </cell>
          <cell r="BI79">
            <v>-0.29834284764174468</v>
          </cell>
          <cell r="BJ79">
            <v>-0.21177254284503122</v>
          </cell>
          <cell r="BK79">
            <v>-0.16294993404108293</v>
          </cell>
          <cell r="BL79">
            <v>-0.22732045567112436</v>
          </cell>
          <cell r="BM79">
            <v>-0.16463293977969795</v>
          </cell>
          <cell r="BN79">
            <v>-4.0235891310839045E-2</v>
          </cell>
          <cell r="BO79">
            <v>5.258680689815165E-3</v>
          </cell>
          <cell r="BP79">
            <v>-7.1514654839953673E-2</v>
          </cell>
        </row>
        <row r="80">
          <cell r="A80" t="str">
            <v>Sales (IMS)</v>
          </cell>
          <cell r="C80">
            <v>1.2422249999999999</v>
          </cell>
          <cell r="D80">
            <v>1.430167</v>
          </cell>
          <cell r="E80">
            <v>1.1009450000000001</v>
          </cell>
          <cell r="F80">
            <v>1.1015919999999999</v>
          </cell>
          <cell r="G80">
            <v>1.4273830000000001</v>
          </cell>
          <cell r="H80">
            <v>3.6299200000000003</v>
          </cell>
          <cell r="I80">
            <v>1.1127689999999999</v>
          </cell>
          <cell r="J80">
            <v>1.208378</v>
          </cell>
          <cell r="K80">
            <v>1.524796</v>
          </cell>
          <cell r="L80">
            <v>3.8459430000000001</v>
          </cell>
          <cell r="M80">
            <v>1.2914330000000001</v>
          </cell>
          <cell r="N80">
            <v>1.318829</v>
          </cell>
          <cell r="O80">
            <v>1.51993</v>
          </cell>
          <cell r="P80">
            <v>4.1301920000000001</v>
          </cell>
          <cell r="Q80">
            <v>1.18666</v>
          </cell>
          <cell r="R80">
            <v>1.2325809999999999</v>
          </cell>
          <cell r="S80">
            <v>1.5725819999999999</v>
          </cell>
          <cell r="T80">
            <v>3.9918230000000001</v>
          </cell>
          <cell r="U80">
            <v>1.2503820000000001</v>
          </cell>
          <cell r="V80">
            <v>1.4845980000000001</v>
          </cell>
          <cell r="W80">
            <v>1.436755</v>
          </cell>
          <cell r="X80">
            <v>4.171735</v>
          </cell>
          <cell r="Y80">
            <v>1.2128810000000001</v>
          </cell>
          <cell r="Z80">
            <v>1.204086</v>
          </cell>
          <cell r="AA80">
            <v>1.5068550000000001</v>
          </cell>
          <cell r="AB80">
            <v>3.9238220000000004</v>
          </cell>
          <cell r="AC80">
            <v>1.431387</v>
          </cell>
          <cell r="AD80">
            <v>1.430758</v>
          </cell>
          <cell r="AE80">
            <v>1.870053</v>
          </cell>
          <cell r="AF80">
            <v>4.7321980000000003</v>
          </cell>
          <cell r="AG80">
            <v>1.467417</v>
          </cell>
          <cell r="AH80">
            <v>1.4980530000000001</v>
          </cell>
          <cell r="AI80">
            <v>1.9359949999999999</v>
          </cell>
          <cell r="AJ80">
            <v>4.901465</v>
          </cell>
          <cell r="AK80">
            <v>1.493984</v>
          </cell>
          <cell r="AL80">
            <v>1.414312</v>
          </cell>
          <cell r="AM80">
            <v>1.5443260000000001</v>
          </cell>
          <cell r="AN80">
            <v>4.4526219999999999</v>
          </cell>
          <cell r="AO80">
            <v>1.2335430000000001</v>
          </cell>
          <cell r="AP80">
            <v>1.304252</v>
          </cell>
          <cell r="AQ80">
            <v>1.6583870000000001</v>
          </cell>
          <cell r="AR80">
            <v>4.1961820000000003</v>
          </cell>
          <cell r="AS80">
            <v>0.94537499999999997</v>
          </cell>
          <cell r="AT80">
            <v>0.96266399999999996</v>
          </cell>
          <cell r="AU80">
            <v>1.1411929999999999</v>
          </cell>
          <cell r="AV80">
            <v>3.0492319999999995</v>
          </cell>
          <cell r="AW80">
            <v>0.76158999999999999</v>
          </cell>
          <cell r="AX80">
            <v>0.75423700000000005</v>
          </cell>
          <cell r="AY80">
            <v>0.91697600000000001</v>
          </cell>
          <cell r="AZ80">
            <v>2.4328029999999998</v>
          </cell>
          <cell r="BA80">
            <v>0.72362099999999996</v>
          </cell>
          <cell r="BB80">
            <v>0.774088</v>
          </cell>
          <cell r="BC80">
            <v>0.89775199999999999</v>
          </cell>
          <cell r="BD80">
            <v>2.3954610000000001</v>
          </cell>
          <cell r="BE80">
            <v>0.73034100000000002</v>
          </cell>
          <cell r="BF80">
            <v>0.71109599999999995</v>
          </cell>
          <cell r="BG80">
            <v>0.86336000000000002</v>
          </cell>
          <cell r="BH80">
            <v>2.3047970000000002</v>
          </cell>
          <cell r="BI80">
            <v>0.68140599999999996</v>
          </cell>
          <cell r="BJ80">
            <v>0.682334</v>
          </cell>
          <cell r="BK80">
            <v>0.82760100000000003</v>
          </cell>
          <cell r="BL80">
            <v>2.191341</v>
          </cell>
          <cell r="BM80">
            <v>0.67356000000000005</v>
          </cell>
          <cell r="BN80">
            <v>0.64832999999999996</v>
          </cell>
        </row>
        <row r="81">
          <cell r="A81" t="str">
            <v xml:space="preserve">  % Change</v>
          </cell>
          <cell r="S81">
            <v>9.9579279902277218E-2</v>
          </cell>
          <cell r="U81">
            <v>0.1357352092974673</v>
          </cell>
          <cell r="V81">
            <v>0.34768407904196863</v>
          </cell>
          <cell r="W81">
            <v>6.565862140714751E-3</v>
          </cell>
          <cell r="X81">
            <v>0.14926362013487893</v>
          </cell>
          <cell r="Y81">
            <v>8.9966560894489511E-2</v>
          </cell>
          <cell r="Z81">
            <v>-3.5518687033361251E-3</v>
          </cell>
          <cell r="AA81">
            <v>-1.1766164129496604E-2</v>
          </cell>
          <cell r="AB81">
            <v>2.0249650085817805E-2</v>
          </cell>
          <cell r="AC81">
            <v>0.10837108855047051</v>
          </cell>
          <cell r="AD81">
            <v>8.4869986935379726E-2</v>
          </cell>
          <cell r="AE81">
            <v>0.23035468738691911</v>
          </cell>
          <cell r="AF81">
            <v>0.14575738851849995</v>
          </cell>
          <cell r="AG81">
            <v>0.23659430670958814</v>
          </cell>
          <cell r="AH81">
            <v>0.21537894872629071</v>
          </cell>
          <cell r="AI81">
            <v>0.23109319577611842</v>
          </cell>
          <cell r="AJ81">
            <v>0.22787633620027736</v>
          </cell>
          <cell r="AK81">
            <v>0.19482206237773725</v>
          </cell>
          <cell r="AL81">
            <v>-4.7343455938914203E-2</v>
          </cell>
          <cell r="AM81">
            <v>7.4870802607264419E-2</v>
          </cell>
          <cell r="AN81">
            <v>6.7330978597633706E-2</v>
          </cell>
          <cell r="AO81">
            <v>1.7035471740426189E-2</v>
          </cell>
          <cell r="AP81">
            <v>8.3188410130173418E-2</v>
          </cell>
          <cell r="AQ81">
            <v>0.10056176606242806</v>
          </cell>
          <cell r="AR81">
            <v>6.9411915219395715E-2</v>
          </cell>
          <cell r="AS81">
            <v>-0.33953920218641076</v>
          </cell>
          <cell r="AT81">
            <v>-0.32716504118795775</v>
          </cell>
          <cell r="AU81">
            <v>-0.38975365938826334</v>
          </cell>
          <cell r="AV81">
            <v>-0.35564150105299919</v>
          </cell>
          <cell r="AW81">
            <v>-0.48099960679207066</v>
          </cell>
          <cell r="AX81">
            <v>-0.49652181865394618</v>
          </cell>
          <cell r="AY81">
            <v>-0.52635414864191277</v>
          </cell>
          <cell r="AZ81">
            <v>-0.50365798796890315</v>
          </cell>
          <cell r="BA81">
            <v>-0.51564340715830959</v>
          </cell>
          <cell r="BB81">
            <v>-0.45267522300595631</v>
          </cell>
          <cell r="BC81">
            <v>-0.41867714459252781</v>
          </cell>
          <cell r="BD81">
            <v>-0.46201114758899364</v>
          </cell>
          <cell r="BE81">
            <v>-0.40793227313518865</v>
          </cell>
          <cell r="BF81">
            <v>-0.45478634497014381</v>
          </cell>
          <cell r="BG81">
            <v>-0.47939775215314639</v>
          </cell>
          <cell r="BH81">
            <v>-0.45073950557911935</v>
          </cell>
          <cell r="BI81">
            <v>-0.2792214729604654</v>
          </cell>
          <cell r="BJ81">
            <v>-0.29120233020036068</v>
          </cell>
          <cell r="BK81">
            <v>-0.27479313315100939</v>
          </cell>
          <cell r="BL81">
            <v>-0.28134658169663695</v>
          </cell>
          <cell r="BM81">
            <v>-0.11558712693181361</v>
          </cell>
          <cell r="BN81">
            <v>-0.14041607611400675</v>
          </cell>
        </row>
        <row r="83">
          <cell r="A83" t="str">
            <v>KETOPROFEN</v>
          </cell>
        </row>
        <row r="84">
          <cell r="A84" t="str">
            <v>TRx</v>
          </cell>
          <cell r="D84">
            <v>568</v>
          </cell>
          <cell r="E84">
            <v>560</v>
          </cell>
          <cell r="F84">
            <v>543</v>
          </cell>
          <cell r="G84">
            <v>489</v>
          </cell>
          <cell r="H84">
            <v>1592</v>
          </cell>
          <cell r="I84">
            <v>482</v>
          </cell>
          <cell r="J84">
            <v>409</v>
          </cell>
          <cell r="K84">
            <v>389</v>
          </cell>
          <cell r="L84">
            <v>1280</v>
          </cell>
          <cell r="M84">
            <v>356</v>
          </cell>
          <cell r="N84">
            <v>368</v>
          </cell>
          <cell r="O84">
            <v>412</v>
          </cell>
          <cell r="P84">
            <v>1136</v>
          </cell>
          <cell r="Q84">
            <v>754</v>
          </cell>
          <cell r="R84">
            <v>2040</v>
          </cell>
          <cell r="S84">
            <v>2258</v>
          </cell>
          <cell r="T84">
            <v>5052</v>
          </cell>
          <cell r="U84">
            <v>3586</v>
          </cell>
          <cell r="V84">
            <v>4746</v>
          </cell>
          <cell r="W84">
            <v>6771</v>
          </cell>
          <cell r="X84">
            <v>15103</v>
          </cell>
          <cell r="Y84">
            <v>8891</v>
          </cell>
          <cell r="Z84">
            <v>8125</v>
          </cell>
          <cell r="AA84">
            <v>10556</v>
          </cell>
          <cell r="AB84">
            <v>27572</v>
          </cell>
          <cell r="AC84">
            <v>12605</v>
          </cell>
          <cell r="AD84">
            <v>13092</v>
          </cell>
          <cell r="AE84">
            <v>13215</v>
          </cell>
          <cell r="AF84">
            <v>38912</v>
          </cell>
          <cell r="AG84">
            <v>14546</v>
          </cell>
          <cell r="AH84">
            <v>14868</v>
          </cell>
          <cell r="AI84">
            <v>14010</v>
          </cell>
          <cell r="AJ84">
            <v>43424</v>
          </cell>
          <cell r="AK84">
            <v>15173</v>
          </cell>
          <cell r="AL84">
            <v>14369</v>
          </cell>
          <cell r="AM84">
            <v>15446</v>
          </cell>
          <cell r="AN84">
            <v>44988</v>
          </cell>
          <cell r="AO84">
            <v>15170</v>
          </cell>
          <cell r="AP84">
            <v>13477</v>
          </cell>
          <cell r="AQ84">
            <v>14719</v>
          </cell>
          <cell r="AR84">
            <v>43366</v>
          </cell>
          <cell r="AS84">
            <v>14730</v>
          </cell>
          <cell r="AT84">
            <v>14557</v>
          </cell>
          <cell r="AU84">
            <v>14130</v>
          </cell>
          <cell r="AV84">
            <v>43417</v>
          </cell>
          <cell r="AW84">
            <v>14678</v>
          </cell>
          <cell r="AX84">
            <v>13944</v>
          </cell>
          <cell r="AY84">
            <v>14515</v>
          </cell>
          <cell r="AZ84">
            <v>43137</v>
          </cell>
          <cell r="BA84">
            <v>14607</v>
          </cell>
          <cell r="BB84">
            <v>13033</v>
          </cell>
          <cell r="BC84">
            <v>13754</v>
          </cell>
          <cell r="BD84">
            <v>41394</v>
          </cell>
          <cell r="BE84">
            <v>12323</v>
          </cell>
          <cell r="BF84">
            <v>11356</v>
          </cell>
          <cell r="BG84">
            <v>11941</v>
          </cell>
          <cell r="BH84">
            <v>35620</v>
          </cell>
          <cell r="BI84">
            <v>11432</v>
          </cell>
          <cell r="BJ84">
            <v>11097</v>
          </cell>
          <cell r="BK84">
            <v>11588</v>
          </cell>
          <cell r="BL84">
            <v>34117</v>
          </cell>
          <cell r="BM84">
            <v>11236</v>
          </cell>
          <cell r="BN84">
            <v>11273</v>
          </cell>
          <cell r="BO84">
            <v>10578</v>
          </cell>
          <cell r="BP84">
            <v>33087</v>
          </cell>
        </row>
        <row r="85">
          <cell r="A85" t="str">
            <v xml:space="preserve">  % Change</v>
          </cell>
          <cell r="S85">
            <v>2.9753521126760565</v>
          </cell>
          <cell r="U85">
            <v>5.4035714285714285</v>
          </cell>
          <cell r="V85">
            <v>7.7403314917127073</v>
          </cell>
          <cell r="W85">
            <v>12.846625766871165</v>
          </cell>
          <cell r="X85">
            <v>8.4868090452261313</v>
          </cell>
          <cell r="Y85">
            <v>17.446058091286307</v>
          </cell>
          <cell r="Z85">
            <v>18.865525672371639</v>
          </cell>
          <cell r="AA85">
            <v>26.136246786632391</v>
          </cell>
          <cell r="AB85">
            <v>20.540624999999999</v>
          </cell>
          <cell r="AC85">
            <v>34.407303370786515</v>
          </cell>
          <cell r="AD85">
            <v>34.576086956521742</v>
          </cell>
          <cell r="AE85">
            <v>31.075242718446603</v>
          </cell>
          <cell r="AF85">
            <v>33.25352112676056</v>
          </cell>
          <cell r="AG85">
            <v>18.291777188328911</v>
          </cell>
          <cell r="AH85">
            <v>6.2882352941176469</v>
          </cell>
          <cell r="AI85">
            <v>5.2046058458813107</v>
          </cell>
          <cell r="AJ85">
            <v>7.5954077593032459</v>
          </cell>
          <cell r="AK85">
            <v>3.231176798661461</v>
          </cell>
          <cell r="AL85">
            <v>2.0276021913190054</v>
          </cell>
          <cell r="AM85">
            <v>1.2811992320189041</v>
          </cell>
          <cell r="AN85">
            <v>1.9787459445143347</v>
          </cell>
          <cell r="AO85">
            <v>0.70621977280395898</v>
          </cell>
          <cell r="AP85">
            <v>0.65870769230769222</v>
          </cell>
          <cell r="AQ85">
            <v>0.39437286851079945</v>
          </cell>
          <cell r="AR85">
            <v>0.57282750616567535</v>
          </cell>
          <cell r="AS85">
            <v>0.16858389527965101</v>
          </cell>
          <cell r="AT85">
            <v>0.11190039718912304</v>
          </cell>
          <cell r="AU85">
            <v>6.9239500567536805E-2</v>
          </cell>
          <cell r="AV85">
            <v>0.11577405427631571</v>
          </cell>
          <cell r="AW85">
            <v>9.0746597002613338E-3</v>
          </cell>
          <cell r="AX85">
            <v>-6.2146892655367214E-2</v>
          </cell>
          <cell r="AY85">
            <v>3.6045681655960005E-2</v>
          </cell>
          <cell r="AZ85">
            <v>-6.6092483419307735E-3</v>
          </cell>
          <cell r="BA85">
            <v>-3.7303104198246895E-2</v>
          </cell>
          <cell r="BB85">
            <v>-9.2977938617857858E-2</v>
          </cell>
          <cell r="BC85">
            <v>-0.10954292373430019</v>
          </cell>
          <cell r="BD85">
            <v>-7.9887970125366747E-2</v>
          </cell>
          <cell r="BE85">
            <v>-0.18767303889255105</v>
          </cell>
          <cell r="BF85">
            <v>-0.15737923870297543</v>
          </cell>
          <cell r="BG85">
            <v>-0.18873564780216046</v>
          </cell>
          <cell r="BH85">
            <v>-0.17861919476087262</v>
          </cell>
          <cell r="BI85">
            <v>-0.22389680923285815</v>
          </cell>
          <cell r="BJ85">
            <v>-0.23768633647042658</v>
          </cell>
          <cell r="BK85">
            <v>-0.1799009200283086</v>
          </cell>
          <cell r="BL85">
            <v>-0.21420181035078423</v>
          </cell>
          <cell r="BM85">
            <v>-0.23450061316255622</v>
          </cell>
          <cell r="BN85">
            <v>-0.19155192197360871</v>
          </cell>
          <cell r="BO85">
            <v>-0.27123665173957978</v>
          </cell>
          <cell r="BP85">
            <v>-0.23297864941929203</v>
          </cell>
        </row>
        <row r="86">
          <cell r="A86" t="str">
            <v>NRx</v>
          </cell>
          <cell r="D86">
            <v>258</v>
          </cell>
          <cell r="E86">
            <v>284</v>
          </cell>
          <cell r="F86">
            <v>266</v>
          </cell>
          <cell r="G86">
            <v>229</v>
          </cell>
          <cell r="H86">
            <v>779</v>
          </cell>
          <cell r="I86">
            <v>289</v>
          </cell>
          <cell r="J86">
            <v>211</v>
          </cell>
          <cell r="K86">
            <v>196</v>
          </cell>
          <cell r="L86">
            <v>696</v>
          </cell>
          <cell r="M86">
            <v>200</v>
          </cell>
          <cell r="N86">
            <v>213</v>
          </cell>
          <cell r="O86">
            <v>210</v>
          </cell>
          <cell r="P86">
            <v>623</v>
          </cell>
          <cell r="Q86">
            <v>368</v>
          </cell>
          <cell r="R86">
            <v>824</v>
          </cell>
          <cell r="S86">
            <v>1055</v>
          </cell>
          <cell r="T86">
            <v>2247</v>
          </cell>
          <cell r="U86">
            <v>1709</v>
          </cell>
          <cell r="V86">
            <v>2324</v>
          </cell>
          <cell r="W86">
            <v>3337</v>
          </cell>
          <cell r="X86">
            <v>7370</v>
          </cell>
          <cell r="Y86">
            <v>4539</v>
          </cell>
          <cell r="Z86">
            <v>4090</v>
          </cell>
          <cell r="AA86">
            <v>5034</v>
          </cell>
          <cell r="AB86">
            <v>13663</v>
          </cell>
          <cell r="AC86">
            <v>5844</v>
          </cell>
          <cell r="AD86">
            <v>5862</v>
          </cell>
          <cell r="AE86">
            <v>5522</v>
          </cell>
          <cell r="AF86">
            <v>17228</v>
          </cell>
          <cell r="AG86">
            <v>5968</v>
          </cell>
          <cell r="AH86">
            <v>6216</v>
          </cell>
          <cell r="AI86">
            <v>5751</v>
          </cell>
          <cell r="AJ86">
            <v>17935</v>
          </cell>
          <cell r="AK86">
            <v>5990</v>
          </cell>
          <cell r="AL86">
            <v>5761</v>
          </cell>
          <cell r="AM86">
            <v>5918</v>
          </cell>
          <cell r="AN86">
            <v>17669</v>
          </cell>
          <cell r="AO86">
            <v>6291</v>
          </cell>
          <cell r="AP86">
            <v>5582</v>
          </cell>
          <cell r="AQ86">
            <v>6063</v>
          </cell>
          <cell r="AR86">
            <v>17936</v>
          </cell>
          <cell r="AS86">
            <v>5876</v>
          </cell>
          <cell r="AT86">
            <v>6118</v>
          </cell>
          <cell r="AU86">
            <v>5572</v>
          </cell>
          <cell r="AV86">
            <v>17566</v>
          </cell>
          <cell r="AW86">
            <v>5679</v>
          </cell>
          <cell r="AX86">
            <v>5620</v>
          </cell>
          <cell r="AY86">
            <v>5895</v>
          </cell>
          <cell r="AZ86">
            <v>17194</v>
          </cell>
          <cell r="BA86">
            <v>5946</v>
          </cell>
          <cell r="BB86">
            <v>5088</v>
          </cell>
          <cell r="BC86">
            <v>5203</v>
          </cell>
          <cell r="BD86">
            <v>16237</v>
          </cell>
          <cell r="BE86">
            <v>4967</v>
          </cell>
          <cell r="BF86">
            <v>4889</v>
          </cell>
          <cell r="BG86">
            <v>4965</v>
          </cell>
          <cell r="BH86">
            <v>14821</v>
          </cell>
          <cell r="BI86">
            <v>4743</v>
          </cell>
          <cell r="BJ86">
            <v>4525</v>
          </cell>
          <cell r="BK86">
            <v>4918</v>
          </cell>
          <cell r="BL86">
            <v>14186</v>
          </cell>
          <cell r="BM86">
            <v>4650</v>
          </cell>
          <cell r="BN86">
            <v>4691</v>
          </cell>
          <cell r="BO86">
            <v>4202</v>
          </cell>
          <cell r="BP86">
            <v>13543</v>
          </cell>
        </row>
        <row r="87">
          <cell r="A87" t="str">
            <v xml:space="preserve">  % Change</v>
          </cell>
          <cell r="S87">
            <v>3.0891472868217056</v>
          </cell>
          <cell r="U87">
            <v>5.017605633802817</v>
          </cell>
          <cell r="V87">
            <v>7.7368421052631575</v>
          </cell>
          <cell r="W87">
            <v>13.572052401746724</v>
          </cell>
          <cell r="X87">
            <v>8.460847240051347</v>
          </cell>
          <cell r="Y87">
            <v>14.705882352941176</v>
          </cell>
          <cell r="Z87">
            <v>18.383886255924171</v>
          </cell>
          <cell r="AA87">
            <v>24.683673469387756</v>
          </cell>
          <cell r="AB87">
            <v>18.630747126436781</v>
          </cell>
          <cell r="AC87">
            <v>28.22</v>
          </cell>
          <cell r="AD87">
            <v>26.52112676056338</v>
          </cell>
          <cell r="AE87">
            <v>25.295238095238094</v>
          </cell>
          <cell r="AF87">
            <v>26.653290529695024</v>
          </cell>
          <cell r="AG87">
            <v>15.217391304347824</v>
          </cell>
          <cell r="AH87">
            <v>6.5436893203883493</v>
          </cell>
          <cell r="AI87">
            <v>4.4511848341232225</v>
          </cell>
          <cell r="AJ87">
            <v>6.9817534490431683</v>
          </cell>
          <cell r="AK87">
            <v>2.5049736688121707</v>
          </cell>
          <cell r="AL87">
            <v>1.4789156626506026</v>
          </cell>
          <cell r="AM87">
            <v>0.77344920587353916</v>
          </cell>
          <cell r="AN87">
            <v>1.3974219810040704</v>
          </cell>
          <cell r="AO87">
            <v>0.38598810310641118</v>
          </cell>
          <cell r="AP87">
            <v>0.36479217603911973</v>
          </cell>
          <cell r="AQ87">
            <v>0.20441001191895114</v>
          </cell>
          <cell r="AR87">
            <v>0.31274244309448873</v>
          </cell>
          <cell r="AS87">
            <v>5.4757015742641357E-3</v>
          </cell>
          <cell r="AT87">
            <v>4.3671102012964758E-2</v>
          </cell>
          <cell r="AU87">
            <v>9.05469032959072E-3</v>
          </cell>
          <cell r="AV87">
            <v>1.9619224518226064E-2</v>
          </cell>
          <cell r="AW87">
            <v>-4.842493297587136E-2</v>
          </cell>
          <cell r="AX87">
            <v>-9.5881595881595838E-2</v>
          </cell>
          <cell r="AY87">
            <v>2.5039123630672844E-2</v>
          </cell>
          <cell r="AZ87">
            <v>-4.131586283802624E-2</v>
          </cell>
          <cell r="BA87">
            <v>-7.3455759599332371E-3</v>
          </cell>
          <cell r="BB87">
            <v>-0.11681999652838049</v>
          </cell>
          <cell r="BC87">
            <v>-0.120817843866171</v>
          </cell>
          <cell r="BD87">
            <v>-8.1045899598166327E-2</v>
          </cell>
          <cell r="BE87">
            <v>-0.21045938642505169</v>
          </cell>
          <cell r="BF87">
            <v>-0.12414905051952707</v>
          </cell>
          <cell r="BG87">
            <v>-0.1810984661058882</v>
          </cell>
          <cell r="BH87">
            <v>-0.17367305976806424</v>
          </cell>
          <cell r="BI87">
            <v>-0.19281824370319944</v>
          </cell>
          <cell r="BJ87">
            <v>-0.26037920889179467</v>
          </cell>
          <cell r="BK87">
            <v>-0.11737257717157212</v>
          </cell>
          <cell r="BL87">
            <v>-0.19241716953205057</v>
          </cell>
          <cell r="BM87">
            <v>-0.18119387216059168</v>
          </cell>
          <cell r="BN87">
            <v>-0.16530249110320283</v>
          </cell>
          <cell r="BO87">
            <v>-0.28719253604749784</v>
          </cell>
          <cell r="BP87">
            <v>-0.21234151448179595</v>
          </cell>
        </row>
        <row r="88">
          <cell r="A88" t="str">
            <v>Sales (IMS)</v>
          </cell>
          <cell r="C88">
            <v>5.4000000000000003E-3</v>
          </cell>
          <cell r="D88">
            <v>6.3639999999999999E-3</v>
          </cell>
          <cell r="E88">
            <v>4.2079999999999999E-3</v>
          </cell>
          <cell r="F88">
            <v>2.1700000000000001E-3</v>
          </cell>
          <cell r="G88">
            <v>4.9979999999999998E-3</v>
          </cell>
          <cell r="H88">
            <v>1.1376000000000001E-2</v>
          </cell>
          <cell r="I88">
            <v>1.41E-3</v>
          </cell>
          <cell r="J88">
            <v>4.0200000000000001E-4</v>
          </cell>
          <cell r="K88">
            <v>3.7300000000000001E-4</v>
          </cell>
          <cell r="L88">
            <v>2.1850000000000003E-3</v>
          </cell>
          <cell r="M88">
            <v>3.7100000000000002E-4</v>
          </cell>
          <cell r="N88">
            <v>5.0799999999999999E-4</v>
          </cell>
          <cell r="O88">
            <v>1.2812E-2</v>
          </cell>
          <cell r="P88">
            <v>1.3691E-2</v>
          </cell>
          <cell r="Q88">
            <v>4.6920000000000003E-2</v>
          </cell>
          <cell r="R88">
            <v>0.25450299999999998</v>
          </cell>
          <cell r="S88">
            <v>0.43706600000000001</v>
          </cell>
          <cell r="T88">
            <v>0.73848899999999995</v>
          </cell>
          <cell r="U88">
            <v>0.51532100000000003</v>
          </cell>
          <cell r="V88">
            <v>0.600159</v>
          </cell>
          <cell r="W88">
            <v>1.00535</v>
          </cell>
          <cell r="X88">
            <v>2.1208300000000002</v>
          </cell>
          <cell r="Y88">
            <v>0.48131000000000002</v>
          </cell>
          <cell r="Z88">
            <v>0.25858199999999998</v>
          </cell>
          <cell r="AA88">
            <v>1.0171330000000001</v>
          </cell>
          <cell r="AB88">
            <v>1.7570250000000001</v>
          </cell>
          <cell r="AC88">
            <v>0.72368399999999999</v>
          </cell>
          <cell r="AD88">
            <v>0.745421</v>
          </cell>
          <cell r="AE88">
            <v>1.157205</v>
          </cell>
          <cell r="AF88">
            <v>2.6263100000000001</v>
          </cell>
          <cell r="AG88">
            <v>0.95041500000000001</v>
          </cell>
          <cell r="AH88">
            <v>0.975769</v>
          </cell>
          <cell r="AI88">
            <v>1.1556329999999999</v>
          </cell>
          <cell r="AJ88">
            <v>3.081817</v>
          </cell>
          <cell r="AK88">
            <v>0.90578499999999995</v>
          </cell>
          <cell r="AL88">
            <v>0.86658800000000002</v>
          </cell>
          <cell r="AM88">
            <v>1.1188560000000001</v>
          </cell>
          <cell r="AN88">
            <v>2.891229</v>
          </cell>
          <cell r="AO88">
            <v>0.78252600000000005</v>
          </cell>
          <cell r="AP88">
            <v>0.76420500000000002</v>
          </cell>
          <cell r="AQ88">
            <v>0.93919299999999994</v>
          </cell>
          <cell r="AR88">
            <v>2.4859239999999998</v>
          </cell>
          <cell r="AS88">
            <v>0.70510300000000004</v>
          </cell>
          <cell r="AT88">
            <v>0.643652</v>
          </cell>
          <cell r="AU88">
            <v>0.81649700000000003</v>
          </cell>
          <cell r="AV88">
            <v>2.1652519999999997</v>
          </cell>
          <cell r="AW88">
            <v>0.60459799999999997</v>
          </cell>
          <cell r="AX88">
            <v>0.71989199999999998</v>
          </cell>
          <cell r="AY88">
            <v>0.83789199999999997</v>
          </cell>
          <cell r="AZ88">
            <v>2.162382</v>
          </cell>
          <cell r="BA88">
            <v>0.55546899999999999</v>
          </cell>
          <cell r="BB88">
            <v>0.46710000000000002</v>
          </cell>
          <cell r="BC88">
            <v>0.54266199999999998</v>
          </cell>
          <cell r="BD88">
            <v>1.565231</v>
          </cell>
          <cell r="BE88">
            <v>0.43548100000000001</v>
          </cell>
          <cell r="BF88">
            <v>0.42822100000000002</v>
          </cell>
          <cell r="BG88">
            <v>0.53232800000000002</v>
          </cell>
          <cell r="BH88">
            <v>1.3960300000000001</v>
          </cell>
          <cell r="BI88">
            <v>0.41325699999999999</v>
          </cell>
          <cell r="BJ88">
            <v>0.40928900000000001</v>
          </cell>
          <cell r="BK88">
            <v>0.52314799999999995</v>
          </cell>
          <cell r="BL88">
            <v>1.3456939999999999</v>
          </cell>
          <cell r="BM88">
            <v>0.402111</v>
          </cell>
          <cell r="BN88">
            <v>0.379695</v>
          </cell>
        </row>
        <row r="89">
          <cell r="A89" t="str">
            <v xml:space="preserve">  % Change</v>
          </cell>
          <cell r="AH89">
            <v>2.8340176736620002</v>
          </cell>
          <cell r="AI89">
            <v>1.6440697743590209</v>
          </cell>
          <cell r="AJ89">
            <v>3.1731386655725409</v>
          </cell>
          <cell r="AK89">
            <v>0.75771024274190246</v>
          </cell>
          <cell r="AL89">
            <v>0.44393069170003296</v>
          </cell>
          <cell r="AM89">
            <v>0.11290197443676342</v>
          </cell>
          <cell r="AN89">
            <v>0.3632535375301178</v>
          </cell>
          <cell r="AO89">
            <v>0.62582535164447028</v>
          </cell>
          <cell r="AP89">
            <v>1.9553681230712119</v>
          </cell>
          <cell r="AQ89">
            <v>-7.6627147088925596E-2</v>
          </cell>
          <cell r="AR89">
            <v>0.41484839430286979</v>
          </cell>
          <cell r="AS89">
            <v>-2.5675571105620576E-2</v>
          </cell>
          <cell r="AT89">
            <v>-0.13652553389292765</v>
          </cell>
          <cell r="AU89">
            <v>-0.29442320072934358</v>
          </cell>
          <cell r="AV89">
            <v>-0.17555353328434209</v>
          </cell>
          <cell r="AW89">
            <v>-0.36385894582892742</v>
          </cell>
          <cell r="AX89">
            <v>-0.26223112232505852</v>
          </cell>
          <cell r="AY89">
            <v>-0.27494974615643542</v>
          </cell>
          <cell r="AZ89">
            <v>-0.29834185482136022</v>
          </cell>
          <cell r="BA89">
            <v>-0.38675403103385464</v>
          </cell>
          <cell r="BB89">
            <v>-0.46098953597326531</v>
          </cell>
          <cell r="BC89">
            <v>-0.51498494891210311</v>
          </cell>
          <cell r="BD89">
            <v>-0.45862780153353466</v>
          </cell>
          <cell r="BE89">
            <v>-0.44349325134244744</v>
          </cell>
          <cell r="BF89">
            <v>-0.43965166414770906</v>
          </cell>
          <cell r="BG89">
            <v>-0.43320701921756222</v>
          </cell>
          <cell r="BH89">
            <v>-0.43842611439448664</v>
          </cell>
          <cell r="BI89">
            <v>-0.41390548614883216</v>
          </cell>
          <cell r="BJ89">
            <v>-0.36411445936624132</v>
          </cell>
          <cell r="BK89">
            <v>-0.35927749887629723</v>
          </cell>
          <cell r="BL89">
            <v>-0.37850467289719625</v>
          </cell>
          <cell r="BM89">
            <v>-0.33491179262915194</v>
          </cell>
          <cell r="BN89">
            <v>-0.47256671834108444</v>
          </cell>
        </row>
        <row r="90">
          <cell r="A90" t="str">
            <v>Product</v>
          </cell>
          <cell r="C90">
            <v>36739</v>
          </cell>
          <cell r="D90">
            <v>36770</v>
          </cell>
          <cell r="E90">
            <v>36800</v>
          </cell>
          <cell r="F90">
            <v>36831</v>
          </cell>
          <cell r="G90">
            <v>36861</v>
          </cell>
          <cell r="H90" t="str">
            <v>Q4:00</v>
          </cell>
          <cell r="I90">
            <v>36892</v>
          </cell>
          <cell r="J90">
            <v>36923</v>
          </cell>
          <cell r="K90">
            <v>36951</v>
          </cell>
          <cell r="L90" t="str">
            <v>Q1:01</v>
          </cell>
          <cell r="M90">
            <v>36982</v>
          </cell>
          <cell r="N90">
            <v>37012</v>
          </cell>
          <cell r="O90">
            <v>37043</v>
          </cell>
          <cell r="P90" t="str">
            <v>Q2:01</v>
          </cell>
          <cell r="Q90">
            <v>37073</v>
          </cell>
          <cell r="R90">
            <v>37104</v>
          </cell>
          <cell r="S90">
            <v>37135</v>
          </cell>
          <cell r="T90" t="str">
            <v>Q3:01</v>
          </cell>
          <cell r="U90">
            <v>37165</v>
          </cell>
          <cell r="V90">
            <v>37196</v>
          </cell>
          <cell r="W90">
            <v>37226</v>
          </cell>
          <cell r="X90" t="str">
            <v>Q4:01</v>
          </cell>
          <cell r="Y90">
            <v>37257</v>
          </cell>
          <cell r="Z90">
            <v>37288</v>
          </cell>
          <cell r="AA90">
            <v>37316</v>
          </cell>
          <cell r="AB90" t="str">
            <v>Q1:02</v>
          </cell>
          <cell r="AC90">
            <v>37347</v>
          </cell>
          <cell r="AD90">
            <v>37377</v>
          </cell>
          <cell r="AE90">
            <v>37408</v>
          </cell>
          <cell r="AF90" t="str">
            <v>Q2:02</v>
          </cell>
          <cell r="AG90">
            <v>37438</v>
          </cell>
          <cell r="AH90">
            <v>37469</v>
          </cell>
          <cell r="AI90">
            <v>37500</v>
          </cell>
          <cell r="AJ90" t="str">
            <v>Q3:02</v>
          </cell>
          <cell r="AK90">
            <v>37530</v>
          </cell>
          <cell r="AL90">
            <v>37561</v>
          </cell>
          <cell r="AM90">
            <v>37591</v>
          </cell>
          <cell r="AN90" t="str">
            <v>Q4:02</v>
          </cell>
          <cell r="AO90">
            <v>37622</v>
          </cell>
          <cell r="AP90">
            <v>37653</v>
          </cell>
          <cell r="AQ90">
            <v>37681</v>
          </cell>
          <cell r="AR90" t="str">
            <v>Q1:03</v>
          </cell>
          <cell r="AS90">
            <v>37712</v>
          </cell>
          <cell r="AT90">
            <v>37742</v>
          </cell>
          <cell r="AU90">
            <v>37773</v>
          </cell>
          <cell r="AV90" t="str">
            <v>Q2:03</v>
          </cell>
          <cell r="AW90">
            <v>37803</v>
          </cell>
          <cell r="AX90">
            <v>37834</v>
          </cell>
          <cell r="AY90">
            <v>37865</v>
          </cell>
          <cell r="AZ90" t="str">
            <v>Q3:03</v>
          </cell>
          <cell r="BA90">
            <v>37895</v>
          </cell>
          <cell r="BB90">
            <v>37926</v>
          </cell>
          <cell r="BC90">
            <v>37956</v>
          </cell>
          <cell r="BD90" t="str">
            <v>Q4:03</v>
          </cell>
          <cell r="BE90">
            <v>37987</v>
          </cell>
          <cell r="BF90">
            <v>38018</v>
          </cell>
          <cell r="BG90">
            <v>38047</v>
          </cell>
          <cell r="BH90" t="str">
            <v>Q1:04</v>
          </cell>
          <cell r="BI90">
            <v>38078</v>
          </cell>
          <cell r="BJ90">
            <v>38108</v>
          </cell>
          <cell r="BK90">
            <v>38139</v>
          </cell>
          <cell r="BL90" t="str">
            <v>Q2:04</v>
          </cell>
          <cell r="BM90">
            <v>38169</v>
          </cell>
          <cell r="BN90">
            <v>38200</v>
          </cell>
          <cell r="BO90">
            <v>38231</v>
          </cell>
          <cell r="BP90" t="str">
            <v>Q3:04E</v>
          </cell>
        </row>
        <row r="91">
          <cell r="A91" t="str">
            <v>NAPROXEN</v>
          </cell>
        </row>
        <row r="92">
          <cell r="A92" t="str">
            <v>TRx</v>
          </cell>
          <cell r="AI92">
            <v>926</v>
          </cell>
          <cell r="AJ92">
            <v>926</v>
          </cell>
          <cell r="AK92">
            <v>15173</v>
          </cell>
          <cell r="AL92">
            <v>14369</v>
          </cell>
          <cell r="AM92">
            <v>15446</v>
          </cell>
          <cell r="AN92">
            <v>44988</v>
          </cell>
          <cell r="AO92">
            <v>15170</v>
          </cell>
          <cell r="AP92">
            <v>13477</v>
          </cell>
          <cell r="AQ92">
            <v>14719</v>
          </cell>
          <cell r="AR92">
            <v>43366</v>
          </cell>
          <cell r="AS92">
            <v>6446</v>
          </cell>
          <cell r="AT92">
            <v>6659</v>
          </cell>
          <cell r="AU92">
            <v>6754</v>
          </cell>
          <cell r="AV92">
            <v>19859</v>
          </cell>
          <cell r="AW92">
            <v>6891</v>
          </cell>
          <cell r="AX92">
            <v>6781</v>
          </cell>
          <cell r="AY92">
            <v>7009</v>
          </cell>
          <cell r="AZ92">
            <v>20681</v>
          </cell>
          <cell r="BA92">
            <v>7160</v>
          </cell>
          <cell r="BB92">
            <v>6467</v>
          </cell>
          <cell r="BC92">
            <v>6806</v>
          </cell>
          <cell r="BD92">
            <v>20433</v>
          </cell>
          <cell r="BE92">
            <v>6712</v>
          </cell>
          <cell r="BF92">
            <v>6422</v>
          </cell>
          <cell r="BG92">
            <v>6968</v>
          </cell>
          <cell r="BH92">
            <v>20102</v>
          </cell>
          <cell r="BI92">
            <v>6502</v>
          </cell>
          <cell r="BJ92">
            <v>6253</v>
          </cell>
          <cell r="BK92">
            <v>6423</v>
          </cell>
          <cell r="BL92">
            <v>19178</v>
          </cell>
          <cell r="BM92">
            <v>6177</v>
          </cell>
          <cell r="BN92">
            <v>6316</v>
          </cell>
          <cell r="BO92">
            <v>6123</v>
          </cell>
          <cell r="BP92">
            <v>18616</v>
          </cell>
        </row>
        <row r="93">
          <cell r="A93" t="str">
            <v xml:space="preserve">  % Change</v>
          </cell>
          <cell r="AV93">
            <v>0</v>
          </cell>
          <cell r="AZ93">
            <v>0</v>
          </cell>
          <cell r="BA93">
            <v>-0.5281091412377249</v>
          </cell>
          <cell r="BB93">
            <v>-0.54993388544783905</v>
          </cell>
          <cell r="BC93">
            <v>-0.55936812119642632</v>
          </cell>
          <cell r="BD93">
            <v>-0.54581221659109103</v>
          </cell>
          <cell r="BE93">
            <v>-0.55754779169413315</v>
          </cell>
          <cell r="BF93">
            <v>-0.52348445499740293</v>
          </cell>
          <cell r="BG93">
            <v>-0.52659827433928941</v>
          </cell>
          <cell r="BH93">
            <v>-0.53645713231563896</v>
          </cell>
          <cell r="BI93">
            <v>8.6875581756127307E-3</v>
          </cell>
          <cell r="BJ93">
            <v>-6.0970115632977939E-2</v>
          </cell>
          <cell r="BK93">
            <v>-4.9007995262066895E-2</v>
          </cell>
          <cell r="BL93">
            <v>-3.4291756886046576E-2</v>
          </cell>
          <cell r="BM93">
            <v>-0.10361340879407921</v>
          </cell>
          <cell r="BN93">
            <v>-6.8573956643562917E-2</v>
          </cell>
          <cell r="BO93">
            <v>-0.12640890283920669</v>
          </cell>
          <cell r="BP93">
            <v>-9.98501039601567E-2</v>
          </cell>
        </row>
        <row r="94">
          <cell r="A94" t="str">
            <v>NRx</v>
          </cell>
          <cell r="AI94">
            <v>747</v>
          </cell>
          <cell r="AJ94">
            <v>747</v>
          </cell>
          <cell r="AK94">
            <v>5990</v>
          </cell>
          <cell r="AL94">
            <v>5761</v>
          </cell>
          <cell r="AM94">
            <v>5918</v>
          </cell>
          <cell r="AN94">
            <v>17669</v>
          </cell>
          <cell r="AO94">
            <v>6291</v>
          </cell>
          <cell r="AP94">
            <v>5582</v>
          </cell>
          <cell r="AQ94">
            <v>6063</v>
          </cell>
          <cell r="AR94">
            <v>17936</v>
          </cell>
          <cell r="AS94">
            <v>3949</v>
          </cell>
          <cell r="AT94">
            <v>4000</v>
          </cell>
          <cell r="AU94">
            <v>4099</v>
          </cell>
          <cell r="AV94">
            <v>12048</v>
          </cell>
          <cell r="AW94">
            <v>4275</v>
          </cell>
          <cell r="AX94">
            <v>4086</v>
          </cell>
          <cell r="AY94">
            <v>4230</v>
          </cell>
          <cell r="AZ94">
            <v>12591</v>
          </cell>
          <cell r="BA94">
            <v>4337</v>
          </cell>
          <cell r="BB94">
            <v>3744</v>
          </cell>
          <cell r="BC94">
            <v>3842</v>
          </cell>
          <cell r="BD94">
            <v>11923</v>
          </cell>
          <cell r="BE94">
            <v>3961</v>
          </cell>
          <cell r="BF94">
            <v>3719</v>
          </cell>
          <cell r="BG94">
            <v>4122</v>
          </cell>
          <cell r="BH94">
            <v>11802</v>
          </cell>
          <cell r="BI94">
            <v>3611</v>
          </cell>
          <cell r="BJ94">
            <v>3621</v>
          </cell>
          <cell r="BK94">
            <v>3653</v>
          </cell>
          <cell r="BL94">
            <v>10885</v>
          </cell>
          <cell r="BM94">
            <v>3412</v>
          </cell>
          <cell r="BN94">
            <v>3608</v>
          </cell>
          <cell r="BO94">
            <v>3546</v>
          </cell>
          <cell r="BP94">
            <v>10566</v>
          </cell>
        </row>
        <row r="95">
          <cell r="A95" t="str">
            <v xml:space="preserve">  % Change</v>
          </cell>
          <cell r="AV95">
            <v>0</v>
          </cell>
          <cell r="AZ95">
            <v>0</v>
          </cell>
          <cell r="BA95">
            <v>-0.27595993322203671</v>
          </cell>
          <cell r="BB95">
            <v>-0.35011282763409135</v>
          </cell>
          <cell r="BC95">
            <v>-0.350794187225414</v>
          </cell>
          <cell r="BD95">
            <v>-0.32520233176750235</v>
          </cell>
          <cell r="BE95">
            <v>-0.37037037037037035</v>
          </cell>
          <cell r="BF95">
            <v>-0.33375134360444281</v>
          </cell>
          <cell r="BG95">
            <v>-0.32013854527461649</v>
          </cell>
          <cell r="BH95">
            <v>-0.34199375557537914</v>
          </cell>
          <cell r="BI95">
            <v>-8.5591288933907328E-2</v>
          </cell>
          <cell r="BJ95">
            <v>-9.4750000000000001E-2</v>
          </cell>
          <cell r="BK95">
            <v>-0.10880702610392778</v>
          </cell>
          <cell r="BL95">
            <v>-9.6530544488711789E-2</v>
          </cell>
          <cell r="BM95">
            <v>-0.20187134502923976</v>
          </cell>
          <cell r="BN95">
            <v>-0.11698482623592754</v>
          </cell>
          <cell r="BO95">
            <v>-0.16170212765957448</v>
          </cell>
          <cell r="BP95">
            <v>-0.16082916368834888</v>
          </cell>
        </row>
        <row r="96">
          <cell r="A96" t="str">
            <v>Sales (IMS)</v>
          </cell>
          <cell r="AI96">
            <v>0.37139499999999998</v>
          </cell>
          <cell r="AJ96">
            <v>0.37139499999999998</v>
          </cell>
          <cell r="AK96">
            <v>0.90578499999999995</v>
          </cell>
          <cell r="AL96">
            <v>0.86658800000000002</v>
          </cell>
          <cell r="AM96">
            <v>1.1188560000000001</v>
          </cell>
          <cell r="AN96">
            <v>2.891229</v>
          </cell>
          <cell r="AO96">
            <v>0.78252600000000005</v>
          </cell>
          <cell r="AP96">
            <v>0.76420500000000002</v>
          </cell>
          <cell r="AQ96">
            <v>0.93919299999999994</v>
          </cell>
          <cell r="AR96">
            <v>2.4859239999999998</v>
          </cell>
          <cell r="AS96">
            <v>0.35319299999999998</v>
          </cell>
          <cell r="AT96">
            <v>0.36438700000000002</v>
          </cell>
          <cell r="AU96">
            <v>0.49537700000000001</v>
          </cell>
          <cell r="AV96">
            <v>1.2129569999999998</v>
          </cell>
          <cell r="AW96">
            <v>0.35505900000000001</v>
          </cell>
          <cell r="AX96">
            <v>0.37504300000000002</v>
          </cell>
          <cell r="AY96">
            <v>0.45905099999999999</v>
          </cell>
          <cell r="AZ96">
            <v>1.1891530000000001</v>
          </cell>
          <cell r="BA96">
            <v>0.37248700000000001</v>
          </cell>
          <cell r="BB96">
            <v>0.37106600000000001</v>
          </cell>
          <cell r="BC96">
            <v>0.427562</v>
          </cell>
          <cell r="BD96">
            <v>1.1711149999999999</v>
          </cell>
          <cell r="BE96">
            <v>0.34247100000000003</v>
          </cell>
          <cell r="BF96">
            <v>0.35289399999999999</v>
          </cell>
          <cell r="BG96">
            <v>0.437637</v>
          </cell>
          <cell r="BH96">
            <v>1.1330020000000001</v>
          </cell>
          <cell r="BI96">
            <v>0.34396599999999999</v>
          </cell>
          <cell r="BJ96">
            <v>0.353437</v>
          </cell>
          <cell r="BK96">
            <v>0.40998099999999998</v>
          </cell>
          <cell r="BL96">
            <v>1.1073839999999999</v>
          </cell>
          <cell r="BM96">
            <v>0.32094099999999998</v>
          </cell>
          <cell r="BN96">
            <v>0.33062599999999998</v>
          </cell>
        </row>
        <row r="97">
          <cell r="A97" t="str">
            <v xml:space="preserve">  % Change</v>
          </cell>
          <cell r="AV97">
            <v>0</v>
          </cell>
          <cell r="AZ97">
            <v>0</v>
          </cell>
          <cell r="BA97">
            <v>-0.58876885795194223</v>
          </cell>
          <cell r="BB97">
            <v>-0.57180805642358301</v>
          </cell>
          <cell r="BC97">
            <v>-0.61785788340948256</v>
          </cell>
          <cell r="BD97">
            <v>-0.59494215089845881</v>
          </cell>
          <cell r="BE97">
            <v>-0.56235192185307581</v>
          </cell>
          <cell r="BF97">
            <v>-0.53822076537054853</v>
          </cell>
          <cell r="BG97">
            <v>-0.53402868207067122</v>
          </cell>
          <cell r="BH97">
            <v>-0.54423304976338771</v>
          </cell>
          <cell r="BI97">
            <v>-2.61245268167829E-2</v>
          </cell>
          <cell r="BJ97">
            <v>-3.0050468320768853E-2</v>
          </cell>
          <cell r="BK97">
            <v>-0.17238587984504739</v>
          </cell>
          <cell r="BL97">
            <v>-8.7037710322789619E-2</v>
          </cell>
          <cell r="BM97">
            <v>-9.6091072188002613E-2</v>
          </cell>
          <cell r="BN97">
            <v>-0.11843175315897125</v>
          </cell>
        </row>
        <row r="99">
          <cell r="A99" t="str">
            <v xml:space="preserve">FAMOTIDINE </v>
          </cell>
        </row>
        <row r="100">
          <cell r="A100" t="str">
            <v>TRx</v>
          </cell>
          <cell r="M100">
            <v>8291</v>
          </cell>
          <cell r="N100">
            <v>38912</v>
          </cell>
          <cell r="O100">
            <v>44977</v>
          </cell>
          <cell r="P100">
            <v>92180</v>
          </cell>
          <cell r="Q100">
            <v>46422</v>
          </cell>
          <cell r="R100">
            <v>50036</v>
          </cell>
          <cell r="S100">
            <v>46137</v>
          </cell>
          <cell r="T100">
            <v>142595</v>
          </cell>
          <cell r="U100">
            <v>51932</v>
          </cell>
          <cell r="V100">
            <v>50036</v>
          </cell>
          <cell r="W100">
            <v>49680</v>
          </cell>
          <cell r="X100">
            <v>151648</v>
          </cell>
          <cell r="Y100">
            <v>51598</v>
          </cell>
          <cell r="Z100">
            <v>48394</v>
          </cell>
          <cell r="AA100">
            <v>52521</v>
          </cell>
          <cell r="AB100">
            <v>152513</v>
          </cell>
          <cell r="AC100">
            <v>52665</v>
          </cell>
          <cell r="AD100">
            <v>52329</v>
          </cell>
          <cell r="AE100">
            <v>48525</v>
          </cell>
          <cell r="AF100">
            <v>153519</v>
          </cell>
          <cell r="AG100">
            <v>53170</v>
          </cell>
          <cell r="AH100">
            <v>53636</v>
          </cell>
          <cell r="AI100">
            <v>51081</v>
          </cell>
          <cell r="AJ100">
            <v>157887</v>
          </cell>
          <cell r="AK100">
            <v>54250</v>
          </cell>
          <cell r="AL100">
            <v>49303</v>
          </cell>
          <cell r="AM100">
            <v>53103</v>
          </cell>
          <cell r="AN100">
            <v>156656</v>
          </cell>
          <cell r="AO100">
            <v>52320</v>
          </cell>
          <cell r="AP100">
            <v>47569</v>
          </cell>
          <cell r="AQ100">
            <v>51563</v>
          </cell>
          <cell r="AR100">
            <v>151452</v>
          </cell>
          <cell r="AS100">
            <v>51034</v>
          </cell>
          <cell r="AT100">
            <v>49187</v>
          </cell>
          <cell r="AU100">
            <v>49092</v>
          </cell>
          <cell r="AV100">
            <v>149313</v>
          </cell>
          <cell r="AW100">
            <v>50955</v>
          </cell>
          <cell r="AX100">
            <v>49585</v>
          </cell>
          <cell r="AY100">
            <v>49584</v>
          </cell>
          <cell r="AZ100">
            <v>150124</v>
          </cell>
          <cell r="BA100">
            <v>49743</v>
          </cell>
          <cell r="BB100">
            <v>43278</v>
          </cell>
          <cell r="BC100">
            <v>45067</v>
          </cell>
          <cell r="BD100">
            <v>138088</v>
          </cell>
          <cell r="BE100">
            <v>40708</v>
          </cell>
          <cell r="BF100">
            <v>38077</v>
          </cell>
          <cell r="BG100">
            <v>40801</v>
          </cell>
          <cell r="BH100">
            <v>119586</v>
          </cell>
          <cell r="BI100">
            <v>37709</v>
          </cell>
          <cell r="BJ100">
            <v>36132</v>
          </cell>
          <cell r="BK100">
            <v>39181</v>
          </cell>
          <cell r="BL100">
            <v>113022</v>
          </cell>
          <cell r="BM100">
            <v>38144</v>
          </cell>
          <cell r="BN100">
            <v>37784</v>
          </cell>
          <cell r="BO100">
            <v>35898</v>
          </cell>
          <cell r="BP100">
            <v>111826</v>
          </cell>
        </row>
        <row r="101">
          <cell r="A101" t="str">
            <v xml:space="preserve">  % Change</v>
          </cell>
          <cell r="AC101">
            <v>5.3520685080207455</v>
          </cell>
          <cell r="AD101">
            <v>0.34480365953947367</v>
          </cell>
          <cell r="AE101">
            <v>7.8884763323476381E-2</v>
          </cell>
          <cell r="AF101">
            <v>0.66542633977001509</v>
          </cell>
          <cell r="AG101">
            <v>0.14536211279134892</v>
          </cell>
          <cell r="AH101">
            <v>7.1948197297945438E-2</v>
          </cell>
          <cell r="AI101">
            <v>0.10715911307627279</v>
          </cell>
          <cell r="AJ101">
            <v>0.10724078684385852</v>
          </cell>
          <cell r="AK101">
            <v>4.4635292305322372E-2</v>
          </cell>
          <cell r="AL101">
            <v>-1.4649452394276175E-2</v>
          </cell>
          <cell r="AM101">
            <v>6.8900966183574885E-2</v>
          </cell>
          <cell r="AN101">
            <v>3.3023844692973148E-2</v>
          </cell>
          <cell r="AO101">
            <v>1.3992790418233314E-2</v>
          </cell>
          <cell r="AP101">
            <v>-1.7047567880315695E-2</v>
          </cell>
          <cell r="AQ101">
            <v>-1.8240322918451679E-2</v>
          </cell>
          <cell r="AR101">
            <v>-6.9567840118547331E-3</v>
          </cell>
          <cell r="AS101">
            <v>-3.0969334472609855E-2</v>
          </cell>
          <cell r="AT101">
            <v>-6.004318828947619E-2</v>
          </cell>
          <cell r="AU101">
            <v>1.1684698608964483E-2</v>
          </cell>
          <cell r="AV101">
            <v>-2.7397260273972601E-2</v>
          </cell>
          <cell r="AW101">
            <v>-4.1658830167387584E-2</v>
          </cell>
          <cell r="AX101">
            <v>-7.5527630695801373E-2</v>
          </cell>
          <cell r="AY101">
            <v>-2.9306395724437606E-2</v>
          </cell>
          <cell r="AZ101">
            <v>-4.9168075902385922E-2</v>
          </cell>
          <cell r="BA101">
            <v>-8.307834101382483E-2</v>
          </cell>
          <cell r="BB101">
            <v>-0.12220351702736143</v>
          </cell>
          <cell r="BC101">
            <v>-0.15132855017607294</v>
          </cell>
          <cell r="BD101">
            <v>-0.11852721887447659</v>
          </cell>
          <cell r="BE101">
            <v>-0.22194189602446479</v>
          </cell>
          <cell r="BF101">
            <v>-0.19954171834598167</v>
          </cell>
          <cell r="BG101">
            <v>-0.20871555184919421</v>
          </cell>
          <cell r="BH101">
            <v>-0.21040329609381192</v>
          </cell>
          <cell r="BI101">
            <v>-0.26110044284202694</v>
          </cell>
          <cell r="BJ101">
            <v>-0.26541565860898209</v>
          </cell>
          <cell r="BK101">
            <v>-0.20188625437953234</v>
          </cell>
          <cell r="BL101">
            <v>-0.24305318358080008</v>
          </cell>
          <cell r="BM101">
            <v>-0.25141791777058187</v>
          </cell>
          <cell r="BN101">
            <v>-0.23799536150045375</v>
          </cell>
          <cell r="BO101">
            <v>-0.27601645692158761</v>
          </cell>
          <cell r="BP101">
            <v>-0.25510910980256318</v>
          </cell>
        </row>
        <row r="102">
          <cell r="A102" t="str">
            <v>NRx</v>
          </cell>
          <cell r="M102">
            <v>7190</v>
          </cell>
          <cell r="N102">
            <v>32695</v>
          </cell>
          <cell r="O102">
            <v>32683</v>
          </cell>
          <cell r="P102">
            <v>72568</v>
          </cell>
          <cell r="Q102">
            <v>26689</v>
          </cell>
          <cell r="R102">
            <v>23346</v>
          </cell>
          <cell r="S102">
            <v>19704</v>
          </cell>
          <cell r="T102">
            <v>69739</v>
          </cell>
          <cell r="U102">
            <v>22133</v>
          </cell>
          <cell r="V102">
            <v>20795</v>
          </cell>
          <cell r="W102">
            <v>19931</v>
          </cell>
          <cell r="X102">
            <v>62859</v>
          </cell>
          <cell r="Y102">
            <v>22730</v>
          </cell>
          <cell r="Z102">
            <v>21440</v>
          </cell>
          <cell r="AA102">
            <v>22390</v>
          </cell>
          <cell r="AB102">
            <v>66560</v>
          </cell>
          <cell r="AC102">
            <v>21387</v>
          </cell>
          <cell r="AD102">
            <v>20942</v>
          </cell>
          <cell r="AE102">
            <v>19252</v>
          </cell>
          <cell r="AF102">
            <v>61581</v>
          </cell>
          <cell r="AG102">
            <v>20894</v>
          </cell>
          <cell r="AH102">
            <v>20501</v>
          </cell>
          <cell r="AI102">
            <v>19672</v>
          </cell>
          <cell r="AJ102">
            <v>61067</v>
          </cell>
          <cell r="AK102">
            <v>21371</v>
          </cell>
          <cell r="AL102">
            <v>19495</v>
          </cell>
          <cell r="AM102">
            <v>20227</v>
          </cell>
          <cell r="AN102">
            <v>61093</v>
          </cell>
          <cell r="AO102">
            <v>22206</v>
          </cell>
          <cell r="AP102">
            <v>20252</v>
          </cell>
          <cell r="AQ102">
            <v>21440</v>
          </cell>
          <cell r="AR102">
            <v>63898</v>
          </cell>
          <cell r="AS102">
            <v>20825</v>
          </cell>
          <cell r="AT102">
            <v>19861</v>
          </cell>
          <cell r="AU102">
            <v>18940</v>
          </cell>
          <cell r="AV102">
            <v>59626</v>
          </cell>
          <cell r="AW102">
            <v>19826</v>
          </cell>
          <cell r="AX102">
            <v>19235</v>
          </cell>
          <cell r="AY102">
            <v>18987</v>
          </cell>
          <cell r="AZ102">
            <v>58048</v>
          </cell>
          <cell r="BA102">
            <v>18754</v>
          </cell>
          <cell r="BB102">
            <v>15960</v>
          </cell>
          <cell r="BC102">
            <v>16371</v>
          </cell>
          <cell r="BD102">
            <v>51085</v>
          </cell>
          <cell r="BE102">
            <v>15638</v>
          </cell>
          <cell r="BF102">
            <v>15255</v>
          </cell>
          <cell r="BG102">
            <v>16469</v>
          </cell>
          <cell r="BH102">
            <v>47362</v>
          </cell>
          <cell r="BI102">
            <v>14237</v>
          </cell>
          <cell r="BJ102">
            <v>13715</v>
          </cell>
          <cell r="BK102">
            <v>14394</v>
          </cell>
          <cell r="BL102">
            <v>42346</v>
          </cell>
          <cell r="BM102">
            <v>13872</v>
          </cell>
          <cell r="BN102">
            <v>13906</v>
          </cell>
          <cell r="BO102">
            <v>13437</v>
          </cell>
          <cell r="BP102">
            <v>41215</v>
          </cell>
        </row>
        <row r="103">
          <cell r="A103" t="str">
            <v xml:space="preserve">  % Change</v>
          </cell>
          <cell r="AC103">
            <v>1.9745479833101531</v>
          </cell>
          <cell r="AD103">
            <v>-0.35947392567670899</v>
          </cell>
          <cell r="AE103">
            <v>-0.41094758743077442</v>
          </cell>
          <cell r="AF103">
            <v>-0.15140282218057544</v>
          </cell>
          <cell r="AG103">
            <v>-0.21713065307804713</v>
          </cell>
          <cell r="AH103">
            <v>-0.12186241754476146</v>
          </cell>
          <cell r="AI103">
            <v>-1.6240357287859997E-3</v>
          </cell>
          <cell r="AJ103">
            <v>-0.12434935975566042</v>
          </cell>
          <cell r="AK103">
            <v>-3.4428229340803362E-2</v>
          </cell>
          <cell r="AL103">
            <v>-6.2515027650877575E-2</v>
          </cell>
          <cell r="AM103">
            <v>1.4851236766845632E-2</v>
          </cell>
          <cell r="AN103">
            <v>-2.809462447700406E-2</v>
          </cell>
          <cell r="AO103">
            <v>-2.3053233611966539E-2</v>
          </cell>
          <cell r="AP103">
            <v>-5.5410447761194082E-2</v>
          </cell>
          <cell r="AQ103">
            <v>-4.2429656096471646E-2</v>
          </cell>
          <cell r="AR103">
            <v>-3.9993990384615374E-2</v>
          </cell>
          <cell r="AS103">
            <v>-2.6277645298545815E-2</v>
          </cell>
          <cell r="AT103">
            <v>-5.1618756565752988E-2</v>
          </cell>
          <cell r="AU103">
            <v>-1.6206108456264245E-2</v>
          </cell>
          <cell r="AV103">
            <v>-3.1746805021029223E-2</v>
          </cell>
          <cell r="AW103">
            <v>-5.1115152675409226E-2</v>
          </cell>
          <cell r="AX103">
            <v>-6.1753085215355386E-2</v>
          </cell>
          <cell r="AY103">
            <v>-3.4821065473769841E-2</v>
          </cell>
          <cell r="AZ103">
            <v>-4.943750307039807E-2</v>
          </cell>
          <cell r="BA103">
            <v>-0.12245566421786536</v>
          </cell>
          <cell r="BB103">
            <v>-0.18132854578096946</v>
          </cell>
          <cell r="BC103">
            <v>-0.19063627824195384</v>
          </cell>
          <cell r="BD103">
            <v>-0.16381582177990928</v>
          </cell>
          <cell r="BE103">
            <v>-0.29577591641898582</v>
          </cell>
          <cell r="BF103">
            <v>-0.24674106261110018</v>
          </cell>
          <cell r="BG103">
            <v>-0.23185634328358207</v>
          </cell>
          <cell r="BH103">
            <v>-0.25878744248646279</v>
          </cell>
          <cell r="BI103">
            <v>-0.31635054021608644</v>
          </cell>
          <cell r="BJ103">
            <v>-0.30945068224157901</v>
          </cell>
          <cell r="BK103">
            <v>-0.24002111932418158</v>
          </cell>
          <cell r="BL103">
            <v>-0.28980646026901014</v>
          </cell>
          <cell r="BM103">
            <v>-0.3003127206698275</v>
          </cell>
          <cell r="BN103">
            <v>-0.27704704964907723</v>
          </cell>
          <cell r="BO103">
            <v>-0.29230526149470692</v>
          </cell>
          <cell r="BP103">
            <v>-0.28998415104740904</v>
          </cell>
        </row>
        <row r="104">
          <cell r="A104" t="str">
            <v>Sales (IMS)</v>
          </cell>
          <cell r="M104">
            <v>0.55895300000000003</v>
          </cell>
          <cell r="N104">
            <v>2.6147909999999999</v>
          </cell>
          <cell r="O104">
            <v>2.9907879999999998</v>
          </cell>
          <cell r="P104">
            <v>6.1645319999999995</v>
          </cell>
          <cell r="Q104">
            <v>2.3173110000000001</v>
          </cell>
          <cell r="R104">
            <v>3.0961059999999998</v>
          </cell>
          <cell r="S104">
            <v>3.8093810000000001</v>
          </cell>
          <cell r="T104">
            <v>9.2227980000000009</v>
          </cell>
          <cell r="U104">
            <v>3.324487</v>
          </cell>
          <cell r="V104">
            <v>4.2380050000000002</v>
          </cell>
          <cell r="W104">
            <v>4.0262029999999998</v>
          </cell>
          <cell r="X104">
            <v>11.588695</v>
          </cell>
          <cell r="Y104">
            <v>2.7700179999999999</v>
          </cell>
          <cell r="Z104">
            <v>2.6521149999999998</v>
          </cell>
          <cell r="AA104">
            <v>3.1245699999999998</v>
          </cell>
          <cell r="AB104">
            <v>8.5467029999999991</v>
          </cell>
          <cell r="AC104">
            <v>2.5459960000000001</v>
          </cell>
          <cell r="AD104">
            <v>2.4612080000000001</v>
          </cell>
          <cell r="AE104">
            <v>3.1711130000000001</v>
          </cell>
          <cell r="AF104">
            <v>8.1783169999999998</v>
          </cell>
          <cell r="AG104">
            <v>2.6698279999999999</v>
          </cell>
          <cell r="AH104">
            <v>2.6956709999999999</v>
          </cell>
          <cell r="AI104">
            <v>2.4963340000000001</v>
          </cell>
          <cell r="AJ104">
            <v>7.8618329999999998</v>
          </cell>
          <cell r="AK104">
            <v>2.0984379999999998</v>
          </cell>
          <cell r="AL104">
            <v>2.0816119999999998</v>
          </cell>
          <cell r="AM104">
            <v>2.6294420000000001</v>
          </cell>
          <cell r="AN104">
            <v>6.8094919999999997</v>
          </cell>
          <cell r="AO104">
            <v>0.95851500000000001</v>
          </cell>
          <cell r="AP104">
            <v>0.40419699999999997</v>
          </cell>
          <cell r="AQ104">
            <v>0.34034900000000001</v>
          </cell>
          <cell r="AR104">
            <v>1.7030609999999999</v>
          </cell>
          <cell r="AS104">
            <v>0.51247500000000001</v>
          </cell>
          <cell r="AT104">
            <v>0.16817799999999999</v>
          </cell>
          <cell r="AU104">
            <v>0.236175</v>
          </cell>
          <cell r="AV104">
            <v>0.91682799999999998</v>
          </cell>
          <cell r="AW104">
            <v>0.16784299999999999</v>
          </cell>
          <cell r="AX104">
            <v>0.22342400000000001</v>
          </cell>
          <cell r="AY104">
            <v>0.30956</v>
          </cell>
          <cell r="AZ104">
            <v>0.70082699999999998</v>
          </cell>
          <cell r="BA104">
            <v>0.30421700000000002</v>
          </cell>
          <cell r="BB104">
            <v>0.32725599999999999</v>
          </cell>
          <cell r="BC104">
            <v>0.20793600000000001</v>
          </cell>
          <cell r="BD104">
            <v>0.83940900000000007</v>
          </cell>
          <cell r="BE104">
            <v>0.120659</v>
          </cell>
          <cell r="BF104">
            <v>0.12748599999999999</v>
          </cell>
          <cell r="BG104">
            <v>0.17103199999999999</v>
          </cell>
          <cell r="BH104">
            <v>0.41917699999999997</v>
          </cell>
          <cell r="BI104">
            <v>0.143433</v>
          </cell>
          <cell r="BJ104">
            <v>0.15448799999999999</v>
          </cell>
          <cell r="BK104">
            <v>0.16897999999999999</v>
          </cell>
          <cell r="BL104">
            <v>0.46690100000000001</v>
          </cell>
          <cell r="BM104">
            <v>0.12875800000000001</v>
          </cell>
          <cell r="BN104">
            <v>0.12291100000000001</v>
          </cell>
        </row>
        <row r="105">
          <cell r="A105" t="str">
            <v xml:space="preserve">  % Change</v>
          </cell>
          <cell r="AC105">
            <v>3.5549375349984702</v>
          </cell>
          <cell r="AD105">
            <v>-5.8736243164367541E-2</v>
          </cell>
          <cell r="AE105">
            <v>6.0293474495684896E-2</v>
          </cell>
          <cell r="AF105">
            <v>0.32667281149647698</v>
          </cell>
          <cell r="AG105">
            <v>0.15212330153354459</v>
          </cell>
          <cell r="AH105">
            <v>-0.12933504214648983</v>
          </cell>
          <cell r="AI105">
            <v>-0.34468775898236481</v>
          </cell>
          <cell r="AJ105">
            <v>-0.14756530501914944</v>
          </cell>
          <cell r="AK105">
            <v>-0.36879344091283861</v>
          </cell>
          <cell r="AL105">
            <v>-0.50882266538147092</v>
          </cell>
          <cell r="AM105">
            <v>-0.34691767901419768</v>
          </cell>
          <cell r="AN105">
            <v>-0.41240217297978765</v>
          </cell>
          <cell r="AO105">
            <v>-0.65396795255482099</v>
          </cell>
          <cell r="AP105">
            <v>-0.84759446705742403</v>
          </cell>
          <cell r="AQ105">
            <v>-0.89107333169044056</v>
          </cell>
          <cell r="AR105">
            <v>-0.80073473946620122</v>
          </cell>
          <cell r="AS105">
            <v>-0.79871335225978357</v>
          </cell>
          <cell r="AT105">
            <v>-0.93166851399800421</v>
          </cell>
          <cell r="AU105">
            <v>-0.9255229946078869</v>
          </cell>
          <cell r="AV105">
            <v>-0.88789527234026266</v>
          </cell>
          <cell r="AW105">
            <v>-0.93713340335032824</v>
          </cell>
          <cell r="AX105">
            <v>-0.91711748206661714</v>
          </cell>
          <cell r="AY105">
            <v>-0.87599415783304635</v>
          </cell>
          <cell r="AZ105">
            <v>-0.91085704822272362</v>
          </cell>
          <cell r="BA105">
            <v>-0.8550269295542684</v>
          </cell>
          <cell r="BB105">
            <v>-0.84278722451638444</v>
          </cell>
          <cell r="BC105">
            <v>-0.9209201039612207</v>
          </cell>
          <cell r="BD105">
            <v>-0.87672957101645754</v>
          </cell>
          <cell r="BE105">
            <v>-0.87411881921514012</v>
          </cell>
          <cell r="BF105">
            <v>-0.68459439332800587</v>
          </cell>
          <cell r="BG105">
            <v>-0.49748052734105286</v>
          </cell>
          <cell r="BH105">
            <v>-0.75386847564473614</v>
          </cell>
          <cell r="BI105">
            <v>-0.72011707888189669</v>
          </cell>
          <cell r="BJ105">
            <v>-8.1401848041955605E-2</v>
          </cell>
          <cell r="BK105">
            <v>-0.28451360220175714</v>
          </cell>
          <cell r="BL105">
            <v>-0.49074308376271225</v>
          </cell>
          <cell r="BM105">
            <v>-0.23286642874591124</v>
          </cell>
          <cell r="BN105">
            <v>-0.4498755729017474</v>
          </cell>
        </row>
        <row r="107">
          <cell r="A107" t="str">
            <v>GLIPIZIDE ER</v>
          </cell>
          <cell r="BB107">
            <v>8480</v>
          </cell>
          <cell r="BC107">
            <v>277883</v>
          </cell>
          <cell r="BD107">
            <v>286363</v>
          </cell>
          <cell r="BE107">
            <v>360729</v>
          </cell>
          <cell r="BF107">
            <v>362355</v>
          </cell>
          <cell r="BG107">
            <v>414845</v>
          </cell>
          <cell r="BH107">
            <v>1137929</v>
          </cell>
          <cell r="BI107">
            <v>401499</v>
          </cell>
          <cell r="BJ107">
            <v>395912</v>
          </cell>
          <cell r="BK107">
            <v>419900</v>
          </cell>
          <cell r="BL107">
            <v>1217311</v>
          </cell>
          <cell r="BM107">
            <v>420073</v>
          </cell>
          <cell r="BN107">
            <v>392226</v>
          </cell>
          <cell r="BO107">
            <v>380770</v>
          </cell>
          <cell r="BP107">
            <v>1193069</v>
          </cell>
        </row>
        <row r="108">
          <cell r="A108" t="str">
            <v>TRx</v>
          </cell>
          <cell r="BB108">
            <v>3937</v>
          </cell>
          <cell r="BC108">
            <v>134337</v>
          </cell>
          <cell r="BD108">
            <v>138274</v>
          </cell>
          <cell r="BE108">
            <v>159208</v>
          </cell>
          <cell r="BF108">
            <v>151130</v>
          </cell>
          <cell r="BG108">
            <v>155711</v>
          </cell>
          <cell r="BH108">
            <v>466049</v>
          </cell>
          <cell r="BI108">
            <v>138010</v>
          </cell>
          <cell r="BJ108">
            <v>127425</v>
          </cell>
          <cell r="BK108">
            <v>134912</v>
          </cell>
          <cell r="BL108">
            <v>400347</v>
          </cell>
          <cell r="BM108">
            <v>132426</v>
          </cell>
          <cell r="BN108">
            <v>121304</v>
          </cell>
          <cell r="BO108">
            <v>117736</v>
          </cell>
          <cell r="BP108">
            <v>371466</v>
          </cell>
        </row>
        <row r="109">
          <cell r="A109" t="str">
            <v>NRx</v>
          </cell>
          <cell r="BB109">
            <v>2.6540279999999998</v>
          </cell>
          <cell r="BC109">
            <v>9.5404809999999998</v>
          </cell>
          <cell r="BD109">
            <v>12.194509</v>
          </cell>
          <cell r="BE109">
            <v>7.489115</v>
          </cell>
          <cell r="BF109">
            <v>7.8662650000000003</v>
          </cell>
          <cell r="BG109">
            <v>10.725069</v>
          </cell>
          <cell r="BH109">
            <v>26.080449000000002</v>
          </cell>
          <cell r="BI109">
            <v>8.345637</v>
          </cell>
          <cell r="BJ109">
            <v>8.2748849999999994</v>
          </cell>
          <cell r="BK109">
            <v>9.8514879999999998</v>
          </cell>
          <cell r="BL109">
            <v>26.472010000000001</v>
          </cell>
          <cell r="BM109">
            <v>7.7308000000000003</v>
          </cell>
          <cell r="BN109">
            <v>6.3458709999999998</v>
          </cell>
        </row>
        <row r="110">
          <cell r="A110" t="str">
            <v>Sales (IMS)</v>
          </cell>
        </row>
        <row r="112">
          <cell r="A112" t="str">
            <v>METFORMIN ER</v>
          </cell>
        </row>
        <row r="113">
          <cell r="A113" t="str">
            <v>TRx</v>
          </cell>
          <cell r="BK113">
            <v>310</v>
          </cell>
          <cell r="BL113">
            <v>310</v>
          </cell>
          <cell r="BM113">
            <v>20036</v>
          </cell>
          <cell r="BN113">
            <v>48026</v>
          </cell>
          <cell r="BO113">
            <v>56054</v>
          </cell>
          <cell r="BP113">
            <v>124116</v>
          </cell>
        </row>
        <row r="114">
          <cell r="A114" t="str">
            <v>NRx</v>
          </cell>
          <cell r="BK114">
            <v>140</v>
          </cell>
          <cell r="BL114">
            <v>140</v>
          </cell>
          <cell r="BM114">
            <v>16462</v>
          </cell>
          <cell r="BN114">
            <v>37653</v>
          </cell>
          <cell r="BO114">
            <v>31837</v>
          </cell>
          <cell r="BP114">
            <v>85952</v>
          </cell>
        </row>
        <row r="115">
          <cell r="A115" t="str">
            <v>Sales (IMS)</v>
          </cell>
          <cell r="BK115">
            <v>2.9429999999999999E-3</v>
          </cell>
          <cell r="BL115">
            <v>2.9429999999999999E-3</v>
          </cell>
          <cell r="BM115">
            <v>0.28406999999999999</v>
          </cell>
          <cell r="BN115">
            <v>0.29646400000000001</v>
          </cell>
        </row>
        <row r="117">
          <cell r="A117" t="str">
            <v>TRx GENERICS1</v>
          </cell>
          <cell r="U117">
            <v>910774</v>
          </cell>
          <cell r="V117">
            <v>844086</v>
          </cell>
          <cell r="W117">
            <v>860374</v>
          </cell>
          <cell r="X117">
            <v>2615234</v>
          </cell>
          <cell r="Y117">
            <v>898498</v>
          </cell>
          <cell r="Z117">
            <v>1170881</v>
          </cell>
          <cell r="AA117">
            <v>1344432</v>
          </cell>
          <cell r="AB117">
            <v>3413811</v>
          </cell>
          <cell r="AC117">
            <v>1375823</v>
          </cell>
          <cell r="AD117">
            <v>1431595</v>
          </cell>
          <cell r="AE117">
            <v>1400661</v>
          </cell>
          <cell r="AF117">
            <v>4208079</v>
          </cell>
          <cell r="AG117">
            <v>1506459</v>
          </cell>
          <cell r="AH117">
            <v>1502394</v>
          </cell>
          <cell r="AI117">
            <v>1444321</v>
          </cell>
          <cell r="AJ117">
            <v>4453174</v>
          </cell>
          <cell r="AK117">
            <v>1528867</v>
          </cell>
          <cell r="AL117">
            <v>1468073</v>
          </cell>
          <cell r="AM117">
            <v>1544082</v>
          </cell>
          <cell r="AN117">
            <v>4541022</v>
          </cell>
          <cell r="AO117">
            <v>1520131</v>
          </cell>
          <cell r="AP117">
            <v>1419487</v>
          </cell>
          <cell r="AQ117">
            <v>1538982</v>
          </cell>
          <cell r="AR117">
            <v>4478600</v>
          </cell>
          <cell r="AS117">
            <v>1515792</v>
          </cell>
          <cell r="AT117">
            <v>1584510</v>
          </cell>
          <cell r="AU117">
            <v>1551891</v>
          </cell>
          <cell r="AV117">
            <v>4652193</v>
          </cell>
          <cell r="AW117">
            <v>1601620</v>
          </cell>
          <cell r="AX117">
            <v>1576961</v>
          </cell>
          <cell r="AY117">
            <v>1631592</v>
          </cell>
          <cell r="AZ117">
            <v>4810173</v>
          </cell>
          <cell r="BA117">
            <v>1705362</v>
          </cell>
          <cell r="BB117">
            <v>1610423</v>
          </cell>
          <cell r="BC117">
            <v>2063163</v>
          </cell>
          <cell r="BD117">
            <v>5378948</v>
          </cell>
          <cell r="BE117">
            <v>2060560</v>
          </cell>
          <cell r="BF117">
            <v>1981306</v>
          </cell>
          <cell r="BG117">
            <v>2291040</v>
          </cell>
          <cell r="BH117">
            <v>6332906</v>
          </cell>
          <cell r="BI117">
            <v>2190719</v>
          </cell>
          <cell r="BJ117">
            <v>2169135</v>
          </cell>
          <cell r="BK117">
            <v>2274463</v>
          </cell>
          <cell r="BL117">
            <v>6634317</v>
          </cell>
          <cell r="BM117">
            <v>2300262</v>
          </cell>
          <cell r="BN117">
            <v>2377981</v>
          </cell>
          <cell r="BO117">
            <v>2331798</v>
          </cell>
          <cell r="BP117">
            <v>7010041</v>
          </cell>
        </row>
        <row r="118">
          <cell r="A118" t="str">
            <v xml:space="preserve">  % Change</v>
          </cell>
          <cell r="AK118">
            <v>0.67864585506393471</v>
          </cell>
          <cell r="AL118">
            <v>0.73924576405721698</v>
          </cell>
          <cell r="AM118">
            <v>0.79466371601187391</v>
          </cell>
          <cell r="AN118">
            <v>0.73637311231040892</v>
          </cell>
          <cell r="AO118">
            <v>0.69185796740782957</v>
          </cell>
          <cell r="AP118">
            <v>0.21232388261488566</v>
          </cell>
          <cell r="AQ118">
            <v>0.14470795101574496</v>
          </cell>
          <cell r="AR118">
            <v>0.31190625374398295</v>
          </cell>
          <cell r="AS118">
            <v>0.10173474349534795</v>
          </cell>
          <cell r="AT118">
            <v>0.10681442726469426</v>
          </cell>
          <cell r="AU118">
            <v>0.10797045109416192</v>
          </cell>
          <cell r="AV118">
            <v>0.10553841788616602</v>
          </cell>
          <cell r="AW118">
            <v>6.3168662406345E-2</v>
          </cell>
          <cell r="AX118">
            <v>4.9632120469064622E-2</v>
          </cell>
          <cell r="AY118">
            <v>0.12966023480929789</v>
          </cell>
          <cell r="AZ118">
            <v>8.0167314369481213E-2</v>
          </cell>
          <cell r="BA118">
            <v>0.11544169636730994</v>
          </cell>
          <cell r="BB118">
            <v>9.6963843078647916E-2</v>
          </cell>
          <cell r="BC118">
            <v>0.33617450368568513</v>
          </cell>
          <cell r="BD118">
            <v>0.18452366009237564</v>
          </cell>
          <cell r="BE118">
            <v>0.35551475497835394</v>
          </cell>
          <cell r="BF118">
            <v>0.39579016926537536</v>
          </cell>
          <cell r="BG118">
            <v>0.48867238213312447</v>
          </cell>
          <cell r="BH118">
            <v>0.41403697584066457</v>
          </cell>
          <cell r="BI118">
            <v>0.44526359817178074</v>
          </cell>
          <cell r="BJ118">
            <v>0.36896264460306338</v>
          </cell>
          <cell r="BK118">
            <v>0.46560744279076305</v>
          </cell>
          <cell r="BL118">
            <v>0.42606228933322421</v>
          </cell>
          <cell r="BM118">
            <v>0.43620958779236019</v>
          </cell>
          <cell r="BN118">
            <v>0.5079516868204097</v>
          </cell>
          <cell r="BO118">
            <v>0.42915508288836923</v>
          </cell>
          <cell r="BP118">
            <v>0.45733656564950986</v>
          </cell>
        </row>
        <row r="120">
          <cell r="A120" t="str">
            <v xml:space="preserve">TOTAL GENERICS REPORTED SALES </v>
          </cell>
          <cell r="D120" t="str">
            <v>Total-Brands</v>
          </cell>
          <cell r="H120">
            <v>42.2</v>
          </cell>
          <cell r="L120">
            <v>39.799999999999997</v>
          </cell>
          <cell r="P120">
            <v>59</v>
          </cell>
          <cell r="T120">
            <v>58.4</v>
          </cell>
          <cell r="X120">
            <v>42.3</v>
          </cell>
          <cell r="AB120">
            <v>49</v>
          </cell>
          <cell r="AF120">
            <v>48.4</v>
          </cell>
          <cell r="AJ120">
            <v>48.7</v>
          </cell>
          <cell r="AN120">
            <v>43.8</v>
          </cell>
          <cell r="AR120">
            <v>40.5</v>
          </cell>
          <cell r="AV120">
            <v>66.2</v>
          </cell>
          <cell r="AZ120">
            <v>62.3</v>
          </cell>
          <cell r="BD120">
            <v>86</v>
          </cell>
          <cell r="BH120">
            <v>79.900000000000006</v>
          </cell>
          <cell r="BL120">
            <v>95.135000000000005</v>
          </cell>
          <cell r="BP120">
            <v>90</v>
          </cell>
        </row>
        <row r="121">
          <cell r="A121" t="str">
            <v xml:space="preserve">  % Change</v>
          </cell>
          <cell r="X121">
            <v>2.3696682464453556E-3</v>
          </cell>
          <cell r="AB121">
            <v>0.23115577889447247</v>
          </cell>
          <cell r="AF121">
            <v>-0.1796610169491526</v>
          </cell>
          <cell r="AJ121">
            <v>-0.16609589041095885</v>
          </cell>
          <cell r="AN121">
            <v>3.5460992907801359E-2</v>
          </cell>
          <cell r="AR121">
            <v>-0.17346938775510201</v>
          </cell>
          <cell r="AV121">
            <v>0.36776859504132231</v>
          </cell>
          <cell r="AZ121">
            <v>0.27926078028747425</v>
          </cell>
          <cell r="BD121">
            <v>0.96347031963470342</v>
          </cell>
          <cell r="BH121">
            <v>0.97283950617283965</v>
          </cell>
          <cell r="BL121">
            <v>0.43708459214501505</v>
          </cell>
          <cell r="BP121">
            <v>0.44462279293739981</v>
          </cell>
        </row>
        <row r="123">
          <cell r="A123" t="str">
            <v>TOTAL GENERICS SALES (IMS)</v>
          </cell>
          <cell r="U123">
            <v>31.335263000000001</v>
          </cell>
          <cell r="V123">
            <v>38.642342999999997</v>
          </cell>
          <cell r="W123">
            <v>37.639610999999995</v>
          </cell>
          <cell r="X123">
            <v>107.617217</v>
          </cell>
          <cell r="Y123">
            <v>38.614480999999998</v>
          </cell>
          <cell r="Z123">
            <v>50.103149000000002</v>
          </cell>
          <cell r="AA123">
            <v>49.748539000000001</v>
          </cell>
          <cell r="AB123">
            <v>138.46616900000001</v>
          </cell>
          <cell r="AC123">
            <v>43.389716000000007</v>
          </cell>
          <cell r="AD123">
            <v>49.700865</v>
          </cell>
          <cell r="AE123">
            <v>59.521821000000003</v>
          </cell>
          <cell r="AF123">
            <v>152.612402</v>
          </cell>
          <cell r="AG123">
            <v>47.161709999999999</v>
          </cell>
          <cell r="AH123">
            <v>46.453076000000003</v>
          </cell>
          <cell r="AI123">
            <v>58.311275999999999</v>
          </cell>
          <cell r="AJ123">
            <v>151.926062</v>
          </cell>
          <cell r="AK123">
            <v>46.567737000000001</v>
          </cell>
          <cell r="AL123">
            <v>45.351174</v>
          </cell>
          <cell r="AM123">
            <v>58.525373000000002</v>
          </cell>
          <cell r="AN123">
            <v>150.44428399999998</v>
          </cell>
          <cell r="AO123">
            <v>42.179147</v>
          </cell>
          <cell r="AP123">
            <v>42.474558999999999</v>
          </cell>
          <cell r="AQ123">
            <v>50.109575</v>
          </cell>
          <cell r="AR123">
            <v>134.76328099999998</v>
          </cell>
          <cell r="AS123">
            <v>28.370410900000003</v>
          </cell>
          <cell r="AT123">
            <v>29.083834</v>
          </cell>
          <cell r="AU123">
            <v>42.086539999999999</v>
          </cell>
          <cell r="AV123">
            <v>99.540784900000006</v>
          </cell>
          <cell r="AW123">
            <v>35.745193</v>
          </cell>
          <cell r="AX123">
            <v>38.745519999999999</v>
          </cell>
          <cell r="AY123">
            <v>46.168098000000001</v>
          </cell>
          <cell r="AZ123">
            <v>120.65881099999999</v>
          </cell>
          <cell r="BA123">
            <v>36.883239000000003</v>
          </cell>
          <cell r="BB123">
            <v>39.251664000000005</v>
          </cell>
          <cell r="BC123">
            <v>51.904940000000003</v>
          </cell>
          <cell r="BD123">
            <v>128.03984299999999</v>
          </cell>
          <cell r="BE123">
            <v>41.882717999999997</v>
          </cell>
          <cell r="BF123">
            <v>45.410734999999995</v>
          </cell>
          <cell r="BG123">
            <v>54.324148999999998</v>
          </cell>
          <cell r="BH123">
            <v>141.61760200000001</v>
          </cell>
          <cell r="BI123">
            <v>43.528168000000001</v>
          </cell>
          <cell r="BJ123">
            <v>45.869515999999997</v>
          </cell>
          <cell r="BK123">
            <v>53.174469000000002</v>
          </cell>
          <cell r="BL123">
            <v>142.57215300000001</v>
          </cell>
          <cell r="BM123">
            <v>45.47871</v>
          </cell>
          <cell r="BN123">
            <v>44.366606000000004</v>
          </cell>
        </row>
        <row r="124">
          <cell r="A124" t="str">
            <v xml:space="preserve">  % Change</v>
          </cell>
          <cell r="AK124">
            <v>0.48611284992246584</v>
          </cell>
          <cell r="AL124">
            <v>0.17361346334511873</v>
          </cell>
          <cell r="AM124">
            <v>0.55488782814466409</v>
          </cell>
          <cell r="AN124">
            <v>0.39795739189204249</v>
          </cell>
          <cell r="AO124">
            <v>9.2314227918795622E-2</v>
          </cell>
          <cell r="AP124">
            <v>-0.15225769541950351</v>
          </cell>
          <cell r="AQ124">
            <v>7.2572181466474817E-3</v>
          </cell>
          <cell r="AR124">
            <v>-2.6742185667027685E-2</v>
          </cell>
          <cell r="AS124">
            <v>-0.34614896073530421</v>
          </cell>
          <cell r="AT124">
            <v>-0.41482237783990283</v>
          </cell>
          <cell r="AU124">
            <v>-0.29292250652075991</v>
          </cell>
          <cell r="AV124">
            <v>-0.34775428736125913</v>
          </cell>
          <cell r="AW124">
            <v>-0.24207173573646923</v>
          </cell>
          <cell r="AX124">
            <v>-0.16592132671687887</v>
          </cell>
          <cell r="AY124">
            <v>-0.20824750945254566</v>
          </cell>
          <cell r="AZ124">
            <v>-0.20580570962209244</v>
          </cell>
          <cell r="BA124">
            <v>-0.2079658283588055</v>
          </cell>
          <cell r="BB124">
            <v>-0.13449508495634521</v>
          </cell>
          <cell r="BC124">
            <v>-0.11312073141336487</v>
          </cell>
          <cell r="BD124">
            <v>-0.14892184936717168</v>
          </cell>
          <cell r="BE124">
            <v>-7.0278566799846232E-3</v>
          </cell>
          <cell r="BF124">
            <v>6.9127874876817375E-2</v>
          </cell>
          <cell r="BG124">
            <v>8.4107159160699219E-2</v>
          </cell>
          <cell r="BH124">
            <v>5.0861933229423339E-2</v>
          </cell>
          <cell r="BI124">
            <v>0.53428049221521845</v>
          </cell>
          <cell r="BJ124">
            <v>0.5771481847957185</v>
          </cell>
          <cell r="BK124">
            <v>0.26345546580925872</v>
          </cell>
          <cell r="BL124">
            <v>0.43229886265443751</v>
          </cell>
          <cell r="BM124">
            <v>0.27230282404685857</v>
          </cell>
          <cell r="BN124">
            <v>0.14507705665067872</v>
          </cell>
        </row>
        <row r="126">
          <cell r="A126" t="str">
            <v>REPORTED SALES/TRx GENERICS</v>
          </cell>
          <cell r="X126">
            <v>16.174460870423069</v>
          </cell>
          <cell r="AB126">
            <v>14.353460106608129</v>
          </cell>
          <cell r="AF126">
            <v>11.501685210757687</v>
          </cell>
          <cell r="AJ126">
            <v>10.936020016285013</v>
          </cell>
          <cell r="AN126">
            <v>9.6454058139335146</v>
          </cell>
          <cell r="AR126">
            <v>9.0430045103380525</v>
          </cell>
          <cell r="AV126">
            <v>14.229848159781849</v>
          </cell>
          <cell r="AZ126">
            <v>12.951717121192939</v>
          </cell>
          <cell r="BD126">
            <v>15.988256439735055</v>
          </cell>
          <cell r="BH126">
            <v>12.61664076491898</v>
          </cell>
          <cell r="BL126">
            <v>14.339833324214082</v>
          </cell>
          <cell r="BP126">
            <v>12.838726620857139</v>
          </cell>
        </row>
        <row r="127">
          <cell r="A127" t="str">
            <v>IMS SALES/REPORTED SALES</v>
          </cell>
          <cell r="X127">
            <v>2.5441422458628842</v>
          </cell>
          <cell r="AB127">
            <v>2.8258401836734697</v>
          </cell>
          <cell r="AF127">
            <v>3.1531488016528928</v>
          </cell>
          <cell r="AJ127">
            <v>3.1196316632443528</v>
          </cell>
          <cell r="AN127">
            <v>3.4348010045662098</v>
          </cell>
          <cell r="AR127">
            <v>3.3274884197530858</v>
          </cell>
          <cell r="AV127">
            <v>1.5036372341389728</v>
          </cell>
          <cell r="AZ127">
            <v>1.9367385393258425</v>
          </cell>
          <cell r="BD127">
            <v>1.4888353837209301</v>
          </cell>
          <cell r="BH127">
            <v>1.7724355694618272</v>
          </cell>
          <cell r="BL127">
            <v>1.4986298733378884</v>
          </cell>
        </row>
        <row r="128">
          <cell r="A128" t="str">
            <v>Product</v>
          </cell>
          <cell r="C128">
            <v>36739</v>
          </cell>
          <cell r="D128">
            <v>36770</v>
          </cell>
          <cell r="E128">
            <v>36800</v>
          </cell>
          <cell r="F128">
            <v>36831</v>
          </cell>
          <cell r="G128">
            <v>36861</v>
          </cell>
          <cell r="H128" t="str">
            <v>Q4:00</v>
          </cell>
          <cell r="I128">
            <v>36892</v>
          </cell>
          <cell r="J128">
            <v>36923</v>
          </cell>
          <cell r="K128">
            <v>36951</v>
          </cell>
          <cell r="L128" t="str">
            <v>Q1:01</v>
          </cell>
          <cell r="M128">
            <v>36982</v>
          </cell>
          <cell r="N128">
            <v>37012</v>
          </cell>
          <cell r="O128">
            <v>37043</v>
          </cell>
          <cell r="P128" t="str">
            <v>Q2:01</v>
          </cell>
          <cell r="Q128">
            <v>37073</v>
          </cell>
          <cell r="R128">
            <v>37104</v>
          </cell>
          <cell r="S128">
            <v>37135</v>
          </cell>
          <cell r="T128" t="str">
            <v>Q3:01</v>
          </cell>
          <cell r="U128">
            <v>37165</v>
          </cell>
          <cell r="V128">
            <v>37196</v>
          </cell>
          <cell r="W128">
            <v>37226</v>
          </cell>
          <cell r="X128" t="str">
            <v>Q4:01</v>
          </cell>
          <cell r="Y128">
            <v>37257</v>
          </cell>
          <cell r="Z128">
            <v>37288</v>
          </cell>
          <cell r="AA128">
            <v>37316</v>
          </cell>
          <cell r="AB128" t="str">
            <v>Q1:02</v>
          </cell>
          <cell r="AC128">
            <v>37347</v>
          </cell>
          <cell r="AD128">
            <v>37377</v>
          </cell>
          <cell r="AE128">
            <v>37408</v>
          </cell>
          <cell r="AF128" t="str">
            <v>Q2:02</v>
          </cell>
          <cell r="AG128">
            <v>37438</v>
          </cell>
          <cell r="AH128">
            <v>37469</v>
          </cell>
          <cell r="AI128">
            <v>37500</v>
          </cell>
          <cell r="AJ128" t="str">
            <v>Q3:02</v>
          </cell>
          <cell r="AK128">
            <v>37530</v>
          </cell>
          <cell r="AL128">
            <v>37561</v>
          </cell>
          <cell r="AM128">
            <v>37591</v>
          </cell>
          <cell r="AN128" t="str">
            <v>Q4:02</v>
          </cell>
          <cell r="AO128">
            <v>37622</v>
          </cell>
          <cell r="AP128">
            <v>37653</v>
          </cell>
          <cell r="AQ128">
            <v>37681</v>
          </cell>
          <cell r="AR128" t="str">
            <v>Q1:03</v>
          </cell>
          <cell r="AS128">
            <v>37712</v>
          </cell>
          <cell r="AT128">
            <v>37742</v>
          </cell>
          <cell r="AU128">
            <v>37773</v>
          </cell>
          <cell r="AV128" t="str">
            <v>Q2:03</v>
          </cell>
          <cell r="AW128">
            <v>37803</v>
          </cell>
          <cell r="AX128">
            <v>37834</v>
          </cell>
          <cell r="AY128">
            <v>37865</v>
          </cell>
          <cell r="AZ128" t="str">
            <v>Q3:03</v>
          </cell>
          <cell r="BA128">
            <v>37895</v>
          </cell>
          <cell r="BB128">
            <v>37926</v>
          </cell>
          <cell r="BC128">
            <v>37956</v>
          </cell>
          <cell r="BD128" t="str">
            <v>Q4:03</v>
          </cell>
          <cell r="BE128">
            <v>37987</v>
          </cell>
          <cell r="BF128">
            <v>38018</v>
          </cell>
          <cell r="BG128">
            <v>38047</v>
          </cell>
          <cell r="BH128" t="str">
            <v>Q1:04</v>
          </cell>
          <cell r="BI128">
            <v>38078</v>
          </cell>
          <cell r="BJ128">
            <v>38108</v>
          </cell>
          <cell r="BK128">
            <v>38139</v>
          </cell>
          <cell r="BL128" t="str">
            <v>Q2:04</v>
          </cell>
          <cell r="BM128">
            <v>38169</v>
          </cell>
          <cell r="BN128">
            <v>38200</v>
          </cell>
          <cell r="BO128">
            <v>38231</v>
          </cell>
          <cell r="BP128" t="str">
            <v>Q3:04E</v>
          </cell>
        </row>
        <row r="129">
          <cell r="A129" t="str">
            <v xml:space="preserve">ENTEX LA </v>
          </cell>
        </row>
        <row r="130">
          <cell r="A130" t="str">
            <v>TRx</v>
          </cell>
          <cell r="D130">
            <v>27369</v>
          </cell>
          <cell r="E130">
            <v>30255</v>
          </cell>
          <cell r="F130">
            <v>14705</v>
          </cell>
          <cell r="G130">
            <v>6210</v>
          </cell>
          <cell r="H130">
            <v>51170</v>
          </cell>
          <cell r="I130">
            <v>4533</v>
          </cell>
          <cell r="J130">
            <v>3108</v>
          </cell>
          <cell r="K130">
            <v>2804</v>
          </cell>
          <cell r="L130">
            <v>10445</v>
          </cell>
          <cell r="M130">
            <v>2083</v>
          </cell>
          <cell r="N130">
            <v>1898</v>
          </cell>
          <cell r="O130">
            <v>1495</v>
          </cell>
          <cell r="P130">
            <v>5476</v>
          </cell>
          <cell r="Q130">
            <v>1327</v>
          </cell>
          <cell r="R130">
            <v>1182</v>
          </cell>
          <cell r="S130">
            <v>1239</v>
          </cell>
          <cell r="T130">
            <v>3748</v>
          </cell>
          <cell r="U130">
            <v>9256</v>
          </cell>
          <cell r="V130">
            <v>34914</v>
          </cell>
          <cell r="W130">
            <v>65976</v>
          </cell>
          <cell r="X130">
            <v>110146</v>
          </cell>
          <cell r="Y130">
            <v>94606</v>
          </cell>
          <cell r="Z130">
            <v>99948</v>
          </cell>
          <cell r="AA130">
            <v>69202</v>
          </cell>
          <cell r="AB130">
            <v>263756</v>
          </cell>
          <cell r="AC130">
            <v>40808</v>
          </cell>
          <cell r="AD130">
            <v>28442</v>
          </cell>
          <cell r="AE130">
            <v>17919</v>
          </cell>
          <cell r="AF130">
            <v>87169</v>
          </cell>
          <cell r="AG130">
            <v>14436</v>
          </cell>
          <cell r="AH130">
            <v>13759</v>
          </cell>
          <cell r="AI130">
            <v>15918</v>
          </cell>
          <cell r="AJ130">
            <v>44113</v>
          </cell>
          <cell r="AK130">
            <v>16947</v>
          </cell>
          <cell r="AL130">
            <v>17222</v>
          </cell>
          <cell r="AM130">
            <v>17651</v>
          </cell>
          <cell r="AN130">
            <v>51820</v>
          </cell>
          <cell r="AO130">
            <v>15411</v>
          </cell>
          <cell r="AP130">
            <v>13067</v>
          </cell>
          <cell r="AQ130">
            <v>11512</v>
          </cell>
          <cell r="AR130">
            <v>39990</v>
          </cell>
          <cell r="AS130">
            <v>9027</v>
          </cell>
          <cell r="AT130">
            <v>7669</v>
          </cell>
          <cell r="AU130">
            <v>6555</v>
          </cell>
          <cell r="AV130">
            <v>23251</v>
          </cell>
          <cell r="AW130">
            <v>5491</v>
          </cell>
          <cell r="AX130">
            <v>5283</v>
          </cell>
          <cell r="AY130">
            <v>6112</v>
          </cell>
          <cell r="AZ130">
            <v>16886</v>
          </cell>
        </row>
        <row r="131">
          <cell r="A131" t="str">
            <v xml:space="preserve">  % Change</v>
          </cell>
          <cell r="S131">
            <v>-0.95472980379261208</v>
          </cell>
          <cell r="U131">
            <v>-0.69406709634771113</v>
          </cell>
          <cell r="V131">
            <v>1.3742944576674598</v>
          </cell>
          <cell r="W131">
            <v>9.6241545893719813</v>
          </cell>
          <cell r="X131">
            <v>1.1525503224545632</v>
          </cell>
          <cell r="Y131">
            <v>19.87050518420472</v>
          </cell>
          <cell r="Z131">
            <v>31.158301158301157</v>
          </cell>
          <cell r="AA131">
            <v>23.679743223965762</v>
          </cell>
          <cell r="AB131">
            <v>24.251890856869316</v>
          </cell>
          <cell r="AC131">
            <v>18.590974555928948</v>
          </cell>
          <cell r="AD131">
            <v>13.985247629083245</v>
          </cell>
          <cell r="AE131">
            <v>10.985953177257525</v>
          </cell>
          <cell r="AF131">
            <v>14.918371073776479</v>
          </cell>
          <cell r="AG131">
            <v>9.8786737000753586</v>
          </cell>
          <cell r="AH131">
            <v>10.640439932318104</v>
          </cell>
          <cell r="AI131">
            <v>11.847457627118644</v>
          </cell>
          <cell r="AJ131">
            <v>10.76974386339381</v>
          </cell>
          <cell r="AK131">
            <v>0.83092048401037166</v>
          </cell>
          <cell r="AL131">
            <v>-0.50673082431116456</v>
          </cell>
          <cell r="AM131">
            <v>-0.7324633199951498</v>
          </cell>
          <cell r="AN131">
            <v>-0.52953352822617261</v>
          </cell>
          <cell r="AO131">
            <v>-0.83710335496691546</v>
          </cell>
          <cell r="AP131">
            <v>-0.86926201624844923</v>
          </cell>
          <cell r="AQ131">
            <v>-0.83364642640386122</v>
          </cell>
          <cell r="AR131">
            <v>-0.84838259603572996</v>
          </cell>
          <cell r="AS131">
            <v>-0.77879337384826508</v>
          </cell>
          <cell r="AT131">
            <v>-0.73036354686730887</v>
          </cell>
          <cell r="AU131">
            <v>-0.63418717562363969</v>
          </cell>
          <cell r="AV131">
            <v>-0.73326526632174283</v>
          </cell>
          <cell r="AW131">
            <v>-0.61963147686339703</v>
          </cell>
          <cell r="AX131">
            <v>-0.61603314194345526</v>
          </cell>
          <cell r="AY131">
            <v>-0.6160321648448297</v>
          </cell>
          <cell r="AZ131">
            <v>-0.61721034615646175</v>
          </cell>
        </row>
        <row r="132">
          <cell r="A132" t="str">
            <v>NRx                               SHOW OR NO?</v>
          </cell>
          <cell r="D132">
            <v>17389</v>
          </cell>
          <cell r="E132">
            <v>19589</v>
          </cell>
          <cell r="F132">
            <v>7989</v>
          </cell>
          <cell r="G132">
            <v>2091</v>
          </cell>
          <cell r="H132">
            <v>29669</v>
          </cell>
          <cell r="I132">
            <v>1753</v>
          </cell>
          <cell r="J132">
            <v>1147</v>
          </cell>
          <cell r="K132">
            <v>995</v>
          </cell>
          <cell r="L132">
            <v>3895</v>
          </cell>
          <cell r="M132">
            <v>794</v>
          </cell>
          <cell r="N132">
            <v>730</v>
          </cell>
          <cell r="O132">
            <v>519</v>
          </cell>
          <cell r="P132">
            <v>2043</v>
          </cell>
          <cell r="Q132">
            <v>499</v>
          </cell>
          <cell r="R132">
            <v>464</v>
          </cell>
          <cell r="S132">
            <v>573</v>
          </cell>
          <cell r="T132">
            <v>1536</v>
          </cell>
          <cell r="U132">
            <v>8449</v>
          </cell>
          <cell r="V132">
            <v>33416</v>
          </cell>
          <cell r="W132">
            <v>62371</v>
          </cell>
          <cell r="X132">
            <v>104236</v>
          </cell>
          <cell r="Y132">
            <v>89003</v>
          </cell>
          <cell r="Z132">
            <v>93454</v>
          </cell>
          <cell r="AA132">
            <v>62458</v>
          </cell>
          <cell r="AB132">
            <v>244915</v>
          </cell>
          <cell r="AC132">
            <v>34820</v>
          </cell>
          <cell r="AD132">
            <v>22944</v>
          </cell>
          <cell r="AE132">
            <v>13479</v>
          </cell>
          <cell r="AF132">
            <v>71243</v>
          </cell>
          <cell r="AG132">
            <v>10424</v>
          </cell>
          <cell r="AH132">
            <v>9822</v>
          </cell>
          <cell r="AI132">
            <v>11906</v>
          </cell>
          <cell r="AJ132">
            <v>32152</v>
          </cell>
          <cell r="AK132">
            <v>12720</v>
          </cell>
          <cell r="AL132">
            <v>13095</v>
          </cell>
          <cell r="AM132">
            <v>13239</v>
          </cell>
          <cell r="AN132">
            <v>39054</v>
          </cell>
          <cell r="AO132">
            <v>12021</v>
          </cell>
          <cell r="AP132">
            <v>10111</v>
          </cell>
          <cell r="AQ132">
            <v>8424</v>
          </cell>
          <cell r="AR132">
            <v>30556</v>
          </cell>
          <cell r="AS132">
            <v>6432</v>
          </cell>
          <cell r="AT132">
            <v>5140</v>
          </cell>
          <cell r="AU132">
            <v>4269</v>
          </cell>
          <cell r="AV132">
            <v>15841</v>
          </cell>
          <cell r="AW132">
            <v>3346</v>
          </cell>
          <cell r="AX132">
            <v>3362</v>
          </cell>
          <cell r="AY132">
            <v>3928</v>
          </cell>
          <cell r="AZ132">
            <v>10636</v>
          </cell>
        </row>
        <row r="133">
          <cell r="A133" t="str">
            <v xml:space="preserve">  % Change</v>
          </cell>
          <cell r="S133">
            <v>-0.9670481338777388</v>
          </cell>
          <cell r="U133">
            <v>-0.56868650773393226</v>
          </cell>
          <cell r="V133">
            <v>3.1827512830141442</v>
          </cell>
          <cell r="W133">
            <v>28.82831181252989</v>
          </cell>
          <cell r="X133">
            <v>2.5132967070005732</v>
          </cell>
          <cell r="Y133">
            <v>49.771819737592701</v>
          </cell>
          <cell r="Z133">
            <v>80.476896251089798</v>
          </cell>
          <cell r="AA133">
            <v>61.771859296482411</v>
          </cell>
          <cell r="AB133">
            <v>61.8793324775353</v>
          </cell>
          <cell r="AC133">
            <v>42.85390428211587</v>
          </cell>
          <cell r="AD133">
            <v>30.43013698630137</v>
          </cell>
          <cell r="AE133">
            <v>24.971098265895954</v>
          </cell>
          <cell r="AF133">
            <v>33.871757219774842</v>
          </cell>
          <cell r="AG133">
            <v>19.889779559118235</v>
          </cell>
          <cell r="AH133">
            <v>20.168103448275861</v>
          </cell>
          <cell r="AI133">
            <v>19.778359511343805</v>
          </cell>
          <cell r="AJ133">
            <v>19.932291666666668</v>
          </cell>
          <cell r="AK133">
            <v>0.50550360989466214</v>
          </cell>
          <cell r="AL133">
            <v>-0.60812185779267414</v>
          </cell>
          <cell r="AM133">
            <v>-0.7877378910070385</v>
          </cell>
          <cell r="AN133">
            <v>-0.6253309796999118</v>
          </cell>
          <cell r="AO133">
            <v>-0.86493713695043983</v>
          </cell>
          <cell r="AP133">
            <v>-0.89180773428638693</v>
          </cell>
          <cell r="AQ133">
            <v>-0.86512536424477249</v>
          </cell>
          <cell r="AR133">
            <v>-0.87523834799828515</v>
          </cell>
          <cell r="AS133">
            <v>-0.8152785755313039</v>
          </cell>
          <cell r="AT133">
            <v>-0.77597629009762903</v>
          </cell>
          <cell r="AU133">
            <v>-0.68328511017137772</v>
          </cell>
          <cell r="AV133">
            <v>-0.7776483303622812</v>
          </cell>
          <cell r="AW133">
            <v>-0.6790099769762088</v>
          </cell>
          <cell r="AX133">
            <v>-0.6577071879454286</v>
          </cell>
          <cell r="AY133">
            <v>-0.67008231143961028</v>
          </cell>
          <cell r="AZ133">
            <v>-0.66919631749191333</v>
          </cell>
        </row>
        <row r="134">
          <cell r="A134" t="str">
            <v>Sales (IMS)</v>
          </cell>
          <cell r="C134">
            <v>1.1313139999999999</v>
          </cell>
          <cell r="D134">
            <v>1.598409</v>
          </cell>
          <cell r="E134">
            <v>1.3784240000000001</v>
          </cell>
          <cell r="F134">
            <v>0.85184099999999996</v>
          </cell>
          <cell r="G134">
            <v>0.32976899999999998</v>
          </cell>
          <cell r="H134">
            <v>2.5600339999999999</v>
          </cell>
          <cell r="I134">
            <v>0.20269499999999999</v>
          </cell>
          <cell r="J134">
            <v>0.13463800000000001</v>
          </cell>
          <cell r="K134">
            <v>0.107474</v>
          </cell>
          <cell r="L134">
            <v>0.44480699999999995</v>
          </cell>
          <cell r="M134">
            <v>9.4177999999999998E-2</v>
          </cell>
          <cell r="N134">
            <v>7.1206000000000005E-2</v>
          </cell>
          <cell r="O134">
            <v>6.0325999999999998E-2</v>
          </cell>
          <cell r="P134">
            <v>0.22571000000000002</v>
          </cell>
          <cell r="Q134">
            <v>6.8546999999999997E-2</v>
          </cell>
          <cell r="R134">
            <v>5.2156000000000001E-2</v>
          </cell>
          <cell r="S134">
            <v>0.17052700000000001</v>
          </cell>
          <cell r="T134">
            <v>0.29122999999999999</v>
          </cell>
          <cell r="U134">
            <v>1.488964</v>
          </cell>
          <cell r="V134">
            <v>1.568821</v>
          </cell>
          <cell r="W134">
            <v>2.2770920000000001</v>
          </cell>
          <cell r="X134">
            <v>5.3348770000000005</v>
          </cell>
          <cell r="Y134">
            <v>2.1087280000000002</v>
          </cell>
          <cell r="Z134">
            <v>2.2634319999999999</v>
          </cell>
          <cell r="AA134">
            <v>1.5128250000000001</v>
          </cell>
          <cell r="AB134">
            <v>5.8849850000000004</v>
          </cell>
          <cell r="AC134">
            <v>0.75473400000000002</v>
          </cell>
          <cell r="AD134">
            <v>0.64657200000000004</v>
          </cell>
          <cell r="AE134">
            <v>0.57771600000000001</v>
          </cell>
          <cell r="AF134">
            <v>1.9790220000000001</v>
          </cell>
          <cell r="AG134">
            <v>0.36743399999999998</v>
          </cell>
          <cell r="AH134">
            <v>0.37425199999999997</v>
          </cell>
          <cell r="AI134">
            <v>0.52198699999999998</v>
          </cell>
          <cell r="AJ134">
            <v>1.263673</v>
          </cell>
          <cell r="AK134">
            <v>0.41523199999999999</v>
          </cell>
          <cell r="AL134">
            <v>0.46522000000000002</v>
          </cell>
          <cell r="AM134">
            <v>0.54666300000000001</v>
          </cell>
          <cell r="AN134">
            <v>1.4271150000000001</v>
          </cell>
          <cell r="AO134">
            <v>0.42177599999999998</v>
          </cell>
          <cell r="AP134">
            <v>0.405721</v>
          </cell>
          <cell r="AQ134">
            <v>0.42009400000000002</v>
          </cell>
          <cell r="AR134">
            <v>1.2475909999999999</v>
          </cell>
          <cell r="AS134">
            <v>0.31732900000000003</v>
          </cell>
          <cell r="AT134">
            <v>0.27688099999999999</v>
          </cell>
          <cell r="AU134">
            <v>0.33468999999999999</v>
          </cell>
          <cell r="AV134">
            <v>0.92890000000000006</v>
          </cell>
          <cell r="AW134">
            <v>0.230989</v>
          </cell>
          <cell r="AX134">
            <v>0.230989</v>
          </cell>
        </row>
        <row r="135">
          <cell r="A135" t="str">
            <v xml:space="preserve">  % Change</v>
          </cell>
        </row>
        <row r="137">
          <cell r="A137" t="str">
            <v xml:space="preserve">ENTEX PSE </v>
          </cell>
        </row>
        <row r="138">
          <cell r="A138" t="str">
            <v>TRx</v>
          </cell>
          <cell r="D138">
            <v>3712</v>
          </cell>
          <cell r="E138">
            <v>4296</v>
          </cell>
          <cell r="F138">
            <v>9876</v>
          </cell>
          <cell r="G138">
            <v>17630</v>
          </cell>
          <cell r="H138">
            <v>31802</v>
          </cell>
          <cell r="I138">
            <v>23999</v>
          </cell>
          <cell r="J138">
            <v>20859</v>
          </cell>
          <cell r="K138">
            <v>16882</v>
          </cell>
          <cell r="L138">
            <v>61740</v>
          </cell>
          <cell r="M138">
            <v>11412</v>
          </cell>
          <cell r="N138">
            <v>10377</v>
          </cell>
          <cell r="O138">
            <v>9253</v>
          </cell>
          <cell r="P138">
            <v>31042</v>
          </cell>
          <cell r="Q138">
            <v>8199</v>
          </cell>
          <cell r="R138">
            <v>8736</v>
          </cell>
          <cell r="S138">
            <v>8718</v>
          </cell>
          <cell r="T138">
            <v>25653</v>
          </cell>
          <cell r="U138">
            <v>10749</v>
          </cell>
          <cell r="V138">
            <v>9198</v>
          </cell>
          <cell r="W138">
            <v>10312</v>
          </cell>
          <cell r="X138">
            <v>30259</v>
          </cell>
          <cell r="Y138">
            <v>10487</v>
          </cell>
          <cell r="Z138">
            <v>8800</v>
          </cell>
          <cell r="AA138">
            <v>8353</v>
          </cell>
          <cell r="AB138">
            <v>27640</v>
          </cell>
          <cell r="AC138">
            <v>7168</v>
          </cell>
          <cell r="AD138">
            <v>6660</v>
          </cell>
          <cell r="AE138">
            <v>5781</v>
          </cell>
          <cell r="AF138">
            <v>19609</v>
          </cell>
          <cell r="AG138">
            <v>5685</v>
          </cell>
          <cell r="AH138">
            <v>5627</v>
          </cell>
          <cell r="AI138">
            <v>5629</v>
          </cell>
          <cell r="AJ138">
            <v>16941</v>
          </cell>
          <cell r="AK138">
            <v>6725</v>
          </cell>
          <cell r="AL138">
            <v>6980</v>
          </cell>
          <cell r="AM138">
            <v>7292</v>
          </cell>
          <cell r="AN138">
            <v>20997</v>
          </cell>
          <cell r="AO138">
            <v>7369</v>
          </cell>
          <cell r="AP138">
            <v>6566</v>
          </cell>
          <cell r="AQ138">
            <v>6024</v>
          </cell>
          <cell r="AR138">
            <v>19959</v>
          </cell>
          <cell r="AS138">
            <v>5438</v>
          </cell>
          <cell r="AT138">
            <v>4694</v>
          </cell>
          <cell r="AU138">
            <v>4406</v>
          </cell>
          <cell r="AV138">
            <v>14538</v>
          </cell>
          <cell r="AW138">
            <v>4130</v>
          </cell>
          <cell r="AX138">
            <v>3767</v>
          </cell>
          <cell r="AY138">
            <v>4521</v>
          </cell>
          <cell r="AZ138">
            <v>12418</v>
          </cell>
        </row>
        <row r="139">
          <cell r="A139" t="str">
            <v xml:space="preserve">  % Change</v>
          </cell>
          <cell r="S139">
            <v>1.3485991379310347</v>
          </cell>
          <cell r="U139">
            <v>1.5020949720670389</v>
          </cell>
          <cell r="V139">
            <v>-6.8651275820170055E-2</v>
          </cell>
          <cell r="W139">
            <v>-0.41508791832104364</v>
          </cell>
          <cell r="X139">
            <v>-4.8518961071630673E-2</v>
          </cell>
          <cell r="Y139">
            <v>-0.56302345931080455</v>
          </cell>
          <cell r="Z139">
            <v>-0.57811975646004121</v>
          </cell>
          <cell r="AA139">
            <v>-0.50521265252932124</v>
          </cell>
          <cell r="AB139">
            <v>-0.55231616456106258</v>
          </cell>
          <cell r="AC139">
            <v>-0.37188923939712581</v>
          </cell>
          <cell r="AD139">
            <v>-0.35819601040763227</v>
          </cell>
          <cell r="AE139">
            <v>-0.37522965524694696</v>
          </cell>
          <cell r="AF139">
            <v>-0.36830745441659685</v>
          </cell>
          <cell r="AG139">
            <v>-0.30662275887303325</v>
          </cell>
          <cell r="AH139">
            <v>-0.35588369963369959</v>
          </cell>
          <cell r="AI139">
            <v>-0.35432438632713925</v>
          </cell>
          <cell r="AJ139">
            <v>-0.339609402409075</v>
          </cell>
          <cell r="AK139">
            <v>-0.37436040561912731</v>
          </cell>
          <cell r="AL139">
            <v>-0.24113937812567954</v>
          </cell>
          <cell r="AM139">
            <v>-0.29286268425135764</v>
          </cell>
          <cell r="AN139">
            <v>-0.30609074985954587</v>
          </cell>
          <cell r="AO139">
            <v>-0.29732049203776101</v>
          </cell>
          <cell r="AP139">
            <v>-0.2538636363636364</v>
          </cell>
          <cell r="AQ139">
            <v>-0.27882198012690051</v>
          </cell>
          <cell r="AR139">
            <v>-0.27789435600578871</v>
          </cell>
          <cell r="AS139">
            <v>-0.2413504464285714</v>
          </cell>
          <cell r="AT139">
            <v>-0.29519519519519521</v>
          </cell>
          <cell r="AU139">
            <v>-0.2378481231620827</v>
          </cell>
          <cell r="AV139">
            <v>-0.25860574226120658</v>
          </cell>
          <cell r="AW139">
            <v>-0.27352682497801228</v>
          </cell>
          <cell r="AX139">
            <v>-0.33054913808423669</v>
          </cell>
          <cell r="AY139">
            <v>-0.19683780422810448</v>
          </cell>
          <cell r="AZ139">
            <v>-0.26698541998701375</v>
          </cell>
        </row>
        <row r="140">
          <cell r="A140" t="str">
            <v>NRx</v>
          </cell>
          <cell r="D140">
            <v>2263</v>
          </cell>
          <cell r="E140">
            <v>2805</v>
          </cell>
          <cell r="F140">
            <v>8341</v>
          </cell>
          <cell r="G140">
            <v>15212</v>
          </cell>
          <cell r="H140">
            <v>26358</v>
          </cell>
          <cell r="I140">
            <v>20881</v>
          </cell>
          <cell r="J140">
            <v>17605</v>
          </cell>
          <cell r="K140">
            <v>13200</v>
          </cell>
          <cell r="L140">
            <v>51686</v>
          </cell>
          <cell r="M140">
            <v>7806</v>
          </cell>
          <cell r="N140">
            <v>6669</v>
          </cell>
          <cell r="O140">
            <v>5640</v>
          </cell>
          <cell r="P140">
            <v>20115</v>
          </cell>
          <cell r="Q140">
            <v>4527</v>
          </cell>
          <cell r="R140">
            <v>4963</v>
          </cell>
          <cell r="S140">
            <v>5111</v>
          </cell>
          <cell r="T140">
            <v>14601</v>
          </cell>
          <cell r="U140">
            <v>6682</v>
          </cell>
          <cell r="V140">
            <v>5565</v>
          </cell>
          <cell r="W140">
            <v>6450</v>
          </cell>
          <cell r="X140">
            <v>18697</v>
          </cell>
          <cell r="Y140">
            <v>7197</v>
          </cell>
          <cell r="Z140">
            <v>6236</v>
          </cell>
          <cell r="AA140">
            <v>5496</v>
          </cell>
          <cell r="AB140">
            <v>18929</v>
          </cell>
          <cell r="AC140">
            <v>4265</v>
          </cell>
          <cell r="AD140">
            <v>3862</v>
          </cell>
          <cell r="AE140">
            <v>3072</v>
          </cell>
          <cell r="AF140">
            <v>11199</v>
          </cell>
          <cell r="AG140">
            <v>2989</v>
          </cell>
          <cell r="AH140">
            <v>3002</v>
          </cell>
          <cell r="AI140">
            <v>3117</v>
          </cell>
          <cell r="AJ140">
            <v>9108</v>
          </cell>
          <cell r="AK140">
            <v>4101</v>
          </cell>
          <cell r="AL140">
            <v>4419</v>
          </cell>
          <cell r="AM140">
            <v>4519</v>
          </cell>
          <cell r="AN140">
            <v>13039</v>
          </cell>
          <cell r="AO140">
            <v>4978</v>
          </cell>
          <cell r="AP140">
            <v>4594</v>
          </cell>
          <cell r="AQ140">
            <v>3963</v>
          </cell>
          <cell r="AR140">
            <v>13535</v>
          </cell>
          <cell r="AS140">
            <v>3269</v>
          </cell>
          <cell r="AT140">
            <v>2730</v>
          </cell>
          <cell r="AU140">
            <v>2357</v>
          </cell>
          <cell r="AV140">
            <v>8356</v>
          </cell>
          <cell r="AW140">
            <v>2184</v>
          </cell>
          <cell r="AX140">
            <v>1933</v>
          </cell>
          <cell r="AY140">
            <v>2547</v>
          </cell>
          <cell r="AZ140">
            <v>6664</v>
          </cell>
        </row>
        <row r="141">
          <cell r="A141" t="str">
            <v xml:space="preserve">  % Change</v>
          </cell>
          <cell r="S141">
            <v>1.258506407423774</v>
          </cell>
          <cell r="U141">
            <v>1.3821746880570411</v>
          </cell>
          <cell r="V141">
            <v>-0.33281381129360987</v>
          </cell>
          <cell r="W141">
            <v>-0.57599263739153295</v>
          </cell>
          <cell r="X141">
            <v>-0.2906517945215874</v>
          </cell>
          <cell r="Y141">
            <v>-0.6553325990134572</v>
          </cell>
          <cell r="Z141">
            <v>-0.64578244816813402</v>
          </cell>
          <cell r="AA141">
            <v>-0.58363636363636362</v>
          </cell>
          <cell r="AB141">
            <v>-0.6337692992299655</v>
          </cell>
          <cell r="AC141">
            <v>-0.45362541634640019</v>
          </cell>
          <cell r="AD141">
            <v>-0.42090268406057885</v>
          </cell>
          <cell r="AE141">
            <v>-0.4553191489361702</v>
          </cell>
          <cell r="AF141">
            <v>-0.44325130499627141</v>
          </cell>
          <cell r="AG141">
            <v>-0.33973934172741327</v>
          </cell>
          <cell r="AH141">
            <v>-0.39512391698569416</v>
          </cell>
          <cell r="AI141">
            <v>-0.39013891606339268</v>
          </cell>
          <cell r="AJ141">
            <v>-0.3762071091021163</v>
          </cell>
          <cell r="AK141">
            <v>-0.38626159832385509</v>
          </cell>
          <cell r="AL141">
            <v>-0.20592991913746628</v>
          </cell>
          <cell r="AM141">
            <v>-0.29937984496124026</v>
          </cell>
          <cell r="AN141">
            <v>-0.3026153928437717</v>
          </cell>
          <cell r="AO141">
            <v>-0.30832291232457965</v>
          </cell>
          <cell r="AP141">
            <v>-0.26330981398332265</v>
          </cell>
          <cell r="AQ141">
            <v>-0.27893013100436681</v>
          </cell>
          <cell r="AR141">
            <v>-0.28495958582069836</v>
          </cell>
          <cell r="AS141">
            <v>-0.23352872215709264</v>
          </cell>
          <cell r="AT141">
            <v>-0.29311237700673232</v>
          </cell>
          <cell r="AU141">
            <v>-0.23274739583333337</v>
          </cell>
          <cell r="AV141">
            <v>-0.25386195195999639</v>
          </cell>
          <cell r="AW141">
            <v>-0.26932084309133486</v>
          </cell>
          <cell r="AX141">
            <v>-0.35609593604263823</v>
          </cell>
          <cell r="AY141">
            <v>-0.18286814244465832</v>
          </cell>
          <cell r="AZ141">
            <v>-0.2683355292050944</v>
          </cell>
        </row>
        <row r="142">
          <cell r="A142" t="str">
            <v>Sales (IMS)</v>
          </cell>
        </row>
        <row r="143">
          <cell r="A143" t="str">
            <v xml:space="preserve">  % Change</v>
          </cell>
        </row>
        <row r="145">
          <cell r="A145" t="str">
            <v>BRANDS</v>
          </cell>
        </row>
        <row r="146">
          <cell r="A146" t="str">
            <v>ALTOPREV (ALTOCOR)</v>
          </cell>
        </row>
        <row r="147">
          <cell r="A147" t="str">
            <v>TRx</v>
          </cell>
          <cell r="AG147">
            <v>95</v>
          </cell>
          <cell r="AH147">
            <v>2452</v>
          </cell>
          <cell r="AI147">
            <v>5056</v>
          </cell>
          <cell r="AJ147">
            <v>7603</v>
          </cell>
          <cell r="AK147">
            <v>10306</v>
          </cell>
          <cell r="AL147">
            <v>14700</v>
          </cell>
          <cell r="AM147">
            <v>19211</v>
          </cell>
          <cell r="AN147">
            <v>44217</v>
          </cell>
          <cell r="AO147">
            <v>22888</v>
          </cell>
          <cell r="AP147">
            <v>24329</v>
          </cell>
          <cell r="AQ147">
            <v>32347</v>
          </cell>
          <cell r="AR147">
            <v>79564</v>
          </cell>
          <cell r="AS147">
            <v>36285</v>
          </cell>
          <cell r="AT147">
            <v>42192</v>
          </cell>
          <cell r="AU147">
            <v>45472</v>
          </cell>
          <cell r="AV147">
            <v>123949</v>
          </cell>
          <cell r="AW147">
            <v>51577</v>
          </cell>
          <cell r="AX147">
            <v>54968</v>
          </cell>
          <cell r="AY147">
            <v>58465</v>
          </cell>
          <cell r="AZ147">
            <v>165010</v>
          </cell>
          <cell r="BA147">
            <v>64581</v>
          </cell>
          <cell r="BB147">
            <v>62015</v>
          </cell>
          <cell r="BC147">
            <v>69817</v>
          </cell>
          <cell r="BD147">
            <v>196413</v>
          </cell>
          <cell r="BE147">
            <v>67927</v>
          </cell>
          <cell r="BF147">
            <v>64832</v>
          </cell>
          <cell r="BG147">
            <v>75122</v>
          </cell>
          <cell r="BH147">
            <v>207881</v>
          </cell>
          <cell r="BI147">
            <v>72113</v>
          </cell>
          <cell r="BJ147">
            <v>71067</v>
          </cell>
          <cell r="BK147">
            <v>74521</v>
          </cell>
          <cell r="BL147">
            <v>217701</v>
          </cell>
          <cell r="BM147">
            <v>75575</v>
          </cell>
          <cell r="BN147">
            <v>73281</v>
          </cell>
          <cell r="BO147">
            <v>71178</v>
          </cell>
          <cell r="BP147">
            <v>220034</v>
          </cell>
        </row>
        <row r="148">
          <cell r="A148" t="str">
            <v xml:space="preserve">  % Change</v>
          </cell>
          <cell r="AV148">
            <v>0</v>
          </cell>
          <cell r="AY148">
            <v>11.563488924050633</v>
          </cell>
          <cell r="AZ148">
            <v>0</v>
          </cell>
          <cell r="BA148">
            <v>6.2663496992043468</v>
          </cell>
          <cell r="BB148">
            <v>4.2187074829931976</v>
          </cell>
          <cell r="BC148">
            <v>3.6342199781375255</v>
          </cell>
          <cell r="BD148">
            <v>4.4420245606893278</v>
          </cell>
          <cell r="BE148">
            <v>2.9677997203774904</v>
          </cell>
          <cell r="BF148">
            <v>2.6648033211393809</v>
          </cell>
          <cell r="BG148">
            <v>2.3223792005440997</v>
          </cell>
          <cell r="BH148">
            <v>2.6127519983912322</v>
          </cell>
          <cell r="BI148">
            <v>1.9874052638831472</v>
          </cell>
          <cell r="BJ148">
            <v>1.6843714448236633</v>
          </cell>
          <cell r="BK148">
            <v>1.6388326882477129</v>
          </cell>
          <cell r="BL148">
            <v>1.7563756060960556</v>
          </cell>
          <cell r="BM148">
            <v>1.4652849138181747</v>
          </cell>
          <cell r="BN148">
            <v>1.3331574734390919</v>
          </cell>
          <cell r="BO148">
            <v>1.2174463354143505</v>
          </cell>
          <cell r="BP148">
            <v>1.3334585782679838</v>
          </cell>
        </row>
        <row r="149">
          <cell r="A149" t="str">
            <v>NRx</v>
          </cell>
          <cell r="AG149">
            <v>95</v>
          </cell>
          <cell r="AH149">
            <v>2363</v>
          </cell>
          <cell r="AI149">
            <v>4200</v>
          </cell>
          <cell r="AJ149">
            <v>6658</v>
          </cell>
          <cell r="AK149">
            <v>8002</v>
          </cell>
          <cell r="AL149">
            <v>10272</v>
          </cell>
          <cell r="AM149">
            <v>11415</v>
          </cell>
          <cell r="AN149">
            <v>29689</v>
          </cell>
          <cell r="AO149">
            <v>13103</v>
          </cell>
          <cell r="AP149">
            <v>13089</v>
          </cell>
          <cell r="AQ149">
            <v>16927</v>
          </cell>
          <cell r="AR149">
            <v>43119</v>
          </cell>
          <cell r="AS149">
            <v>17866</v>
          </cell>
          <cell r="AT149">
            <v>18772</v>
          </cell>
          <cell r="AU149">
            <v>20038</v>
          </cell>
          <cell r="AV149">
            <v>56676</v>
          </cell>
          <cell r="AW149">
            <v>21673</v>
          </cell>
          <cell r="AX149">
            <v>22217</v>
          </cell>
          <cell r="AY149">
            <v>22697</v>
          </cell>
          <cell r="AZ149">
            <v>66587</v>
          </cell>
          <cell r="BA149">
            <v>24623</v>
          </cell>
          <cell r="BB149">
            <v>22366</v>
          </cell>
          <cell r="BC149">
            <v>23733</v>
          </cell>
          <cell r="BD149">
            <v>70722</v>
          </cell>
          <cell r="BE149">
            <v>22394</v>
          </cell>
          <cell r="BF149">
            <v>22244</v>
          </cell>
          <cell r="BG149">
            <v>26283</v>
          </cell>
          <cell r="BH149">
            <v>70921</v>
          </cell>
          <cell r="BI149">
            <v>24724</v>
          </cell>
          <cell r="BJ149">
            <v>22687</v>
          </cell>
          <cell r="BK149">
            <v>23687</v>
          </cell>
          <cell r="BL149">
            <v>71098</v>
          </cell>
          <cell r="BM149">
            <v>28779</v>
          </cell>
          <cell r="BN149">
            <v>33219</v>
          </cell>
          <cell r="BO149">
            <v>28988</v>
          </cell>
          <cell r="BP149">
            <v>90986</v>
          </cell>
        </row>
        <row r="150">
          <cell r="A150" t="str">
            <v xml:space="preserve">  % Change</v>
          </cell>
          <cell r="AV150">
            <v>0</v>
          </cell>
          <cell r="AY150">
            <v>5.4040476190476188</v>
          </cell>
          <cell r="AZ150">
            <v>0</v>
          </cell>
          <cell r="BA150">
            <v>3.0771057235691077</v>
          </cell>
          <cell r="BB150">
            <v>2.1773753894080996</v>
          </cell>
          <cell r="BC150">
            <v>2.0791064388961891</v>
          </cell>
          <cell r="BD150">
            <v>2.3820943783893025</v>
          </cell>
          <cell r="BE150">
            <v>1.7090742578035565</v>
          </cell>
          <cell r="BF150">
            <v>1.699442279776912</v>
          </cell>
          <cell r="BG150">
            <v>1.5527264134223431</v>
          </cell>
          <cell r="BH150">
            <v>1.6447737656253623</v>
          </cell>
          <cell r="BI150">
            <v>1.3838576066271129</v>
          </cell>
          <cell r="BJ150">
            <v>1.2085552951203922</v>
          </cell>
          <cell r="BK150">
            <v>1.1821040023954485</v>
          </cell>
          <cell r="BL150">
            <v>1.2544639706401299</v>
          </cell>
          <cell r="BM150">
            <v>1.3278733908549809</v>
          </cell>
          <cell r="BN150">
            <v>1.4952063734977721</v>
          </cell>
          <cell r="BO150">
            <v>1.2771731946953342</v>
          </cell>
          <cell r="BP150">
            <v>1.3664228753360266</v>
          </cell>
        </row>
        <row r="151">
          <cell r="A151" t="str">
            <v>HMG-COA REDUCTASE INHIB:32110 TRx</v>
          </cell>
          <cell r="V151">
            <v>9218720</v>
          </cell>
          <cell r="W151">
            <v>9623241</v>
          </cell>
          <cell r="X151">
            <v>18841961</v>
          </cell>
          <cell r="Y151">
            <v>9761700</v>
          </cell>
          <cell r="Z151">
            <v>8936456</v>
          </cell>
          <cell r="AA151">
            <v>9743842</v>
          </cell>
          <cell r="AB151">
            <v>28441998</v>
          </cell>
          <cell r="AC151">
            <v>10003964</v>
          </cell>
          <cell r="AD151">
            <v>10037292</v>
          </cell>
          <cell r="AE151">
            <v>9492834</v>
          </cell>
          <cell r="AF151">
            <v>29534090</v>
          </cell>
          <cell r="AG151">
            <v>10195806</v>
          </cell>
          <cell r="AH151">
            <v>10018230</v>
          </cell>
          <cell r="AI151">
            <v>9637684</v>
          </cell>
          <cell r="AJ151">
            <v>29851720</v>
          </cell>
          <cell r="AK151">
            <v>10250326</v>
          </cell>
          <cell r="AL151">
            <v>9805169</v>
          </cell>
          <cell r="AM151">
            <v>10527945</v>
          </cell>
          <cell r="AN151">
            <v>30583440</v>
          </cell>
          <cell r="AO151">
            <v>10375259</v>
          </cell>
          <cell r="AP151">
            <v>9492561</v>
          </cell>
          <cell r="AQ151">
            <v>10394024</v>
          </cell>
          <cell r="AR151">
            <v>30261844</v>
          </cell>
          <cell r="AS151">
            <v>10191964</v>
          </cell>
          <cell r="AT151">
            <v>10443724</v>
          </cell>
          <cell r="AU151">
            <v>10300138</v>
          </cell>
          <cell r="AV151">
            <v>30935826</v>
          </cell>
          <cell r="AW151">
            <v>10690789</v>
          </cell>
          <cell r="AX151">
            <v>10411044</v>
          </cell>
          <cell r="AY151">
            <v>10550522</v>
          </cell>
          <cell r="AZ151">
            <v>31652355</v>
          </cell>
          <cell r="BA151">
            <v>10993353</v>
          </cell>
          <cell r="BB151">
            <v>10306778</v>
          </cell>
          <cell r="BC151">
            <v>11522264</v>
          </cell>
          <cell r="BD151">
            <v>32822395</v>
          </cell>
          <cell r="BE151">
            <v>11169825</v>
          </cell>
          <cell r="BF151">
            <v>10507273</v>
          </cell>
          <cell r="BG151">
            <v>11774304</v>
          </cell>
          <cell r="BH151">
            <v>33451402</v>
          </cell>
          <cell r="BI151">
            <v>11271775</v>
          </cell>
          <cell r="BJ151">
            <v>11198636</v>
          </cell>
          <cell r="BK151">
            <v>11779789</v>
          </cell>
          <cell r="BL151">
            <v>34250200</v>
          </cell>
          <cell r="BM151">
            <v>11776850</v>
          </cell>
          <cell r="BN151">
            <v>12035031</v>
          </cell>
          <cell r="BO151">
            <v>11889480</v>
          </cell>
          <cell r="BP151">
            <v>35701361</v>
          </cell>
        </row>
        <row r="152">
          <cell r="A152" t="str">
            <v>HMG-COA REDUCTASE INHIB:32110 NRx</v>
          </cell>
          <cell r="V152">
            <v>2843036</v>
          </cell>
          <cell r="W152">
            <v>2975724</v>
          </cell>
          <cell r="X152">
            <v>5818760</v>
          </cell>
          <cell r="Y152">
            <v>3263078</v>
          </cell>
          <cell r="Z152">
            <v>2952094</v>
          </cell>
          <cell r="AA152">
            <v>3146500</v>
          </cell>
          <cell r="AB152">
            <v>9361672</v>
          </cell>
          <cell r="AC152">
            <v>3158779</v>
          </cell>
          <cell r="AD152">
            <v>3069422</v>
          </cell>
          <cell r="AE152">
            <v>2832210</v>
          </cell>
          <cell r="AF152">
            <v>9060411</v>
          </cell>
          <cell r="AG152">
            <v>3054339</v>
          </cell>
          <cell r="AH152">
            <v>2995661</v>
          </cell>
          <cell r="AI152">
            <v>2855397</v>
          </cell>
          <cell r="AJ152">
            <v>8905397</v>
          </cell>
          <cell r="AK152">
            <v>3111461</v>
          </cell>
          <cell r="AL152">
            <v>2944375</v>
          </cell>
          <cell r="AM152">
            <v>3097133</v>
          </cell>
          <cell r="AN152">
            <v>9152969</v>
          </cell>
          <cell r="AO152">
            <v>3321059</v>
          </cell>
          <cell r="AP152">
            <v>3048749</v>
          </cell>
          <cell r="AQ152">
            <v>3269168</v>
          </cell>
          <cell r="AR152">
            <v>9638976</v>
          </cell>
          <cell r="AS152">
            <v>3140114</v>
          </cell>
          <cell r="AT152">
            <v>3171731</v>
          </cell>
          <cell r="AU152">
            <v>3135420</v>
          </cell>
          <cell r="AV152">
            <v>9447265</v>
          </cell>
          <cell r="AW152">
            <v>3232872</v>
          </cell>
          <cell r="AX152">
            <v>3075636</v>
          </cell>
          <cell r="AY152">
            <v>3158614</v>
          </cell>
          <cell r="AZ152">
            <v>9467122</v>
          </cell>
          <cell r="BA152">
            <v>3376959</v>
          </cell>
          <cell r="BB152">
            <v>3105821</v>
          </cell>
          <cell r="BC152">
            <v>3464148</v>
          </cell>
          <cell r="BD152">
            <v>9946928</v>
          </cell>
          <cell r="BE152">
            <v>3517199</v>
          </cell>
          <cell r="BF152">
            <v>3379818</v>
          </cell>
          <cell r="BG152">
            <v>3815300</v>
          </cell>
          <cell r="BH152">
            <v>10712317</v>
          </cell>
          <cell r="BI152">
            <v>3569427</v>
          </cell>
          <cell r="BJ152">
            <v>3477458</v>
          </cell>
          <cell r="BK152">
            <v>3662009</v>
          </cell>
          <cell r="BL152">
            <v>10708894</v>
          </cell>
          <cell r="BM152">
            <v>3636384</v>
          </cell>
          <cell r="BN152">
            <v>3711934</v>
          </cell>
          <cell r="BO152">
            <v>3722725</v>
          </cell>
          <cell r="BP152">
            <v>11071043</v>
          </cell>
        </row>
        <row r="153">
          <cell r="A153" t="str">
            <v>TRx Market Growth</v>
          </cell>
          <cell r="AL153">
            <v>6.3615013798010933E-2</v>
          </cell>
          <cell r="AM153">
            <v>9.4012401850894101E-2</v>
          </cell>
          <cell r="AN153">
            <v>0.62315589125781545</v>
          </cell>
          <cell r="AO153">
            <v>6.2853703760615387E-2</v>
          </cell>
          <cell r="AP153">
            <v>6.22288074825188E-2</v>
          </cell>
          <cell r="AQ153">
            <v>6.6727477723879325E-2</v>
          </cell>
          <cell r="AR153">
            <v>6.3984464101291438E-2</v>
          </cell>
          <cell r="AS153">
            <v>1.8792550632929172E-2</v>
          </cell>
          <cell r="AT153">
            <v>4.0492196500809152E-2</v>
          </cell>
          <cell r="AU153">
            <v>8.5043518089539916E-2</v>
          </cell>
          <cell r="AV153">
            <v>4.7461628240450304E-2</v>
          </cell>
          <cell r="AW153">
            <v>4.8547706772765098E-2</v>
          </cell>
          <cell r="AX153">
            <v>3.9209920315265379E-2</v>
          </cell>
          <cell r="AY153">
            <v>9.4715493888365643E-2</v>
          </cell>
          <cell r="AZ153">
            <v>6.0319304884274727E-2</v>
          </cell>
          <cell r="BA153">
            <v>7.2488133548142653E-2</v>
          </cell>
          <cell r="BB153">
            <v>5.1157608808170441E-2</v>
          </cell>
          <cell r="BC153">
            <v>9.4445687168768444E-2</v>
          </cell>
          <cell r="BD153">
            <v>7.3208082544017339E-2</v>
          </cell>
          <cell r="BE153">
            <v>7.6582762897774437E-2</v>
          </cell>
          <cell r="BF153">
            <v>0.10689549427177769</v>
          </cell>
          <cell r="BG153">
            <v>0.13279553712787262</v>
          </cell>
          <cell r="BH153">
            <v>0.10539866638662199</v>
          </cell>
          <cell r="BI153">
            <v>0.10594729337740993</v>
          </cell>
          <cell r="BJ153">
            <v>7.2283794554509395E-2</v>
          </cell>
          <cell r="BK153">
            <v>0.14365351221507905</v>
          </cell>
          <cell r="BL153">
            <v>0.10713707789796856</v>
          </cell>
          <cell r="BM153">
            <v>0.10158847957807415</v>
          </cell>
          <cell r="BN153">
            <v>0.15598695001192975</v>
          </cell>
          <cell r="BO153">
            <v>0.12690917093959908</v>
          </cell>
          <cell r="BP153">
            <v>0.12792116100050066</v>
          </cell>
        </row>
        <row r="154">
          <cell r="A154" t="str">
            <v>NRx Market Growth</v>
          </cell>
          <cell r="AL154">
            <v>3.5644641854693404E-2</v>
          </cell>
          <cell r="AM154">
            <v>4.0799818800399512E-2</v>
          </cell>
          <cell r="AN154">
            <v>0.57301022898349485</v>
          </cell>
          <cell r="AO154">
            <v>1.7768806016895677E-2</v>
          </cell>
          <cell r="AP154">
            <v>3.2741166101079466E-2</v>
          </cell>
          <cell r="AQ154">
            <v>3.8985539488320287E-2</v>
          </cell>
          <cell r="AR154">
            <v>2.9621204417330516E-2</v>
          </cell>
          <cell r="AS154">
            <v>-5.9089287348054187E-3</v>
          </cell>
          <cell r="AT154">
            <v>3.3331682642530058E-2</v>
          </cell>
          <cell r="AU154">
            <v>0.10705773936254737</v>
          </cell>
          <cell r="AV154">
            <v>4.2697180072736263E-2</v>
          </cell>
          <cell r="AW154">
            <v>5.8452254317546304E-2</v>
          </cell>
          <cell r="AX154">
            <v>2.6696946016254941E-2</v>
          </cell>
          <cell r="AY154">
            <v>0.10619083791150574</v>
          </cell>
          <cell r="AZ154">
            <v>6.307691841250862E-2</v>
          </cell>
          <cell r="BA154">
            <v>8.5329046386890317E-2</v>
          </cell>
          <cell r="BB154">
            <v>5.4832010188919478E-2</v>
          </cell>
          <cell r="BC154">
            <v>0.11850153028623578</v>
          </cell>
          <cell r="BD154">
            <v>8.6743328858646773E-2</v>
          </cell>
          <cell r="BE154">
            <v>5.9059474703701431E-2</v>
          </cell>
          <cell r="BF154">
            <v>0.10859175353563044</v>
          </cell>
          <cell r="BG154">
            <v>0.16705534863916438</v>
          </cell>
          <cell r="BH154">
            <v>0.11135425588776227</v>
          </cell>
          <cell r="BI154">
            <v>0.13671892166972288</v>
          </cell>
          <cell r="BJ154">
            <v>9.6391213504549933E-2</v>
          </cell>
          <cell r="BK154">
            <v>0.16794847261291945</v>
          </cell>
          <cell r="BL154">
            <v>0.133544364427165</v>
          </cell>
          <cell r="BM154">
            <v>0.12481533447658921</v>
          </cell>
          <cell r="BN154">
            <v>0.20688338932175321</v>
          </cell>
          <cell r="BO154">
            <v>0.17859447213239732</v>
          </cell>
          <cell r="BP154">
            <v>0.16942012577845733</v>
          </cell>
        </row>
        <row r="155">
          <cell r="A155" t="str">
            <v>TRx Market Share</v>
          </cell>
          <cell r="AG155">
            <v>9.3175566502540358E-6</v>
          </cell>
          <cell r="AH155">
            <v>2.4475381379744724E-4</v>
          </cell>
          <cell r="AI155">
            <v>5.2460736417587464E-4</v>
          </cell>
          <cell r="AJ155">
            <v>2.546921919406989E-4</v>
          </cell>
          <cell r="AK155">
            <v>1.0054314370099059E-3</v>
          </cell>
          <cell r="AL155">
            <v>1.499209243614261E-3</v>
          </cell>
          <cell r="AM155">
            <v>1.8247625723728611E-3</v>
          </cell>
          <cell r="AN155">
            <v>1.4457824234291499E-3</v>
          </cell>
          <cell r="AO155">
            <v>2.2060172184617272E-3</v>
          </cell>
          <cell r="AP155">
            <v>2.5629542965275652E-3</v>
          </cell>
          <cell r="AQ155">
            <v>3.1120767086933801E-3</v>
          </cell>
          <cell r="AR155">
            <v>2.6291854521489173E-3</v>
          </cell>
          <cell r="AS155">
            <v>3.5601577870565475E-3</v>
          </cell>
          <cell r="AT155">
            <v>4.0399382442508052E-3</v>
          </cell>
          <cell r="AU155">
            <v>4.4146981331706428E-3</v>
          </cell>
          <cell r="AV155">
            <v>4.0066491193737645E-3</v>
          </cell>
          <cell r="AW155">
            <v>4.8244334445287432E-3</v>
          </cell>
          <cell r="AX155">
            <v>5.279777897394344E-3</v>
          </cell>
          <cell r="AY155">
            <v>5.541431978436707E-3</v>
          </cell>
          <cell r="AZ155">
            <v>5.2131981964691097E-3</v>
          </cell>
          <cell r="BA155">
            <v>5.8745498302474235E-3</v>
          </cell>
          <cell r="BB155">
            <v>6.0169143062943631E-3</v>
          </cell>
          <cell r="BC155">
            <v>6.059312648972459E-3</v>
          </cell>
          <cell r="BD155">
            <v>5.9841154187560046E-3</v>
          </cell>
          <cell r="BE155">
            <v>6.0812949173330829E-3</v>
          </cell>
          <cell r="BF155">
            <v>6.1702022970184555E-3</v>
          </cell>
          <cell r="BG155">
            <v>6.3801648063443921E-3</v>
          </cell>
          <cell r="BH155">
            <v>6.2144181580192064E-3</v>
          </cell>
          <cell r="BI155">
            <v>6.3976614153494014E-3</v>
          </cell>
          <cell r="BJ155">
            <v>6.3460407142441272E-3</v>
          </cell>
          <cell r="BK155">
            <v>6.3261744331753311E-3</v>
          </cell>
          <cell r="BL155">
            <v>6.3561964601666562E-3</v>
          </cell>
          <cell r="BM155">
            <v>6.4172507928690605E-3</v>
          </cell>
          <cell r="BN155">
            <v>6.088974760430613E-3</v>
          </cell>
          <cell r="BO155">
            <v>5.9866369260892826E-3</v>
          </cell>
          <cell r="BP155">
            <v>6.1631824064074196E-3</v>
          </cell>
        </row>
        <row r="156">
          <cell r="A156" t="str">
            <v>NRx Market Share</v>
          </cell>
          <cell r="AG156">
            <v>3.1103292725529156E-5</v>
          </cell>
          <cell r="AH156">
            <v>7.8880754531303777E-4</v>
          </cell>
          <cell r="AI156">
            <v>1.4708987927072837E-3</v>
          </cell>
          <cell r="AJ156">
            <v>7.476365174960757E-4</v>
          </cell>
          <cell r="AK156">
            <v>2.5717821949238638E-3</v>
          </cell>
          <cell r="AL156">
            <v>3.4886860539163661E-3</v>
          </cell>
          <cell r="AM156">
            <v>3.685666711762136E-3</v>
          </cell>
          <cell r="AN156">
            <v>3.2436469521529027E-3</v>
          </cell>
          <cell r="AO156">
            <v>3.94542825044662E-3</v>
          </cell>
          <cell r="AP156">
            <v>4.2932363405449253E-3</v>
          </cell>
          <cell r="AQ156">
            <v>5.1777700014193212E-3</v>
          </cell>
          <cell r="AR156">
            <v>4.4734004939943825E-3</v>
          </cell>
          <cell r="AS156">
            <v>5.6896023520165194E-3</v>
          </cell>
          <cell r="AT156">
            <v>5.9185347054967778E-3</v>
          </cell>
          <cell r="AU156">
            <v>6.390850348597636E-3</v>
          </cell>
          <cell r="AV156">
            <v>5.9991965928763514E-3</v>
          </cell>
          <cell r="AW156">
            <v>6.703946212531767E-3</v>
          </cell>
          <cell r="AX156">
            <v>7.2235466095467733E-3</v>
          </cell>
          <cell r="AY156">
            <v>7.1857466597691263E-3</v>
          </cell>
          <cell r="AZ156">
            <v>7.0334997267384953E-3</v>
          </cell>
          <cell r="BA156">
            <v>7.2914714096321571E-3</v>
          </cell>
          <cell r="BB156">
            <v>7.2013164957027464E-3</v>
          </cell>
          <cell r="BC156">
            <v>6.8510352329057538E-3</v>
          </cell>
          <cell r="BD156">
            <v>7.1099338408803199E-3</v>
          </cell>
          <cell r="BE156">
            <v>6.3669982847146265E-3</v>
          </cell>
          <cell r="BF156">
            <v>6.5814194728828594E-3</v>
          </cell>
          <cell r="BG156">
            <v>6.8888422928734304E-3</v>
          </cell>
          <cell r="BH156">
            <v>6.6205098299462195E-3</v>
          </cell>
          <cell r="BI156">
            <v>6.9266019447939402E-3</v>
          </cell>
          <cell r="BJ156">
            <v>6.5240184065486918E-3</v>
          </cell>
          <cell r="BK156">
            <v>6.4683074236027271E-3</v>
          </cell>
          <cell r="BL156">
            <v>6.6391543328377326E-3</v>
          </cell>
          <cell r="BM156">
            <v>7.9141806805881881E-3</v>
          </cell>
          <cell r="BN156">
            <v>8.9492431708106876E-3</v>
          </cell>
          <cell r="BO156">
            <v>7.7867691005916364E-3</v>
          </cell>
          <cell r="BP156">
            <v>8.2183765341711703E-3</v>
          </cell>
        </row>
        <row r="157">
          <cell r="A157" t="str">
            <v>Price Change (YoY)</v>
          </cell>
          <cell r="AL157">
            <v>-0.1074380165289256</v>
          </cell>
          <cell r="AN157">
            <v>-0.1074380165289256</v>
          </cell>
          <cell r="AR157">
            <v>-0.1074380165289256</v>
          </cell>
          <cell r="AV157">
            <v>0</v>
          </cell>
          <cell r="AZ157">
            <v>-0.1074380165289256</v>
          </cell>
          <cell r="BD157">
            <v>0</v>
          </cell>
          <cell r="BH157">
            <v>0</v>
          </cell>
          <cell r="BL157">
            <v>0</v>
          </cell>
          <cell r="BP157">
            <v>0</v>
          </cell>
        </row>
        <row r="159">
          <cell r="A159" t="str">
            <v xml:space="preserve">TRx + Altoprev Price Change </v>
          </cell>
          <cell r="AV159">
            <v>0</v>
          </cell>
          <cell r="AZ159">
            <v>0</v>
          </cell>
          <cell r="BD159">
            <v>0</v>
          </cell>
          <cell r="BH159">
            <v>2.6127519983912322</v>
          </cell>
          <cell r="BL159">
            <v>1.7563756060960556</v>
          </cell>
          <cell r="BP159">
            <v>1.3334585782679838</v>
          </cell>
        </row>
        <row r="161">
          <cell r="A161" t="str">
            <v xml:space="preserve">TOTAL ALTOPREV REPORTED SALES </v>
          </cell>
          <cell r="AJ161">
            <v>1.4</v>
          </cell>
          <cell r="AN161">
            <v>2.4</v>
          </cell>
          <cell r="AR161">
            <v>4.0999999999999996</v>
          </cell>
          <cell r="AV161">
            <v>6.9</v>
          </cell>
          <cell r="AZ161">
            <v>10.199999999999999</v>
          </cell>
          <cell r="BD161">
            <v>10.9</v>
          </cell>
          <cell r="BH161">
            <v>10.6</v>
          </cell>
          <cell r="BL161">
            <v>15.007999999999999</v>
          </cell>
          <cell r="BP161">
            <v>8</v>
          </cell>
        </row>
        <row r="162">
          <cell r="A162" t="str">
            <v xml:space="preserve">  % Change</v>
          </cell>
          <cell r="AV162">
            <v>0</v>
          </cell>
          <cell r="AZ162">
            <v>0</v>
          </cell>
          <cell r="BD162">
            <v>3.541666666666667</v>
          </cell>
          <cell r="BH162">
            <v>1.5853658536585367</v>
          </cell>
          <cell r="BL162">
            <v>1.1750724637681156</v>
          </cell>
          <cell r="BP162">
            <v>-0.21568627450980382</v>
          </cell>
        </row>
        <row r="164">
          <cell r="A164" t="str">
            <v>TOTAL ALTOPREV SALES (IMS)</v>
          </cell>
          <cell r="AG164">
            <v>1.322435</v>
          </cell>
          <cell r="AH164">
            <v>0.41275800000000001</v>
          </cell>
          <cell r="AI164">
            <v>0.35601500000000003</v>
          </cell>
          <cell r="AJ164">
            <v>2.091208</v>
          </cell>
          <cell r="AK164">
            <v>0.49234299999999998</v>
          </cell>
          <cell r="AL164">
            <v>0.69947499999999996</v>
          </cell>
          <cell r="AM164">
            <v>1.0502819999999999</v>
          </cell>
          <cell r="AN164">
            <v>2.2420999999999998</v>
          </cell>
          <cell r="AO164">
            <v>1.0013620000000001</v>
          </cell>
          <cell r="AP164">
            <v>1.1854100000000001</v>
          </cell>
          <cell r="AQ164">
            <v>1.7891239999999999</v>
          </cell>
          <cell r="AR164">
            <v>3.9758960000000005</v>
          </cell>
          <cell r="AS164">
            <v>1.6209849999999999</v>
          </cell>
          <cell r="AT164">
            <v>1.803903</v>
          </cell>
          <cell r="AU164">
            <v>2.635923</v>
          </cell>
          <cell r="AV164">
            <v>6.0608110000000002</v>
          </cell>
          <cell r="AW164">
            <v>2.5293139999999998</v>
          </cell>
          <cell r="AX164">
            <v>2.5293139999999998</v>
          </cell>
          <cell r="AY164">
            <v>3.3387030000000002</v>
          </cell>
          <cell r="AZ164">
            <v>8.3973309999999994</v>
          </cell>
          <cell r="BA164">
            <v>2.893672</v>
          </cell>
          <cell r="BB164">
            <v>3.0347019999999998</v>
          </cell>
          <cell r="BC164">
            <v>3.8673760000000001</v>
          </cell>
          <cell r="BD164">
            <v>9.79575</v>
          </cell>
          <cell r="BE164">
            <v>3.4532080000000001</v>
          </cell>
          <cell r="BF164">
            <v>3.724326</v>
          </cell>
          <cell r="BG164">
            <v>4.8990660000000004</v>
          </cell>
          <cell r="BH164">
            <v>12.076600000000001</v>
          </cell>
          <cell r="BI164">
            <v>3.9449879999999999</v>
          </cell>
          <cell r="BJ164">
            <v>4.0399039999999999</v>
          </cell>
          <cell r="BK164">
            <v>4.5473920000000003</v>
          </cell>
          <cell r="BL164">
            <v>12.532284000000001</v>
          </cell>
          <cell r="BM164">
            <v>4.3635229999999998</v>
          </cell>
          <cell r="BN164">
            <v>4.4921740000000003</v>
          </cell>
        </row>
        <row r="165">
          <cell r="A165" t="str">
            <v xml:space="preserve">  % Change</v>
          </cell>
          <cell r="AV165">
            <v>0</v>
          </cell>
          <cell r="AZ165">
            <v>3.0155407783443824</v>
          </cell>
          <cell r="BA165">
            <v>4.8773497338237775</v>
          </cell>
          <cell r="BB165">
            <v>3.3385424782872866</v>
          </cell>
          <cell r="BC165">
            <v>2.6822262973182442</v>
          </cell>
          <cell r="BD165">
            <v>3.369006734757594</v>
          </cell>
          <cell r="BE165">
            <v>2.4485111278438763</v>
          </cell>
          <cell r="BF165">
            <v>2.1418041015344902</v>
          </cell>
          <cell r="BG165">
            <v>1.7382484389008255</v>
          </cell>
          <cell r="BH165">
            <v>2.0374536959719265</v>
          </cell>
          <cell r="BI165">
            <v>1.4336980292846633</v>
          </cell>
          <cell r="BJ165">
            <v>1.2395350526053783</v>
          </cell>
          <cell r="BK165">
            <v>0.72516116745443648</v>
          </cell>
          <cell r="BL165">
            <v>1.0677569387991146</v>
          </cell>
          <cell r="BM165">
            <v>0.72518042441547403</v>
          </cell>
          <cell r="BN165">
            <v>0.77604441362361509</v>
          </cell>
        </row>
        <row r="167">
          <cell r="A167" t="str">
            <v>REPORTED SALES/TRx ALTOPREV</v>
          </cell>
          <cell r="AJ167">
            <v>184.13784032618702</v>
          </cell>
          <cell r="AN167">
            <v>54.277766469909764</v>
          </cell>
          <cell r="AR167">
            <v>51.530843094867016</v>
          </cell>
          <cell r="AV167">
            <v>55.668057023453194</v>
          </cell>
          <cell r="AZ167">
            <v>61.814435488758257</v>
          </cell>
          <cell r="BD167">
            <v>55.495308355353259</v>
          </cell>
          <cell r="BH167">
            <v>50.99071103179223</v>
          </cell>
          <cell r="BL167">
            <v>68.938590084565533</v>
          </cell>
          <cell r="BP167">
            <v>36.358017397311322</v>
          </cell>
        </row>
        <row r="168">
          <cell r="A168" t="str">
            <v>IMS SALES/REPORTED SALES</v>
          </cell>
          <cell r="AJ168">
            <v>1.4937200000000002</v>
          </cell>
          <cell r="AN168">
            <v>0.93420833333333331</v>
          </cell>
          <cell r="AR168">
            <v>0.96973073170731727</v>
          </cell>
          <cell r="AV168">
            <v>0.87837840579710147</v>
          </cell>
          <cell r="AZ168">
            <v>0.82326774509803924</v>
          </cell>
          <cell r="BD168">
            <v>0.89869266055045871</v>
          </cell>
          <cell r="BH168">
            <v>1.1393018867924529</v>
          </cell>
          <cell r="BL168">
            <v>0.83504024520255871</v>
          </cell>
        </row>
        <row r="170">
          <cell r="A170" t="str">
            <v>FORTAMET</v>
          </cell>
        </row>
        <row r="171">
          <cell r="A171" t="str">
            <v>TRx</v>
          </cell>
          <cell r="BJ171">
            <v>74</v>
          </cell>
          <cell r="BK171">
            <v>1990</v>
          </cell>
          <cell r="BL171">
            <v>2064</v>
          </cell>
          <cell r="BM171">
            <v>4656</v>
          </cell>
          <cell r="BN171">
            <v>7427</v>
          </cell>
          <cell r="BO171">
            <v>10373</v>
          </cell>
          <cell r="BP171">
            <v>22456</v>
          </cell>
        </row>
        <row r="172">
          <cell r="A172" t="str">
            <v xml:space="preserve">  % Change</v>
          </cell>
        </row>
        <row r="173">
          <cell r="A173" t="str">
            <v>NRx</v>
          </cell>
          <cell r="BJ173">
            <v>63</v>
          </cell>
          <cell r="BK173">
            <v>1940</v>
          </cell>
          <cell r="BL173">
            <v>2003</v>
          </cell>
          <cell r="BM173">
            <v>3906</v>
          </cell>
          <cell r="BN173">
            <v>5536</v>
          </cell>
          <cell r="BO173">
            <v>6939</v>
          </cell>
          <cell r="BP173">
            <v>16381</v>
          </cell>
        </row>
        <row r="174">
          <cell r="A174" t="str">
            <v xml:space="preserve">  % Change</v>
          </cell>
        </row>
        <row r="175">
          <cell r="A175" t="str">
            <v>39220:Biguanides TRx</v>
          </cell>
          <cell r="Q175">
            <v>2521366</v>
          </cell>
          <cell r="R175">
            <v>2562000</v>
          </cell>
          <cell r="S175">
            <v>2377258</v>
          </cell>
          <cell r="T175">
            <v>7460624</v>
          </cell>
          <cell r="U175">
            <v>2600133</v>
          </cell>
          <cell r="V175">
            <v>2519619</v>
          </cell>
          <cell r="W175">
            <v>2599855</v>
          </cell>
          <cell r="X175">
            <v>7719607</v>
          </cell>
          <cell r="Y175">
            <v>2663144</v>
          </cell>
          <cell r="Z175">
            <v>2501457</v>
          </cell>
          <cell r="AA175">
            <v>2727995</v>
          </cell>
          <cell r="AB175">
            <v>7892596</v>
          </cell>
          <cell r="AC175">
            <v>2780297</v>
          </cell>
          <cell r="AD175">
            <v>2791983</v>
          </cell>
          <cell r="AE175">
            <v>2636988</v>
          </cell>
          <cell r="AF175">
            <v>8209268</v>
          </cell>
          <cell r="AG175">
            <v>2823132</v>
          </cell>
          <cell r="AH175">
            <v>2792937</v>
          </cell>
          <cell r="AI175">
            <v>2684281</v>
          </cell>
          <cell r="AJ175">
            <v>8300350</v>
          </cell>
          <cell r="AK175">
            <v>2836607</v>
          </cell>
          <cell r="AL175">
            <v>2734692</v>
          </cell>
          <cell r="AM175">
            <v>2901274</v>
          </cell>
          <cell r="AN175">
            <v>8472573</v>
          </cell>
          <cell r="AO175">
            <v>2877064</v>
          </cell>
          <cell r="AP175">
            <v>2647932</v>
          </cell>
          <cell r="AQ175">
            <v>2908595</v>
          </cell>
          <cell r="AR175">
            <v>8433591</v>
          </cell>
          <cell r="AS175">
            <v>2839074</v>
          </cell>
          <cell r="AT175">
            <v>2930338</v>
          </cell>
          <cell r="AU175">
            <v>2865179</v>
          </cell>
          <cell r="AV175">
            <v>8634591</v>
          </cell>
          <cell r="AW175">
            <v>2948178</v>
          </cell>
          <cell r="AX175">
            <v>2879237</v>
          </cell>
          <cell r="AY175">
            <v>2885095</v>
          </cell>
          <cell r="AZ175">
            <v>8712510</v>
          </cell>
          <cell r="BA175">
            <v>2999875</v>
          </cell>
          <cell r="BB175">
            <v>2801376</v>
          </cell>
          <cell r="BC175">
            <v>3096160</v>
          </cell>
          <cell r="BD175">
            <v>8897411</v>
          </cell>
          <cell r="BE175">
            <v>3024912</v>
          </cell>
          <cell r="BF175">
            <v>2841421</v>
          </cell>
          <cell r="BG175">
            <v>3160871</v>
          </cell>
          <cell r="BH175">
            <v>9027204</v>
          </cell>
          <cell r="BI175">
            <v>3023541</v>
          </cell>
          <cell r="BJ175">
            <v>3000127</v>
          </cell>
          <cell r="BK175">
            <v>3122828</v>
          </cell>
          <cell r="BL175">
            <v>9146496</v>
          </cell>
          <cell r="BM175">
            <v>3117125</v>
          </cell>
          <cell r="BN175">
            <v>3148730</v>
          </cell>
          <cell r="BO175">
            <v>3083123</v>
          </cell>
          <cell r="BP175">
            <v>9348978</v>
          </cell>
        </row>
        <row r="176">
          <cell r="A176" t="str">
            <v>39220:Biguanides NRx</v>
          </cell>
          <cell r="Q176">
            <v>823001</v>
          </cell>
          <cell r="R176">
            <v>835625</v>
          </cell>
          <cell r="S176">
            <v>739633</v>
          </cell>
          <cell r="T176">
            <v>2398259</v>
          </cell>
          <cell r="U176">
            <v>835386</v>
          </cell>
          <cell r="V176">
            <v>808866</v>
          </cell>
          <cell r="W176">
            <v>809840</v>
          </cell>
          <cell r="X176">
            <v>2454092</v>
          </cell>
          <cell r="Y176">
            <v>911315</v>
          </cell>
          <cell r="Z176">
            <v>1195207</v>
          </cell>
          <cell r="AA176">
            <v>1155876</v>
          </cell>
          <cell r="AB176">
            <v>3262398</v>
          </cell>
          <cell r="AC176">
            <v>1049858</v>
          </cell>
          <cell r="AD176">
            <v>962375</v>
          </cell>
          <cell r="AE176">
            <v>865236</v>
          </cell>
          <cell r="AF176">
            <v>2877469</v>
          </cell>
          <cell r="AG176">
            <v>917864</v>
          </cell>
          <cell r="AH176">
            <v>901145</v>
          </cell>
          <cell r="AI176">
            <v>857275</v>
          </cell>
          <cell r="AJ176">
            <v>2676284</v>
          </cell>
          <cell r="AK176">
            <v>917165</v>
          </cell>
          <cell r="AL176">
            <v>867184</v>
          </cell>
          <cell r="AM176">
            <v>900139</v>
          </cell>
          <cell r="AN176">
            <v>2684488</v>
          </cell>
          <cell r="AO176">
            <v>971901</v>
          </cell>
          <cell r="AP176">
            <v>900026</v>
          </cell>
          <cell r="AQ176">
            <v>972201</v>
          </cell>
          <cell r="AR176">
            <v>2844128</v>
          </cell>
          <cell r="AS176">
            <v>929806</v>
          </cell>
          <cell r="AT176">
            <v>953883</v>
          </cell>
          <cell r="AU176">
            <v>929398</v>
          </cell>
          <cell r="AV176">
            <v>2813087</v>
          </cell>
          <cell r="AW176">
            <v>937915</v>
          </cell>
          <cell r="AX176">
            <v>895019</v>
          </cell>
          <cell r="AY176">
            <v>906283</v>
          </cell>
          <cell r="AZ176">
            <v>2739217</v>
          </cell>
          <cell r="BA176">
            <v>962217</v>
          </cell>
          <cell r="BB176">
            <v>861453</v>
          </cell>
          <cell r="BC176">
            <v>1034896</v>
          </cell>
          <cell r="BD176">
            <v>2858566</v>
          </cell>
          <cell r="BE176">
            <v>1021758</v>
          </cell>
          <cell r="BF176">
            <v>961558</v>
          </cell>
          <cell r="BG176">
            <v>1053939</v>
          </cell>
          <cell r="BH176">
            <v>3037255</v>
          </cell>
          <cell r="BI176">
            <v>986990</v>
          </cell>
          <cell r="BJ176">
            <v>959986</v>
          </cell>
          <cell r="BK176">
            <v>997691</v>
          </cell>
          <cell r="BL176">
            <v>2944667</v>
          </cell>
          <cell r="BM176">
            <v>989425</v>
          </cell>
          <cell r="BN176">
            <v>1017209</v>
          </cell>
          <cell r="BO176">
            <v>997811</v>
          </cell>
          <cell r="BP176">
            <v>3004445</v>
          </cell>
        </row>
        <row r="177">
          <cell r="A177" t="str">
            <v>TRx Market Growth</v>
          </cell>
          <cell r="AG177">
            <v>0.11968353662260856</v>
          </cell>
          <cell r="AH177">
            <v>9.0139344262295085E-2</v>
          </cell>
          <cell r="AI177">
            <v>0.12915005439039429</v>
          </cell>
          <cell r="AJ177">
            <v>0.1125543922331429</v>
          </cell>
          <cell r="AK177">
            <v>9.0946886178514763E-2</v>
          </cell>
          <cell r="AL177">
            <v>8.5359334089796901E-2</v>
          </cell>
          <cell r="AM177">
            <v>0.11593685032434498</v>
          </cell>
          <cell r="AN177">
            <v>9.7539421372098367E-2</v>
          </cell>
          <cell r="AO177">
            <v>8.0326110792356742E-2</v>
          </cell>
          <cell r="AP177">
            <v>5.8555873636844558E-2</v>
          </cell>
          <cell r="AQ177">
            <v>6.6202467379888885E-2</v>
          </cell>
          <cell r="AR177">
            <v>6.8544620806639589E-2</v>
          </cell>
          <cell r="AS177">
            <v>2.1140547214919758E-2</v>
          </cell>
          <cell r="AT177">
            <v>4.9554384822543707E-2</v>
          </cell>
          <cell r="AU177">
            <v>8.6534713089327697E-2</v>
          </cell>
          <cell r="AV177">
            <v>5.1810100486425759E-2</v>
          </cell>
          <cell r="AW177">
            <v>4.4293359290320078E-2</v>
          </cell>
          <cell r="AX177">
            <v>3.0899372237898737E-2</v>
          </cell>
          <cell r="AY177">
            <v>7.4811094665573341E-2</v>
          </cell>
          <cell r="AZ177">
            <v>4.965573740866347E-2</v>
          </cell>
          <cell r="BA177">
            <v>5.7557497390368084E-2</v>
          </cell>
          <cell r="BB177">
            <v>2.4384464502766656E-2</v>
          </cell>
          <cell r="BC177">
            <v>6.7172559365299422E-2</v>
          </cell>
          <cell r="BD177">
            <v>5.014273704103811E-2</v>
          </cell>
          <cell r="BE177">
            <v>5.1388498830752471E-2</v>
          </cell>
          <cell r="BF177">
            <v>7.3071740512973937E-2</v>
          </cell>
          <cell r="BG177">
            <v>8.6734660549165454E-2</v>
          </cell>
          <cell r="BH177">
            <v>7.0386742729164897E-2</v>
          </cell>
          <cell r="BI177">
            <v>6.497435431411791E-2</v>
          </cell>
          <cell r="BJ177">
            <v>2.3816023953550758E-2</v>
          </cell>
          <cell r="BK177">
            <v>8.9924224629595484E-2</v>
          </cell>
          <cell r="BL177">
            <v>5.9285379006370986E-2</v>
          </cell>
          <cell r="BM177">
            <v>5.7305562961259549E-2</v>
          </cell>
          <cell r="BN177">
            <v>9.3598755503628173E-2</v>
          </cell>
          <cell r="BO177">
            <v>6.8638294406250022E-2</v>
          </cell>
          <cell r="BP177">
            <v>7.3052197357592608E-2</v>
          </cell>
        </row>
        <row r="178">
          <cell r="A178" t="str">
            <v>NRx Market Growth</v>
          </cell>
          <cell r="AG178">
            <v>0.11526474451428359</v>
          </cell>
          <cell r="AH178">
            <v>7.840837696335079E-2</v>
          </cell>
          <cell r="AI178">
            <v>0.15905455813896885</v>
          </cell>
          <cell r="AJ178">
            <v>0.1159278459916131</v>
          </cell>
          <cell r="AK178">
            <v>9.7893668316203497E-2</v>
          </cell>
          <cell r="AL178">
            <v>7.2098468720406039E-2</v>
          </cell>
          <cell r="AM178">
            <v>0.11150227205373908</v>
          </cell>
          <cell r="AN178">
            <v>9.3882380937633902E-2</v>
          </cell>
          <cell r="AO178">
            <v>6.6481951904665326E-2</v>
          </cell>
          <cell r="AP178">
            <v>-0.24697060843853824</v>
          </cell>
          <cell r="AQ178">
            <v>-0.15890545352615681</v>
          </cell>
          <cell r="AR178">
            <v>-0.12820937236964958</v>
          </cell>
          <cell r="AS178">
            <v>-0.11435070266645586</v>
          </cell>
          <cell r="AT178">
            <v>-8.8240031172879263E-3</v>
          </cell>
          <cell r="AU178">
            <v>7.4155490525128487E-2</v>
          </cell>
          <cell r="AV178">
            <v>-2.2374524278106933E-2</v>
          </cell>
          <cell r="AW178">
            <v>2.1845284268693366E-2</v>
          </cell>
          <cell r="AX178">
            <v>-6.7980180770020882E-3</v>
          </cell>
          <cell r="AY178">
            <v>5.7167186725379793E-2</v>
          </cell>
          <cell r="AZ178">
            <v>2.3515067907591281E-2</v>
          </cell>
          <cell r="BA178">
            <v>4.9120932438547094E-2</v>
          </cell>
          <cell r="BB178">
            <v>-6.6087473938633012E-3</v>
          </cell>
          <cell r="BC178">
            <v>0.14970687860430454</v>
          </cell>
          <cell r="BD178">
            <v>6.4845884950873289E-2</v>
          </cell>
          <cell r="BE178">
            <v>5.1298434717116148E-2</v>
          </cell>
          <cell r="BF178">
            <v>6.8366913844711164E-2</v>
          </cell>
          <cell r="BG178">
            <v>8.40752066702255E-2</v>
          </cell>
          <cell r="BH178">
            <v>6.7903765231382085E-2</v>
          </cell>
          <cell r="BI178">
            <v>6.1501001284138823E-2</v>
          </cell>
          <cell r="BJ178">
            <v>6.3980593007737507E-3</v>
          </cell>
          <cell r="BK178">
            <v>7.348089838798888E-2</v>
          </cell>
          <cell r="BL178">
            <v>4.677423769687894E-2</v>
          </cell>
          <cell r="BM178">
            <v>5.4919688884387252E-2</v>
          </cell>
          <cell r="BN178">
            <v>0.13652224142727687</v>
          </cell>
          <cell r="BO178">
            <v>0.10099273626450023</v>
          </cell>
          <cell r="BP178">
            <v>9.6826209825654486E-2</v>
          </cell>
        </row>
        <row r="179">
          <cell r="A179" t="str">
            <v>TRx Market Share</v>
          </cell>
          <cell r="BJ179">
            <v>2.4665622488647981E-5</v>
          </cell>
          <cell r="BK179">
            <v>6.3724290931168801E-4</v>
          </cell>
          <cell r="BL179">
            <v>2.2566018724547629E-4</v>
          </cell>
          <cell r="BM179">
            <v>1.4936840838914063E-3</v>
          </cell>
          <cell r="BN179">
            <v>2.358728757308502E-3</v>
          </cell>
          <cell r="BO179">
            <v>3.3644457259733068E-3</v>
          </cell>
          <cell r="BP179">
            <v>2.401973777240678E-3</v>
          </cell>
        </row>
        <row r="180">
          <cell r="A180" t="str">
            <v>NRx Market Share</v>
          </cell>
          <cell r="BJ180">
            <v>6.5625957045206915E-5</v>
          </cell>
          <cell r="BK180">
            <v>1.9444898270105674E-3</v>
          </cell>
          <cell r="BL180">
            <v>6.8021273712783146E-4</v>
          </cell>
          <cell r="BM180">
            <v>3.947747429062334E-3</v>
          </cell>
          <cell r="BN180">
            <v>5.4423427240616233E-3</v>
          </cell>
          <cell r="BO180">
            <v>6.9542227936953988E-3</v>
          </cell>
          <cell r="BP180">
            <v>5.4522549089765331E-3</v>
          </cell>
        </row>
        <row r="181">
          <cell r="A181" t="str">
            <v>Price Change (YoY)</v>
          </cell>
          <cell r="AZ181">
            <v>0</v>
          </cell>
          <cell r="BD181">
            <v>0</v>
          </cell>
          <cell r="BH181">
            <v>0</v>
          </cell>
          <cell r="BL181">
            <v>0</v>
          </cell>
        </row>
        <row r="183">
          <cell r="A183" t="str">
            <v xml:space="preserve">TRx + Fortamet Price Change </v>
          </cell>
          <cell r="AZ183">
            <v>0</v>
          </cell>
          <cell r="BD183">
            <v>0</v>
          </cell>
          <cell r="BH183">
            <v>0</v>
          </cell>
          <cell r="BL183">
            <v>0</v>
          </cell>
        </row>
        <row r="185">
          <cell r="A185" t="str">
            <v xml:space="preserve">TOTAL FORTAMET REPORTED SALES </v>
          </cell>
          <cell r="BL185">
            <v>1.6</v>
          </cell>
          <cell r="BP185">
            <v>2.5</v>
          </cell>
        </row>
        <row r="186">
          <cell r="A186" t="str">
            <v xml:space="preserve">  % Change</v>
          </cell>
          <cell r="AZ186">
            <v>0</v>
          </cell>
          <cell r="BD186">
            <v>0</v>
          </cell>
          <cell r="BH186">
            <v>0</v>
          </cell>
          <cell r="BL186">
            <v>0</v>
          </cell>
        </row>
        <row r="188">
          <cell r="A188" t="str">
            <v>TOTAL FORTAMET SALES (IMS)</v>
          </cell>
          <cell r="BJ188">
            <v>0.73705399999999999</v>
          </cell>
          <cell r="BK188">
            <v>1.303658</v>
          </cell>
          <cell r="BL188">
            <v>2.0407120000000001</v>
          </cell>
          <cell r="BM188">
            <v>0.25991900000000001</v>
          </cell>
          <cell r="BN188">
            <v>0.39205099999999998</v>
          </cell>
        </row>
        <row r="189">
          <cell r="A189" t="str">
            <v xml:space="preserve">  % Change</v>
          </cell>
        </row>
        <row r="191">
          <cell r="A191" t="str">
            <v>REPORTED SALES/TRx FORTAMET</v>
          </cell>
          <cell r="BL191">
            <v>775.19379844961236</v>
          </cell>
          <cell r="BP191">
            <v>111.32882080513004</v>
          </cell>
        </row>
        <row r="192">
          <cell r="A192" t="str">
            <v>IMS SALES/REPORTED SALES</v>
          </cell>
          <cell r="BL192">
            <v>1.2754449999999999</v>
          </cell>
        </row>
        <row r="194">
          <cell r="A194" t="str">
            <v>TRx OTHER BRANDS2</v>
          </cell>
          <cell r="U194">
            <v>38623</v>
          </cell>
          <cell r="V194">
            <v>67912</v>
          </cell>
          <cell r="W194">
            <v>111558</v>
          </cell>
          <cell r="X194">
            <v>218093</v>
          </cell>
          <cell r="Y194">
            <v>152587</v>
          </cell>
          <cell r="Z194">
            <v>166544</v>
          </cell>
          <cell r="AA194">
            <v>136123</v>
          </cell>
          <cell r="AB194">
            <v>455254</v>
          </cell>
          <cell r="AC194">
            <v>103228</v>
          </cell>
          <cell r="AD194">
            <v>90766</v>
          </cell>
          <cell r="AE194">
            <v>72448</v>
          </cell>
          <cell r="AF194">
            <v>266442</v>
          </cell>
          <cell r="AG194">
            <v>69626</v>
          </cell>
          <cell r="AH194">
            <v>68731</v>
          </cell>
          <cell r="AI194">
            <v>68653</v>
          </cell>
          <cell r="AJ194">
            <v>207010</v>
          </cell>
          <cell r="AK194">
            <v>71290</v>
          </cell>
          <cell r="AL194">
            <v>69012</v>
          </cell>
          <cell r="AM194">
            <v>71550</v>
          </cell>
          <cell r="AN194">
            <v>211852</v>
          </cell>
          <cell r="AO194">
            <v>71783</v>
          </cell>
          <cell r="AP194">
            <v>66027</v>
          </cell>
          <cell r="AQ194">
            <v>57336</v>
          </cell>
          <cell r="AR194">
            <v>195146</v>
          </cell>
          <cell r="AS194">
            <v>44502</v>
          </cell>
          <cell r="AT194">
            <v>38165</v>
          </cell>
          <cell r="AU194">
            <v>32825</v>
          </cell>
          <cell r="AV194">
            <v>115492</v>
          </cell>
          <cell r="AW194">
            <v>28258</v>
          </cell>
          <cell r="AX194">
            <v>25513</v>
          </cell>
          <cell r="AY194">
            <v>27811</v>
          </cell>
          <cell r="AZ194">
            <v>81582</v>
          </cell>
          <cell r="BA194">
            <v>28093</v>
          </cell>
          <cell r="BB194">
            <v>26263</v>
          </cell>
          <cell r="BC194">
            <v>51444</v>
          </cell>
          <cell r="BD194">
            <v>105800</v>
          </cell>
          <cell r="BE194">
            <v>48706</v>
          </cell>
          <cell r="BF194">
            <v>49615</v>
          </cell>
          <cell r="BG194">
            <v>55519</v>
          </cell>
          <cell r="BH194">
            <v>153840</v>
          </cell>
          <cell r="BI194">
            <v>49785</v>
          </cell>
          <cell r="BJ194">
            <v>40683</v>
          </cell>
          <cell r="BK194">
            <v>37809</v>
          </cell>
          <cell r="BL194">
            <v>128277</v>
          </cell>
          <cell r="BM194">
            <v>29943</v>
          </cell>
          <cell r="BN194">
            <v>25377</v>
          </cell>
          <cell r="BO194">
            <v>28764</v>
          </cell>
          <cell r="BP194">
            <v>84084</v>
          </cell>
        </row>
        <row r="195">
          <cell r="A195" t="str">
            <v xml:space="preserve">  % Change</v>
          </cell>
          <cell r="AK195">
            <v>0.84579136783781683</v>
          </cell>
          <cell r="AL195">
            <v>1.6197431970785825E-2</v>
          </cell>
          <cell r="AM195">
            <v>-0.35862959178185339</v>
          </cell>
          <cell r="AN195">
            <v>-2.8616232524656948E-2</v>
          </cell>
          <cell r="AO195">
            <v>-0.52956018533688975</v>
          </cell>
          <cell r="AP195">
            <v>-0.60354621001056774</v>
          </cell>
          <cell r="AQ195">
            <v>-0.57879270953475903</v>
          </cell>
          <cell r="AR195">
            <v>-0.57134698432084075</v>
          </cell>
          <cell r="AS195">
            <v>-0.56889603595923588</v>
          </cell>
          <cell r="AT195">
            <v>-0.57952316946874383</v>
          </cell>
          <cell r="AU195">
            <v>-0.54691640901060068</v>
          </cell>
          <cell r="AV195">
            <v>-0.56653980978974783</v>
          </cell>
          <cell r="AW195">
            <v>-0.59414586505041223</v>
          </cell>
          <cell r="AX195">
            <v>-0.62879923178769404</v>
          </cell>
          <cell r="AY195">
            <v>-0.5949048111517341</v>
          </cell>
          <cell r="AZ195">
            <v>-0.60590309646876961</v>
          </cell>
          <cell r="BA195">
            <v>-0.60593351101136206</v>
          </cell>
          <cell r="BB195">
            <v>-0.61944299542108616</v>
          </cell>
          <cell r="BC195">
            <v>-0.28100628930817606</v>
          </cell>
          <cell r="BD195">
            <v>-0.50059475482884275</v>
          </cell>
          <cell r="BE195">
            <v>-0.32148280233481463</v>
          </cell>
          <cell r="BF195">
            <v>-0.24856498099262425</v>
          </cell>
          <cell r="BG195">
            <v>-3.1690386493651412E-2</v>
          </cell>
          <cell r="BH195">
            <v>-0.21166716202228075</v>
          </cell>
          <cell r="BI195">
            <v>0.11871376567345293</v>
          </cell>
          <cell r="BJ195">
            <v>6.5976680204375748E-2</v>
          </cell>
          <cell r="BK195">
            <v>0.15183549124143192</v>
          </cell>
          <cell r="BL195">
            <v>0.1107003082464586</v>
          </cell>
          <cell r="BM195">
            <v>5.9629131573359695E-2</v>
          </cell>
          <cell r="BN195">
            <v>-5.3306157645122143E-3</v>
          </cell>
          <cell r="BO195">
            <v>3.4267016648088955E-2</v>
          </cell>
          <cell r="BP195">
            <v>3.066852982275492E-2</v>
          </cell>
        </row>
        <row r="196">
          <cell r="D196" t="str">
            <v>Add</v>
          </cell>
        </row>
        <row r="197">
          <cell r="A197" t="str">
            <v xml:space="preserve">TOTAL OTHER BRANDS REPORTED SALES </v>
          </cell>
          <cell r="D197" t="str">
            <v xml:space="preserve">Entex </v>
          </cell>
          <cell r="L197">
            <v>5</v>
          </cell>
          <cell r="P197">
            <v>6.5</v>
          </cell>
          <cell r="T197">
            <v>14</v>
          </cell>
          <cell r="X197">
            <v>3.7</v>
          </cell>
          <cell r="AB197">
            <v>5.6</v>
          </cell>
          <cell r="AF197">
            <v>7.4</v>
          </cell>
          <cell r="AJ197">
            <v>4</v>
          </cell>
          <cell r="AN197">
            <v>4.7859999999999996</v>
          </cell>
          <cell r="AR197">
            <v>3.8290000000000006</v>
          </cell>
          <cell r="AV197">
            <v>3.601</v>
          </cell>
          <cell r="AZ197">
            <v>1.95</v>
          </cell>
          <cell r="BD197">
            <v>5.1580000000000004</v>
          </cell>
          <cell r="BH197">
            <v>4.8</v>
          </cell>
          <cell r="BL197">
            <v>3</v>
          </cell>
          <cell r="BP197">
            <v>2</v>
          </cell>
        </row>
        <row r="198">
          <cell r="A198" t="str">
            <v xml:space="preserve">  % Change</v>
          </cell>
          <cell r="D198" t="str">
            <v>Franchise</v>
          </cell>
          <cell r="AB198">
            <v>0.12</v>
          </cell>
          <cell r="AF198">
            <v>0.13846153846153841</v>
          </cell>
          <cell r="AJ198">
            <v>-0.7142857142857143</v>
          </cell>
          <cell r="AN198">
            <v>0.2935135135135134</v>
          </cell>
          <cell r="AR198">
            <v>-0.31624999999999998</v>
          </cell>
          <cell r="AV198">
            <v>-0.51337837837837841</v>
          </cell>
          <cell r="AZ198">
            <v>-0.51249999999999996</v>
          </cell>
          <cell r="BD198">
            <v>7.7726702883410104E-2</v>
          </cell>
          <cell r="BH198">
            <v>0.25359101593105215</v>
          </cell>
          <cell r="BL198">
            <v>-0.16689808386559291</v>
          </cell>
          <cell r="BP198">
            <v>2.5641025641025772E-2</v>
          </cell>
        </row>
        <row r="199">
          <cell r="D199" t="str">
            <v>&amp; Other brands</v>
          </cell>
        </row>
        <row r="200">
          <cell r="A200" t="str">
            <v>TOTAL OTHER BRANDS SALES (IMS)</v>
          </cell>
          <cell r="U200">
            <v>2.3057129999999999</v>
          </cell>
          <cell r="V200">
            <v>2.1595779999999998</v>
          </cell>
          <cell r="W200">
            <v>3.813701</v>
          </cell>
          <cell r="X200">
            <v>8.2789920000000006</v>
          </cell>
          <cell r="Y200">
            <v>3.6530779999999998</v>
          </cell>
          <cell r="Z200">
            <v>4.0586199999999995</v>
          </cell>
          <cell r="AA200">
            <v>3.4080089999999998</v>
          </cell>
          <cell r="AB200">
            <v>11.119706999999998</v>
          </cell>
          <cell r="AC200">
            <v>2.3169339999999998</v>
          </cell>
          <cell r="AD200">
            <v>2.2967879999999994</v>
          </cell>
          <cell r="AE200">
            <v>2.2666969999999997</v>
          </cell>
          <cell r="AF200">
            <v>6.8804189999999998</v>
          </cell>
          <cell r="AG200">
            <v>1.6133150000000001</v>
          </cell>
          <cell r="AH200">
            <v>1.6466179999999999</v>
          </cell>
          <cell r="AI200">
            <v>2.1559680000000001</v>
          </cell>
          <cell r="AJ200">
            <v>5.4159009999999999</v>
          </cell>
          <cell r="AK200">
            <v>1.689689</v>
          </cell>
          <cell r="AL200">
            <v>2.1365940000000001</v>
          </cell>
          <cell r="AM200">
            <v>2.1537660000000001</v>
          </cell>
          <cell r="AN200">
            <v>5.9800489999999993</v>
          </cell>
          <cell r="AO200">
            <v>2.141327</v>
          </cell>
          <cell r="AP200">
            <v>1.785004</v>
          </cell>
          <cell r="AQ200">
            <v>2.094414</v>
          </cell>
          <cell r="AR200">
            <v>6.0207449999999998</v>
          </cell>
          <cell r="AS200">
            <v>1.2009091000000001</v>
          </cell>
          <cell r="AT200">
            <v>1.088487</v>
          </cell>
          <cell r="AU200">
            <v>1.2716069999999999</v>
          </cell>
          <cell r="AV200">
            <v>3.5610030999999998</v>
          </cell>
          <cell r="AW200">
            <v>0.91154199999999996</v>
          </cell>
          <cell r="AX200">
            <v>0.87930200000000003</v>
          </cell>
          <cell r="AY200">
            <v>1.216961</v>
          </cell>
          <cell r="AZ200">
            <v>3.0078049999999998</v>
          </cell>
          <cell r="BA200">
            <v>0.90630300000000008</v>
          </cell>
          <cell r="BB200">
            <v>1.4312119999999999</v>
          </cell>
          <cell r="BC200">
            <v>2.4681959999999998</v>
          </cell>
          <cell r="BD200">
            <v>4.8057109999999996</v>
          </cell>
          <cell r="BE200">
            <v>1.6627609999999999</v>
          </cell>
          <cell r="BF200">
            <v>1.54138</v>
          </cell>
          <cell r="BG200">
            <v>2.060298</v>
          </cell>
          <cell r="BH200">
            <v>5.2644390000000003</v>
          </cell>
          <cell r="BI200">
            <v>1.6095929999999998</v>
          </cell>
          <cell r="BJ200">
            <v>1.3740379999999999</v>
          </cell>
          <cell r="BK200">
            <v>1.52769</v>
          </cell>
          <cell r="BL200">
            <v>4.5113210000000006</v>
          </cell>
          <cell r="BM200">
            <v>1.1099810000000001</v>
          </cell>
          <cell r="BN200">
            <v>1.0689150000000001</v>
          </cell>
        </row>
        <row r="201">
          <cell r="A201" t="str">
            <v xml:space="preserve">  % Change</v>
          </cell>
          <cell r="AK201">
            <v>-0.26717288751895829</v>
          </cell>
          <cell r="AL201">
            <v>-1.064282003243211E-2</v>
          </cell>
          <cell r="AM201">
            <v>-0.43525567421252997</v>
          </cell>
          <cell r="AN201">
            <v>-0.27768392577260625</v>
          </cell>
          <cell r="AO201">
            <v>-0.41382937895112015</v>
          </cell>
          <cell r="AP201">
            <v>-0.56019435177474108</v>
          </cell>
          <cell r="AQ201">
            <v>-0.38544352435688989</v>
          </cell>
          <cell r="AR201">
            <v>-0.45855183054733362</v>
          </cell>
          <cell r="AS201">
            <v>-0.48168178290792907</v>
          </cell>
          <cell r="AT201">
            <v>-0.52608294714183446</v>
          </cell>
          <cell r="AU201">
            <v>-0.43900441920556643</v>
          </cell>
          <cell r="AV201">
            <v>-0.48244385988702143</v>
          </cell>
          <cell r="AW201">
            <v>-0.43498820751062262</v>
          </cell>
          <cell r="AX201">
            <v>-0.46599514884448001</v>
          </cell>
          <cell r="AY201">
            <v>-0.43553846810342278</v>
          </cell>
          <cell r="AZ201">
            <v>-0.44463442001617093</v>
          </cell>
          <cell r="BA201">
            <v>-0.46362733023651093</v>
          </cell>
          <cell r="BB201">
            <v>-0.33014320923862939</v>
          </cell>
          <cell r="BC201">
            <v>0.14599079008583105</v>
          </cell>
          <cell r="BD201">
            <v>-0.19637598287238112</v>
          </cell>
          <cell r="BE201">
            <v>-0.22349038703570268</v>
          </cell>
          <cell r="BF201">
            <v>-0.13648372776755691</v>
          </cell>
          <cell r="BG201">
            <v>-1.6289043140467974E-2</v>
          </cell>
          <cell r="BH201">
            <v>-0.12561668032776663</v>
          </cell>
          <cell r="BI201">
            <v>0.34031210189014294</v>
          </cell>
          <cell r="BJ201">
            <v>0.26233753825263872</v>
          </cell>
          <cell r="BK201">
            <v>0.20138533367620659</v>
          </cell>
          <cell r="BL201">
            <v>0.26686803502080658</v>
          </cell>
          <cell r="BM201">
            <v>0.21769594818450511</v>
          </cell>
          <cell r="BN201">
            <v>0.21564036019479094</v>
          </cell>
        </row>
        <row r="203">
          <cell r="A203" t="str">
            <v>REPORTED SALES/TRx OTHER BRANDS</v>
          </cell>
          <cell r="L203" t="e">
            <v>#DIV/0!</v>
          </cell>
          <cell r="P203" t="e">
            <v>#DIV/0!</v>
          </cell>
          <cell r="T203" t="e">
            <v>#DIV/0!</v>
          </cell>
          <cell r="X203">
            <v>16.965239599620347</v>
          </cell>
          <cell r="AB203">
            <v>12.300825473252294</v>
          </cell>
          <cell r="AF203">
            <v>27.773399088732258</v>
          </cell>
          <cell r="AJ203">
            <v>19.322738031979132</v>
          </cell>
          <cell r="AN203">
            <v>22.591242943186753</v>
          </cell>
          <cell r="AR203">
            <v>19.621206686275919</v>
          </cell>
          <cell r="AV203">
            <v>31.179648806843765</v>
          </cell>
          <cell r="AZ203">
            <v>23.90233139663161</v>
          </cell>
          <cell r="BD203">
            <v>48.752362948960304</v>
          </cell>
          <cell r="BH203">
            <v>31.201248049921997</v>
          </cell>
          <cell r="BL203">
            <v>23.386889309852897</v>
          </cell>
          <cell r="BP203">
            <v>23.785738071452357</v>
          </cell>
        </row>
        <row r="204">
          <cell r="A204" t="str">
            <v>IMS SALES/REPORTED SALES</v>
          </cell>
          <cell r="L204">
            <v>0</v>
          </cell>
          <cell r="P204">
            <v>0</v>
          </cell>
          <cell r="T204">
            <v>0</v>
          </cell>
          <cell r="X204">
            <v>2.2375654054054053</v>
          </cell>
          <cell r="AB204">
            <v>1.9856619642857141</v>
          </cell>
          <cell r="AF204">
            <v>0.92978635135135124</v>
          </cell>
          <cell r="AJ204">
            <v>1.35397525</v>
          </cell>
          <cell r="AN204">
            <v>1.2494878813205181</v>
          </cell>
          <cell r="AR204">
            <v>1.5724066335857922</v>
          </cell>
          <cell r="AV204">
            <v>0.98889283532352124</v>
          </cell>
          <cell r="AZ204">
            <v>1.5424641025641026</v>
          </cell>
          <cell r="BD204">
            <v>0.93170046529662642</v>
          </cell>
          <cell r="BH204">
            <v>1.096758125</v>
          </cell>
          <cell r="BL204">
            <v>1.5037736666666668</v>
          </cell>
        </row>
        <row r="206">
          <cell r="A206" t="str">
            <v>TRx TOTAL BRANDS3</v>
          </cell>
          <cell r="U206">
            <v>38623</v>
          </cell>
          <cell r="V206">
            <v>67912</v>
          </cell>
          <cell r="W206">
            <v>111558</v>
          </cell>
          <cell r="X206">
            <v>218093</v>
          </cell>
          <cell r="Y206">
            <v>152587</v>
          </cell>
          <cell r="Z206">
            <v>166544</v>
          </cell>
          <cell r="AA206">
            <v>136123</v>
          </cell>
          <cell r="AB206">
            <v>455254</v>
          </cell>
          <cell r="AC206">
            <v>103228</v>
          </cell>
          <cell r="AD206">
            <v>90766</v>
          </cell>
          <cell r="AE206">
            <v>72448</v>
          </cell>
          <cell r="AF206">
            <v>266442</v>
          </cell>
          <cell r="AG206">
            <v>69721</v>
          </cell>
          <cell r="AH206">
            <v>71183</v>
          </cell>
          <cell r="AI206">
            <v>73709</v>
          </cell>
          <cell r="AJ206">
            <v>214613</v>
          </cell>
          <cell r="AK206">
            <v>81596</v>
          </cell>
          <cell r="AL206">
            <v>83712</v>
          </cell>
          <cell r="AM206">
            <v>90761</v>
          </cell>
          <cell r="AN206">
            <v>256069</v>
          </cell>
          <cell r="AO206">
            <v>94671</v>
          </cell>
          <cell r="AP206">
            <v>90356</v>
          </cell>
          <cell r="AQ206">
            <v>89683</v>
          </cell>
          <cell r="AR206">
            <v>274710</v>
          </cell>
          <cell r="AS206">
            <v>80787</v>
          </cell>
          <cell r="AT206">
            <v>80357</v>
          </cell>
          <cell r="AU206">
            <v>78297</v>
          </cell>
          <cell r="AV206">
            <v>239441</v>
          </cell>
          <cell r="AW206">
            <v>79835</v>
          </cell>
          <cell r="AX206">
            <v>80481</v>
          </cell>
          <cell r="AY206">
            <v>86276</v>
          </cell>
          <cell r="AZ206">
            <v>246592</v>
          </cell>
          <cell r="BA206">
            <v>92674</v>
          </cell>
          <cell r="BB206">
            <v>88278</v>
          </cell>
          <cell r="BC206">
            <v>121261</v>
          </cell>
          <cell r="BD206">
            <v>302213</v>
          </cell>
          <cell r="BE206">
            <v>116633</v>
          </cell>
          <cell r="BF206">
            <v>114447</v>
          </cell>
          <cell r="BG206">
            <v>130641</v>
          </cell>
          <cell r="BH206">
            <v>361721</v>
          </cell>
          <cell r="BI206">
            <v>121898</v>
          </cell>
          <cell r="BJ206">
            <v>111824</v>
          </cell>
          <cell r="BK206">
            <v>114320</v>
          </cell>
          <cell r="BL206">
            <v>348042</v>
          </cell>
          <cell r="BM206">
            <v>110174</v>
          </cell>
          <cell r="BN206">
            <v>106085</v>
          </cell>
          <cell r="BO206">
            <v>110315</v>
          </cell>
          <cell r="BP206">
            <v>326574</v>
          </cell>
        </row>
        <row r="207">
          <cell r="A207" t="str">
            <v xml:space="preserve">  % Change</v>
          </cell>
          <cell r="AK207">
            <v>1.1126271910519638</v>
          </cell>
          <cell r="AL207">
            <v>0.23265402285310399</v>
          </cell>
          <cell r="AM207">
            <v>-0.18642320586600691</v>
          </cell>
          <cell r="AN207">
            <v>0.17412755109058975</v>
          </cell>
          <cell r="AO207">
            <v>-0.37956051301880234</v>
          </cell>
          <cell r="AP207">
            <v>-0.45746469401479484</v>
          </cell>
          <cell r="AQ207">
            <v>-0.34116203727511152</v>
          </cell>
          <cell r="AR207">
            <v>-0.39657861325765398</v>
          </cell>
          <cell r="AS207">
            <v>-0.21739256790793193</v>
          </cell>
          <cell r="AT207">
            <v>-0.11467950554172268</v>
          </cell>
          <cell r="AU207">
            <v>8.0733767667844569E-2</v>
          </cell>
          <cell r="AV207">
            <v>-0.1013391282155216</v>
          </cell>
          <cell r="AW207">
            <v>0.1450638975344587</v>
          </cell>
          <cell r="AX207">
            <v>0.13062107525673272</v>
          </cell>
          <cell r="AY207">
            <v>0.17049478354068026</v>
          </cell>
          <cell r="AZ207">
            <v>0.14900774883161794</v>
          </cell>
          <cell r="BA207">
            <v>0.13576645914015395</v>
          </cell>
          <cell r="BB207">
            <v>5.4544151376146877E-2</v>
          </cell>
          <cell r="BC207">
            <v>0.33604742124921505</v>
          </cell>
          <cell r="BD207">
            <v>0.18020143008329792</v>
          </cell>
          <cell r="BE207">
            <v>0.23198233883660246</v>
          </cell>
          <cell r="BF207">
            <v>0.26662313515427871</v>
          </cell>
          <cell r="BG207">
            <v>0.45669747889789591</v>
          </cell>
          <cell r="BH207">
            <v>0.31673765061337411</v>
          </cell>
          <cell r="BI207">
            <v>0.50888137942985878</v>
          </cell>
          <cell r="BJ207">
            <v>0.39159002949338584</v>
          </cell>
          <cell r="BK207">
            <v>0.46008148460349685</v>
          </cell>
          <cell r="BL207">
            <v>0.45356058486224171</v>
          </cell>
          <cell r="BM207">
            <v>0.38002129391870731</v>
          </cell>
          <cell r="BN207">
            <v>0.31813720008449198</v>
          </cell>
          <cell r="BO207">
            <v>0.27862905095275625</v>
          </cell>
          <cell r="BP207">
            <v>0.32434953283155976</v>
          </cell>
        </row>
        <row r="209">
          <cell r="A209" t="str">
            <v xml:space="preserve">TOTAL BRANDS REPORTED SALES </v>
          </cell>
          <cell r="L209">
            <v>5</v>
          </cell>
          <cell r="P209">
            <v>6.5</v>
          </cell>
          <cell r="T209">
            <v>14</v>
          </cell>
          <cell r="X209">
            <v>3.7</v>
          </cell>
          <cell r="AB209">
            <v>5.6</v>
          </cell>
          <cell r="AF209">
            <v>7.4</v>
          </cell>
          <cell r="AJ209">
            <v>5.4</v>
          </cell>
          <cell r="AN209">
            <v>7.1859999999999999</v>
          </cell>
          <cell r="AR209">
            <v>7.9290000000000003</v>
          </cell>
          <cell r="AV209">
            <v>10.501000000000001</v>
          </cell>
          <cell r="AZ209">
            <v>12.15</v>
          </cell>
          <cell r="BD209">
            <v>16.058</v>
          </cell>
          <cell r="BH209">
            <v>15.4</v>
          </cell>
          <cell r="BL209">
            <v>19.608000000000001</v>
          </cell>
          <cell r="BP209">
            <v>12.5</v>
          </cell>
        </row>
        <row r="210">
          <cell r="A210" t="str">
            <v xml:space="preserve">  % Change</v>
          </cell>
          <cell r="AB210">
            <v>0.12</v>
          </cell>
          <cell r="AF210">
            <v>0.13846153846153841</v>
          </cell>
          <cell r="AJ210">
            <v>-0.61428571428571432</v>
          </cell>
          <cell r="AN210">
            <v>0.94216216216216209</v>
          </cell>
          <cell r="AR210">
            <v>0.41589285714285729</v>
          </cell>
          <cell r="AV210">
            <v>0.41905405405405416</v>
          </cell>
          <cell r="AZ210">
            <v>1.25</v>
          </cell>
          <cell r="BD210">
            <v>1.2346228778179795</v>
          </cell>
          <cell r="BH210">
            <v>0.94223735653928586</v>
          </cell>
          <cell r="BL210">
            <v>0.8672507380249499</v>
          </cell>
          <cell r="BP210">
            <v>2.880658436214012E-2</v>
          </cell>
        </row>
        <row r="212">
          <cell r="A212" t="str">
            <v>TOTAL BRANDS SALES (IMS)</v>
          </cell>
          <cell r="U212">
            <v>2.3057129999999999</v>
          </cell>
          <cell r="V212">
            <v>2.1595779999999998</v>
          </cell>
          <cell r="W212">
            <v>3.813701</v>
          </cell>
          <cell r="X212">
            <v>8.2789920000000006</v>
          </cell>
          <cell r="Y212">
            <v>3.6530779999999998</v>
          </cell>
          <cell r="Z212">
            <v>4.0586199999999995</v>
          </cell>
          <cell r="AA212">
            <v>3.4080089999999998</v>
          </cell>
          <cell r="AB212">
            <v>11.119706999999998</v>
          </cell>
          <cell r="AC212">
            <v>2.3169339999999998</v>
          </cell>
          <cell r="AD212">
            <v>2.2967879999999994</v>
          </cell>
          <cell r="AE212">
            <v>2.2666969999999997</v>
          </cell>
          <cell r="AF212">
            <v>6.8804189999999998</v>
          </cell>
          <cell r="AG212">
            <v>2.9357500000000001</v>
          </cell>
          <cell r="AH212">
            <v>2.0593759999999999</v>
          </cell>
          <cell r="AI212">
            <v>2.5119830000000003</v>
          </cell>
          <cell r="AJ212">
            <v>7.5071089999999998</v>
          </cell>
          <cell r="AK212">
            <v>2.182032</v>
          </cell>
          <cell r="AL212">
            <v>2.8360690000000002</v>
          </cell>
          <cell r="AM212">
            <v>3.2040480000000002</v>
          </cell>
          <cell r="AN212">
            <v>8.2221489999999982</v>
          </cell>
          <cell r="AO212">
            <v>3.1426889999999998</v>
          </cell>
          <cell r="AP212">
            <v>2.9704139999999999</v>
          </cell>
          <cell r="AQ212">
            <v>3.8835379999999997</v>
          </cell>
          <cell r="AR212">
            <v>9.9966410000000003</v>
          </cell>
          <cell r="AS212">
            <v>2.8218940999999997</v>
          </cell>
          <cell r="AT212">
            <v>2.8923899999999998</v>
          </cell>
          <cell r="AU212">
            <v>3.9075299999999999</v>
          </cell>
          <cell r="AV212">
            <v>9.6218140999999999</v>
          </cell>
          <cell r="AW212">
            <v>3.4408559999999997</v>
          </cell>
          <cell r="AX212">
            <v>3.4086159999999999</v>
          </cell>
          <cell r="AY212">
            <v>4.5556640000000002</v>
          </cell>
          <cell r="AZ212">
            <v>11.405135999999999</v>
          </cell>
          <cell r="BA212">
            <v>3.7999749999999999</v>
          </cell>
          <cell r="BB212">
            <v>4.4659139999999997</v>
          </cell>
          <cell r="BC212">
            <v>6.335572</v>
          </cell>
          <cell r="BD212">
            <v>14.601461</v>
          </cell>
          <cell r="BE212">
            <v>5.1159689999999998</v>
          </cell>
          <cell r="BF212">
            <v>5.2657059999999998</v>
          </cell>
          <cell r="BG212">
            <v>6.9593640000000008</v>
          </cell>
          <cell r="BH212">
            <v>17.341039000000002</v>
          </cell>
          <cell r="BI212">
            <v>5.5545809999999998</v>
          </cell>
          <cell r="BJ212">
            <v>6.1509959999999992</v>
          </cell>
          <cell r="BK212">
            <v>7.3787400000000005</v>
          </cell>
          <cell r="BL212">
            <v>19.084316999999999</v>
          </cell>
          <cell r="BM212">
            <v>5.7334230000000002</v>
          </cell>
          <cell r="BN212">
            <v>5.9531400000000012</v>
          </cell>
        </row>
        <row r="213">
          <cell r="A213" t="str">
            <v xml:space="preserve">  % Change</v>
          </cell>
          <cell r="AK213">
            <v>-5.3641107978313007E-2</v>
          </cell>
          <cell r="AL213">
            <v>0.31325147783502172</v>
          </cell>
          <cell r="AM213">
            <v>-0.15985862551888563</v>
          </cell>
          <cell r="AN213">
            <v>-6.8659324710064196E-3</v>
          </cell>
          <cell r="AO213">
            <v>-0.13971478298574513</v>
          </cell>
          <cell r="AP213">
            <v>-0.26812216960444679</v>
          </cell>
          <cell r="AQ213">
            <v>0.13953278879251774</v>
          </cell>
          <cell r="AR213">
            <v>-0.10099780506806499</v>
          </cell>
          <cell r="AS213">
            <v>0.2179432387802156</v>
          </cell>
          <cell r="AT213">
            <v>0.25931953667469543</v>
          </cell>
          <cell r="AU213">
            <v>0.7238872244503789</v>
          </cell>
          <cell r="AV213">
            <v>0.39843432500259079</v>
          </cell>
          <cell r="AW213">
            <v>0.17205347866814269</v>
          </cell>
          <cell r="AX213">
            <v>0.65516933284645451</v>
          </cell>
          <cell r="AY213">
            <v>0.81357278293682711</v>
          </cell>
          <cell r="AZ213">
            <v>0.51924475853487673</v>
          </cell>
          <cell r="BA213">
            <v>0.74148454284813425</v>
          </cell>
          <cell r="BB213">
            <v>0.5746845369418021</v>
          </cell>
          <cell r="BC213">
            <v>0.97736488342247041</v>
          </cell>
          <cell r="BD213">
            <v>0.77586917969985758</v>
          </cell>
          <cell r="BE213">
            <v>0.62789541058628462</v>
          </cell>
          <cell r="BF213">
            <v>0.77271787703666894</v>
          </cell>
          <cell r="BG213">
            <v>0.79201645509841834</v>
          </cell>
          <cell r="BH213">
            <v>0.73468658122263286</v>
          </cell>
          <cell r="BI213">
            <v>0.96838747421457105</v>
          </cell>
          <cell r="BJ213">
            <v>1.1266136309418853</v>
          </cell>
          <cell r="BK213">
            <v>0.88833866918488158</v>
          </cell>
          <cell r="BL213">
            <v>0.98344270650583443</v>
          </cell>
          <cell r="BM213">
            <v>0.66627810056567349</v>
          </cell>
          <cell r="BN213">
            <v>0.7464976987727574</v>
          </cell>
        </row>
        <row r="215">
          <cell r="A215" t="str">
            <v>REPORTED SALES/TRx TOTAL BRANDS</v>
          </cell>
          <cell r="X215">
            <v>16.965239599620347</v>
          </cell>
          <cell r="AB215">
            <v>12.300825473252294</v>
          </cell>
          <cell r="AF215">
            <v>27.773399088732258</v>
          </cell>
          <cell r="AJ215">
            <v>25.161569895579486</v>
          </cell>
          <cell r="AN215">
            <v>28.062748712261147</v>
          </cell>
          <cell r="AR215">
            <v>28.863164791962433</v>
          </cell>
          <cell r="AV215">
            <v>43.856315334466537</v>
          </cell>
          <cell r="AZ215">
            <v>49.271671424863733</v>
          </cell>
          <cell r="BD215">
            <v>53.13470962533048</v>
          </cell>
          <cell r="BH215">
            <v>42.574249214173349</v>
          </cell>
          <cell r="BL215">
            <v>56.338028169014088</v>
          </cell>
          <cell r="BP215">
            <v>38.276164054701233</v>
          </cell>
        </row>
        <row r="216">
          <cell r="A216" t="str">
            <v>IMS SALES/REPORTED SALES</v>
          </cell>
          <cell r="X216">
            <v>2.2375654054054053</v>
          </cell>
          <cell r="AB216">
            <v>1.9856619642857141</v>
          </cell>
          <cell r="AF216">
            <v>0.92978635135135124</v>
          </cell>
          <cell r="AJ216">
            <v>1.3902053703703703</v>
          </cell>
          <cell r="AN216">
            <v>1.1441899526857777</v>
          </cell>
          <cell r="AR216">
            <v>1.2607694539033927</v>
          </cell>
          <cell r="AV216">
            <v>0.91627598323969139</v>
          </cell>
          <cell r="AZ216">
            <v>0.93869432098765437</v>
          </cell>
          <cell r="BD216">
            <v>0.90929511769834359</v>
          </cell>
          <cell r="BH216">
            <v>1.1260414935064937</v>
          </cell>
          <cell r="BL216">
            <v>0.97329238066095458</v>
          </cell>
        </row>
        <row r="217">
          <cell r="A217" t="str">
            <v>TRx ADRX PRODUCTS</v>
          </cell>
          <cell r="C217">
            <v>705637</v>
          </cell>
          <cell r="D217">
            <v>668689</v>
          </cell>
          <cell r="E217">
            <v>693758</v>
          </cell>
          <cell r="F217">
            <v>657368</v>
          </cell>
          <cell r="G217">
            <v>667096</v>
          </cell>
          <cell r="H217">
            <v>2018222</v>
          </cell>
          <cell r="I217">
            <v>690717</v>
          </cell>
          <cell r="J217">
            <v>620290</v>
          </cell>
          <cell r="K217">
            <v>746948</v>
          </cell>
          <cell r="L217">
            <v>2057955</v>
          </cell>
          <cell r="M217">
            <v>837012</v>
          </cell>
          <cell r="N217">
            <v>955239</v>
          </cell>
          <cell r="O217">
            <v>962219</v>
          </cell>
          <cell r="P217">
            <v>2754470</v>
          </cell>
          <cell r="Q217">
            <v>967803</v>
          </cell>
          <cell r="R217">
            <v>970726</v>
          </cell>
          <cell r="S217">
            <v>874435</v>
          </cell>
          <cell r="T217">
            <v>2812964</v>
          </cell>
          <cell r="U217">
            <v>949397</v>
          </cell>
          <cell r="V217">
            <v>911998</v>
          </cell>
          <cell r="W217">
            <v>971932</v>
          </cell>
          <cell r="X217">
            <v>2833327</v>
          </cell>
          <cell r="Y217">
            <v>1051085</v>
          </cell>
          <cell r="Z217">
            <v>1337425</v>
          </cell>
          <cell r="AA217">
            <v>1480555</v>
          </cell>
          <cell r="AB217">
            <v>3869065</v>
          </cell>
          <cell r="AC217">
            <v>1479051</v>
          </cell>
          <cell r="AD217">
            <v>1522361</v>
          </cell>
          <cell r="AE217">
            <v>1473109</v>
          </cell>
          <cell r="AF217">
            <v>4474521</v>
          </cell>
          <cell r="AG217">
            <v>1576180</v>
          </cell>
          <cell r="AH217">
            <v>1573577</v>
          </cell>
          <cell r="AI217">
            <v>1518030</v>
          </cell>
          <cell r="AJ217">
            <v>4667787</v>
          </cell>
          <cell r="AK217">
            <v>1610463</v>
          </cell>
          <cell r="AL217">
            <v>1551785</v>
          </cell>
          <cell r="AM217">
            <v>1634843</v>
          </cell>
          <cell r="AN217">
            <v>4797091</v>
          </cell>
          <cell r="AO217">
            <v>1614802</v>
          </cell>
          <cell r="AP217">
            <v>1509843</v>
          </cell>
          <cell r="AQ217">
            <v>1628665</v>
          </cell>
          <cell r="AR217">
            <v>4753310</v>
          </cell>
          <cell r="AS217">
            <v>1596579</v>
          </cell>
          <cell r="AT217">
            <v>1664867</v>
          </cell>
          <cell r="AU217">
            <v>1630188</v>
          </cell>
          <cell r="AV217">
            <v>4891634</v>
          </cell>
          <cell r="AW217">
            <v>1681455</v>
          </cell>
          <cell r="AX217">
            <v>1657442</v>
          </cell>
          <cell r="AY217">
            <v>1717868</v>
          </cell>
          <cell r="AZ217">
            <v>5056765</v>
          </cell>
          <cell r="BA217">
            <v>1798036</v>
          </cell>
          <cell r="BB217">
            <v>1698701</v>
          </cell>
          <cell r="BC217">
            <v>2184424</v>
          </cell>
          <cell r="BD217">
            <v>5681161</v>
          </cell>
          <cell r="BE217">
            <v>2177193</v>
          </cell>
          <cell r="BF217">
            <v>2095753</v>
          </cell>
          <cell r="BG217">
            <v>2421681</v>
          </cell>
          <cell r="BH217">
            <v>6694627</v>
          </cell>
          <cell r="BI217">
            <v>2312617</v>
          </cell>
          <cell r="BJ217">
            <v>2280959</v>
          </cell>
          <cell r="BK217">
            <v>2388783</v>
          </cell>
          <cell r="BL217">
            <v>6982359</v>
          </cell>
          <cell r="BM217">
            <v>2410436</v>
          </cell>
          <cell r="BN217">
            <v>2484066</v>
          </cell>
          <cell r="BO217">
            <v>2442113</v>
          </cell>
          <cell r="BP217">
            <v>7336615</v>
          </cell>
        </row>
        <row r="218">
          <cell r="A218" t="str">
            <v xml:space="preserve">  % Change</v>
          </cell>
          <cell r="S218">
            <v>0.3076856356243336</v>
          </cell>
          <cell r="U218">
            <v>0.36848439945917733</v>
          </cell>
          <cell r="V218">
            <v>0.3873477260834115</v>
          </cell>
          <cell r="W218">
            <v>0.45695971794164558</v>
          </cell>
          <cell r="X218">
            <v>0.40387281478449832</v>
          </cell>
          <cell r="Y218">
            <v>0.52173031791602065</v>
          </cell>
          <cell r="Z218">
            <v>1.1561285850166856</v>
          </cell>
          <cell r="AA218">
            <v>0.98213931893518702</v>
          </cell>
          <cell r="AB218">
            <v>0.88005325675245571</v>
          </cell>
          <cell r="AC218">
            <v>0.76706068730197408</v>
          </cell>
          <cell r="AD218">
            <v>0.59369644664843046</v>
          </cell>
          <cell r="AE218">
            <v>0.53094981495896465</v>
          </cell>
          <cell r="AF218">
            <v>0.62445806271260906</v>
          </cell>
          <cell r="AG218">
            <v>0.62861656762791607</v>
          </cell>
          <cell r="AH218">
            <v>0.62103106334846281</v>
          </cell>
          <cell r="AI218">
            <v>0.73601239657607476</v>
          </cell>
          <cell r="AJ218">
            <v>0.65938383854183691</v>
          </cell>
          <cell r="AK218">
            <v>0.69630091521249793</v>
          </cell>
          <cell r="AL218">
            <v>0.70152237175958709</v>
          </cell>
          <cell r="AM218">
            <v>0.68205491742220659</v>
          </cell>
          <cell r="AN218">
            <v>0.69309472574115172</v>
          </cell>
          <cell r="AO218">
            <v>0.53631913689187849</v>
          </cell>
          <cell r="AP218">
            <v>0.12891788324578957</v>
          </cell>
          <cell r="AQ218">
            <v>0.10003681052037927</v>
          </cell>
          <cell r="AR218">
            <v>0.22854229639460688</v>
          </cell>
          <cell r="AS218">
            <v>7.9461762981803963E-2</v>
          </cell>
          <cell r="AT218">
            <v>9.3608546198963305E-2</v>
          </cell>
          <cell r="AU218">
            <v>0.10663094177009302</v>
          </cell>
          <cell r="AV218">
            <v>9.3219587079823807E-2</v>
          </cell>
          <cell r="AW218">
            <v>6.6791229428110999E-2</v>
          </cell>
          <cell r="AX218">
            <v>5.3295771354055166E-2</v>
          </cell>
          <cell r="AY218">
            <v>0.13164298465774715</v>
          </cell>
          <cell r="AZ218">
            <v>8.3332422837631537E-2</v>
          </cell>
          <cell r="BA218">
            <v>0.11647147435240668</v>
          </cell>
          <cell r="BB218">
            <v>9.4675486617024962E-2</v>
          </cell>
          <cell r="BC218">
            <v>0.33616744849505431</v>
          </cell>
          <cell r="BD218">
            <v>0.18429293920002765</v>
          </cell>
          <cell r="BE218">
            <v>0.34827241977654233</v>
          </cell>
          <cell r="BF218">
            <v>0.38806021553234338</v>
          </cell>
          <cell r="BG218">
            <v>0.48691167305738126</v>
          </cell>
          <cell r="BH218">
            <v>0.40841371591585651</v>
          </cell>
          <cell r="BI218">
            <v>0.44848266199167086</v>
          </cell>
          <cell r="BJ218">
            <v>0.37005478515701262</v>
          </cell>
          <cell r="BK218">
            <v>0.46534203417029207</v>
          </cell>
          <cell r="BL218">
            <v>0.42740830569089994</v>
          </cell>
          <cell r="BM218">
            <v>0.43354178375276176</v>
          </cell>
          <cell r="BN218">
            <v>0.49873479735640824</v>
          </cell>
          <cell r="BO218">
            <v>0.42159525644578055</v>
          </cell>
          <cell r="BP218">
            <v>0.45085148311222678</v>
          </cell>
        </row>
        <row r="219">
          <cell r="A219" t="str">
            <v xml:space="preserve">TOTAL ADRX REPORTED SALES </v>
          </cell>
          <cell r="H219">
            <v>42.219000000000001</v>
          </cell>
          <cell r="L219">
            <v>44.8</v>
          </cell>
          <cell r="P219">
            <v>65.5</v>
          </cell>
          <cell r="T219">
            <v>72.7</v>
          </cell>
          <cell r="X219">
            <v>46</v>
          </cell>
          <cell r="AB219">
            <v>54.5</v>
          </cell>
          <cell r="AF219">
            <v>55.8</v>
          </cell>
          <cell r="AJ219">
            <v>54.1</v>
          </cell>
          <cell r="AN219">
            <v>52.8</v>
          </cell>
          <cell r="AR219">
            <v>48.5</v>
          </cell>
          <cell r="AV219">
            <v>76.7</v>
          </cell>
          <cell r="AZ219">
            <v>74.5</v>
          </cell>
          <cell r="BD219">
            <v>102.1</v>
          </cell>
          <cell r="BH219">
            <v>95.4</v>
          </cell>
          <cell r="BL219">
            <v>114.74300000000001</v>
          </cell>
          <cell r="BP219">
            <v>102.5</v>
          </cell>
        </row>
        <row r="220">
          <cell r="A220" t="str">
            <v xml:space="preserve">  % Change</v>
          </cell>
          <cell r="X220">
            <v>8.9556834600535318E-2</v>
          </cell>
          <cell r="AB220">
            <v>0.21651785714285721</v>
          </cell>
          <cell r="AF220">
            <v>-0.14809160305343516</v>
          </cell>
          <cell r="AJ220">
            <v>-0.25584594222833568</v>
          </cell>
          <cell r="AN220">
            <v>0.14782608695652177</v>
          </cell>
          <cell r="AR220">
            <v>-0.11009174311926606</v>
          </cell>
          <cell r="AV220">
            <v>0.37455197132616491</v>
          </cell>
          <cell r="AZ220">
            <v>0.37707948243992595</v>
          </cell>
          <cell r="BD220">
            <v>0.9337121212121211</v>
          </cell>
          <cell r="BH220">
            <v>0.96701030927835063</v>
          </cell>
          <cell r="BL220">
            <v>0.49599739243807051</v>
          </cell>
          <cell r="BP220">
            <v>0.37583892617449655</v>
          </cell>
        </row>
        <row r="221">
          <cell r="A221" t="str">
            <v>TOTAL ADRX SALES (IMS)</v>
          </cell>
          <cell r="C221">
            <v>21.407927999999998</v>
          </cell>
          <cell r="D221">
            <v>26.140087000000001</v>
          </cell>
          <cell r="E221">
            <v>20.813015</v>
          </cell>
          <cell r="F221">
            <v>20.790658000000001</v>
          </cell>
          <cell r="G221">
            <v>26.952254</v>
          </cell>
          <cell r="H221">
            <v>68.555926999999997</v>
          </cell>
          <cell r="I221">
            <v>20.387049000000001</v>
          </cell>
          <cell r="J221">
            <v>21.02084</v>
          </cell>
          <cell r="K221">
            <v>26.834743</v>
          </cell>
          <cell r="L221">
            <v>68.242632</v>
          </cell>
          <cell r="M221">
            <v>22.136842000000001</v>
          </cell>
          <cell r="N221">
            <v>26.142327999999999</v>
          </cell>
          <cell r="O221">
            <v>35.632396999999997</v>
          </cell>
          <cell r="P221">
            <v>83.911566999999991</v>
          </cell>
          <cell r="Q221">
            <v>30.112985999999999</v>
          </cell>
          <cell r="R221">
            <v>30.197934</v>
          </cell>
          <cell r="S221">
            <v>37.212789000000001</v>
          </cell>
          <cell r="T221">
            <v>97.523708999999997</v>
          </cell>
          <cell r="U221">
            <v>33.640976000000002</v>
          </cell>
          <cell r="V221">
            <v>40.801921</v>
          </cell>
          <cell r="W221">
            <v>41.453311999999997</v>
          </cell>
          <cell r="X221">
            <v>115.896209</v>
          </cell>
          <cell r="Y221">
            <v>42.267558999999999</v>
          </cell>
          <cell r="Z221">
            <v>54.161769</v>
          </cell>
          <cell r="AA221">
            <v>53.156548000000001</v>
          </cell>
          <cell r="AB221">
            <v>149.58587600000001</v>
          </cell>
          <cell r="AC221">
            <v>45.706650000000003</v>
          </cell>
          <cell r="AD221">
            <v>51.997653</v>
          </cell>
          <cell r="AE221">
            <v>61.788518000000003</v>
          </cell>
          <cell r="AF221">
            <v>159.49282099999999</v>
          </cell>
          <cell r="AG221">
            <v>50.097459999999998</v>
          </cell>
          <cell r="AH221">
            <v>48.512452000000003</v>
          </cell>
          <cell r="AI221">
            <v>60.823259</v>
          </cell>
          <cell r="AJ221">
            <v>159.43317100000002</v>
          </cell>
          <cell r="AK221">
            <v>48.749769000000001</v>
          </cell>
          <cell r="AL221">
            <v>48.187243000000002</v>
          </cell>
          <cell r="AM221">
            <v>61.729421000000002</v>
          </cell>
          <cell r="AN221">
            <v>158.66643299999998</v>
          </cell>
          <cell r="AO221">
            <v>45.321835999999998</v>
          </cell>
          <cell r="AP221">
            <v>45.444972999999997</v>
          </cell>
          <cell r="AQ221">
            <v>53.993113000000001</v>
          </cell>
          <cell r="AR221">
            <v>144.75992199999999</v>
          </cell>
          <cell r="AS221">
            <v>31.192305000000001</v>
          </cell>
          <cell r="AT221">
            <v>31.976223999999998</v>
          </cell>
          <cell r="AU221">
            <v>45.994070000000001</v>
          </cell>
          <cell r="AV221">
            <v>109.162599</v>
          </cell>
          <cell r="AW221">
            <v>39.186048999999997</v>
          </cell>
          <cell r="AX221">
            <v>42.154136000000001</v>
          </cell>
          <cell r="AY221">
            <v>50.723762000000001</v>
          </cell>
          <cell r="AZ221">
            <v>132.06394699999998</v>
          </cell>
          <cell r="BA221">
            <v>40.683214</v>
          </cell>
          <cell r="BB221">
            <v>43.717578000000003</v>
          </cell>
          <cell r="BC221">
            <v>58.240512000000003</v>
          </cell>
          <cell r="BD221">
            <v>142.64130399999999</v>
          </cell>
          <cell r="BE221">
            <v>46.998686999999997</v>
          </cell>
          <cell r="BF221">
            <v>50.676440999999997</v>
          </cell>
          <cell r="BG221">
            <v>61.283512999999999</v>
          </cell>
          <cell r="BH221">
            <v>158.958641</v>
          </cell>
          <cell r="BI221">
            <v>49.082749</v>
          </cell>
          <cell r="BJ221">
            <v>52.020511999999997</v>
          </cell>
          <cell r="BK221">
            <v>60.553209000000003</v>
          </cell>
          <cell r="BL221">
            <v>161.65647000000001</v>
          </cell>
          <cell r="BM221">
            <v>51.212133000000001</v>
          </cell>
          <cell r="BN221">
            <v>50.319746000000002</v>
          </cell>
        </row>
        <row r="222">
          <cell r="A222" t="str">
            <v xml:space="preserve">  % Change</v>
          </cell>
          <cell r="S222">
            <v>0.42359086257057976</v>
          </cell>
          <cell r="U222">
            <v>0.61634323523045564</v>
          </cell>
          <cell r="V222">
            <v>0.96251224949205549</v>
          </cell>
          <cell r="W222">
            <v>0.53802765438467581</v>
          </cell>
          <cell r="X222">
            <v>0.69053521805634688</v>
          </cell>
          <cell r="Y222">
            <v>1.0732553789417976</v>
          </cell>
          <cell r="Z222">
            <v>1.5765749132765388</v>
          </cell>
          <cell r="AA222">
            <v>0.98088530231126114</v>
          </cell>
          <cell r="AB222">
            <v>1.1919710834130783</v>
          </cell>
          <cell r="AC222">
            <v>1.0647321781489882</v>
          </cell>
          <cell r="AD222">
            <v>0.98902152096018381</v>
          </cell>
          <cell r="AE222">
            <v>0.73405448979477894</v>
          </cell>
          <cell r="AF222">
            <v>0.90072509312095206</v>
          </cell>
          <cell r="AG222">
            <v>0.66364969584882738</v>
          </cell>
          <cell r="AH222">
            <v>0.60648248320563924</v>
          </cell>
          <cell r="AI222">
            <v>0.63447192845448908</v>
          </cell>
          <cell r="AJ222">
            <v>0.63481447367839561</v>
          </cell>
          <cell r="AK222">
            <v>0.44911874732766366</v>
          </cell>
          <cell r="AL222">
            <v>0.18100427183318168</v>
          </cell>
          <cell r="AM222">
            <v>0.48913121827274031</v>
          </cell>
          <cell r="AN222">
            <v>0.36903902525405274</v>
          </cell>
          <cell r="AO222">
            <v>7.2260548568702454E-2</v>
          </cell>
          <cell r="AP222">
            <v>-0.16094001656408241</v>
          </cell>
          <cell r="AQ222">
            <v>1.5737760096836917E-2</v>
          </cell>
          <cell r="AR222">
            <v>-3.2262096723624012E-2</v>
          </cell>
          <cell r="AS222">
            <v>-0.31755433837308145</v>
          </cell>
          <cell r="AT222">
            <v>-0.38504485962087565</v>
          </cell>
          <cell r="AU222">
            <v>-0.25562108481061163</v>
          </cell>
          <cell r="AV222">
            <v>-0.31556418454721546</v>
          </cell>
          <cell r="AW222">
            <v>-0.21780367707265003</v>
          </cell>
          <cell r="AX222">
            <v>-0.13106564887711725</v>
          </cell>
          <cell r="AY222">
            <v>-0.16604662699839878</v>
          </cell>
          <cell r="AZ222">
            <v>-0.17166580723656322</v>
          </cell>
          <cell r="BA222">
            <v>-0.16546857893829203</v>
          </cell>
          <cell r="BB222">
            <v>-9.2756188603693279E-2</v>
          </cell>
          <cell r="BC222">
            <v>-5.6519386436493568E-2</v>
          </cell>
          <cell r="BD222">
            <v>-0.10099886092479304</v>
          </cell>
          <cell r="BE222">
            <v>3.699874382847157E-2</v>
          </cell>
          <cell r="BF222">
            <v>0.11511653885238315</v>
          </cell>
          <cell r="BG222">
            <v>0.13502462804839577</v>
          </cell>
          <cell r="BH222">
            <v>9.8084599686369067E-2</v>
          </cell>
          <cell r="BI222">
            <v>0.57355312472098485</v>
          </cell>
          <cell r="BJ222">
            <v>0.62684974936377724</v>
          </cell>
          <cell r="BK222">
            <v>0.31654382836743955</v>
          </cell>
          <cell r="BL222">
            <v>0.48087780504383204</v>
          </cell>
          <cell r="BM222">
            <v>0.30689707962137258</v>
          </cell>
          <cell r="BN222">
            <v>0.19370839435541987</v>
          </cell>
        </row>
        <row r="224">
          <cell r="A224" t="str">
            <v>REPORTED SALES/TRx ADRX PRODUCTS</v>
          </cell>
          <cell r="H224">
            <v>20.918907830754002</v>
          </cell>
          <cell r="L224">
            <v>21.769183485547547</v>
          </cell>
          <cell r="P224">
            <v>23.779529274234246</v>
          </cell>
          <cell r="T224">
            <v>25.844625100072378</v>
          </cell>
          <cell r="X224">
            <v>16.235330408385618</v>
          </cell>
          <cell r="AB224">
            <v>14.086090567100838</v>
          </cell>
          <cell r="AF224">
            <v>12.470608585812872</v>
          </cell>
          <cell r="AJ224">
            <v>11.590074697067369</v>
          </cell>
          <cell r="AN224">
            <v>11.006670500934838</v>
          </cell>
          <cell r="AR224">
            <v>10.203416145801556</v>
          </cell>
          <cell r="AV224">
            <v>15.679832137890937</v>
          </cell>
          <cell r="AZ224">
            <v>14.732739211729237</v>
          </cell>
          <cell r="BD224">
            <v>17.971678676242409</v>
          </cell>
          <cell r="BH224">
            <v>14.250233806902163</v>
          </cell>
          <cell r="BL224">
            <v>16.433271334229595</v>
          </cell>
          <cell r="BP224">
            <v>13.971020695511486</v>
          </cell>
        </row>
        <row r="225">
          <cell r="A225" t="str">
            <v>IMS SALES/REPORTED SALES</v>
          </cell>
          <cell r="H225">
            <v>1.6238169307657688</v>
          </cell>
          <cell r="L225">
            <v>1.5232730357142859</v>
          </cell>
          <cell r="P225">
            <v>1.2810926259541984</v>
          </cell>
          <cell r="T225">
            <v>1.3414540440165061</v>
          </cell>
          <cell r="X225">
            <v>2.5194828043478261</v>
          </cell>
          <cell r="AB225">
            <v>2.7446949724770646</v>
          </cell>
          <cell r="AF225">
            <v>2.8582942831541218</v>
          </cell>
          <cell r="AJ225">
            <v>2.9470087060998154</v>
          </cell>
          <cell r="AN225">
            <v>3.0050460795454543</v>
          </cell>
          <cell r="AR225">
            <v>2.9847406597938142</v>
          </cell>
          <cell r="AV225">
            <v>1.423241186440678</v>
          </cell>
          <cell r="AZ225">
            <v>1.7726704295302012</v>
          </cell>
          <cell r="BD225">
            <v>1.3970744760039178</v>
          </cell>
          <cell r="BH225">
            <v>1.6662331341719077</v>
          </cell>
          <cell r="BL225">
            <v>1.4088569237339097</v>
          </cell>
        </row>
        <row r="227">
          <cell r="A227" t="str">
            <v>1.  Generics calculated by TRx ADRX PRODUCTS-TRx BRANDS (excludes Claritin OTC products).</v>
          </cell>
        </row>
        <row r="228">
          <cell r="A228" t="str">
            <v>2.  Other Brands include Entex franchise and Anexsia.</v>
          </cell>
        </row>
        <row r="229">
          <cell r="A229" t="str">
            <v>3.  Total Brands = Altoprev + Fortamet + Other Brands.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MKTD"/>
      <sheetName val="PPLN"/>
      <sheetName val="IMS"/>
      <sheetName val="iQ_US_CoreIndustrials"/>
      <sheetName val="P&amp;L Review"/>
      <sheetName val="QTR-GAAP"/>
      <sheetName val="VAR"/>
      <sheetName val="SUMMARY"/>
      <sheetName val="DEBT"/>
      <sheetName val="------"/>
      <sheetName val="Financial Analysis Table"/>
      <sheetName val="Fin Analysis Table"/>
      <sheetName val="Sheet1"/>
      <sheetName val="AGNwk"/>
      <sheetName val=""/>
      <sheetName val="#REF"/>
      <sheetName val="__FDSCACHE__"/>
      <sheetName val="COVER SHEET"/>
      <sheetName val="MW-Cache"/>
      <sheetName val="consensus"/>
      <sheetName val="DCF"/>
      <sheetName val="IS-ANNUAL"/>
      <sheetName val="CFBS"/>
      <sheetName val="PIPELINE"/>
      <sheetName val="REV-ANNUAL"/>
      <sheetName val="Para IV"/>
      <sheetName val="PIPELINE_UNADJ"/>
      <sheetName val="IS-QTRLY"/>
      <sheetName val="REV-QTRLY"/>
      <sheetName val="FOOTNOTES"/>
      <sheetName val="AGREEMENTS"/>
      <sheetName val="MGMT PROJECTIONS"/>
      <sheetName val="patent expirations"/>
      <sheetName val="Var-YOY"/>
      <sheetName val="Var-Seq"/>
      <sheetName val="revenue snapshot"/>
      <sheetName val="rev contribution analysis"/>
      <sheetName val="rev change analysis"/>
      <sheetName val="2015 rev change"/>
      <sheetName val="Gaap Adj"/>
      <sheetName val="mwareDates"/>
      <sheetName val="MWA RR"/>
      <sheetName val="mwareSettings"/>
    </sheetNames>
    <sheetDataSet>
      <sheetData sheetId="0"/>
      <sheetData sheetId="1"/>
      <sheetData sheetId="2"/>
      <sheetData sheetId="3"/>
      <sheetData sheetId="4"/>
      <sheetData sheetId="5" refreshError="1">
        <row r="3">
          <cell r="A3" t="str">
            <v>Product</v>
          </cell>
          <cell r="C3" t="str">
            <v>Indication</v>
          </cell>
          <cell r="E3" t="str">
            <v>Patent #- Patent Title (Expiration)/Exclusivity</v>
          </cell>
          <cell r="G3" t="str">
            <v>Additional Notes</v>
          </cell>
        </row>
        <row r="11">
          <cell r="A11" t="str">
            <v>Pharmaceuticals</v>
          </cell>
        </row>
        <row r="27">
          <cell r="A27" t="str">
            <v>Alphagan (brimonidine)</v>
          </cell>
          <cell r="C27" t="str">
            <v>Glaucoma</v>
          </cell>
          <cell r="E27" t="str">
            <v>No remaining exclusivity or patent protection</v>
          </cell>
          <cell r="G27" t="str">
            <v>Alpha-2 adrenergic agonist formulated as an ophthalmic solution. Discontinued U.S. distribution in 08/02. Generic versions approved in 05/03 (Alcon, Bausch &amp; Lomb).</v>
          </cell>
        </row>
        <row r="29">
          <cell r="A29" t="str">
            <v>Alphagan P (brimonidine)</v>
          </cell>
          <cell r="C29" t="str">
            <v>Glaucoma</v>
          </cell>
          <cell r="E29" t="str">
            <v>New Product exclusivity expired 03/16/04
Pediatric exclusivity expires 06/20/05
New Patient Population exclusivity expires 12/20/04
5424078- Aqueous ophthalmic formulations and methods for preserving same (12/13/12, includes PED exclusivity)
6562873- Comp</v>
          </cell>
          <cell r="G29" t="str">
            <v xml:space="preserve">Reformulation of Alphagan using an alternative stabilizer launched 3Q:01. Lower rate (41% less) of ocular allergies relative to Alphagan. Licensed Alphagan P and Alphagan marketing rights in Japan to Kyorin Pharmaceutical in 2Q:04. AGN received notice on </v>
          </cell>
        </row>
        <row r="31">
          <cell r="A31" t="str">
            <v>Lumigan (bimatoprost)</v>
          </cell>
          <cell r="C31" t="str">
            <v>Glaucoma</v>
          </cell>
          <cell r="E31" t="str">
            <v>New Chemical exclusivity expires 03/16/06
5688819- Cyclopentane heptanoic acid, 2-cycloalkyl or arylalkyl derivatives as therapeutic agents (09/21/12)
6403649- Non-acidic cyclopentane heptanoic acid,2-cycloalkyl or arylalkyl derivatives as therapeutic age</v>
          </cell>
          <cell r="G31" t="str">
            <v>Synthetic prostamide. Trial vs. Pharmacia resulted in settlement (10/02); AGN will pay $119 million to PHA and will pay a royalty on future Lumigan sales for an unspecified number of years. Approved in EU as first-line therapy in 1Q:04. PIII in Japan; lic</v>
          </cell>
        </row>
        <row r="33">
          <cell r="A33" t="str">
            <v>Elestat (epinastine)</v>
          </cell>
          <cell r="C33" t="str">
            <v>Ocular allergy</v>
          </cell>
          <cell r="E33" t="str">
            <v>New Chemical exclusivity expires 10/15/08</v>
          </cell>
          <cell r="G33" t="str">
            <v>Topical antihistamine licensed from Boehringer Ingelheim. Approved in Europe and U.S., with U.S. launch in 1Q:04. Entered into collaboration with Inspire Pharmaceuticals in 12/03. Inspire will primarily be responsible for selling, promotional, and marketi</v>
          </cell>
        </row>
        <row r="35">
          <cell r="A35" t="str">
            <v>Acular (ketorolac tromethamine)</v>
          </cell>
          <cell r="C35" t="str">
            <v>Seasonal allergic conjunctivitis</v>
          </cell>
          <cell r="E35" t="str">
            <v>Change in wording of the pediatric section of the package insert exclusivity expires 2/08/05
4454151- Use of pyrrolo pyrroles in treatment of ophthalmic diseases (09/22/02, includes PED exclusivity)
5110493- Ophthalmic NSAID formulations containing a quat</v>
          </cell>
          <cell r="G35" t="str">
            <v>Topical NSAID solution approved in 06/03. Trial vs. Apotex began 02/03; 30-month stay expired 10/03.</v>
          </cell>
        </row>
      </sheetData>
      <sheetData sheetId="6">
        <row r="3">
          <cell r="A3" t="str">
            <v>Product</v>
          </cell>
        </row>
      </sheetData>
      <sheetData sheetId="7">
        <row r="3">
          <cell r="A3" t="str">
            <v>Product</v>
          </cell>
          <cell r="C3">
            <v>36739</v>
          </cell>
          <cell r="D3">
            <v>36770</v>
          </cell>
          <cell r="E3">
            <v>36800</v>
          </cell>
          <cell r="F3">
            <v>36831</v>
          </cell>
          <cell r="G3">
            <v>36861</v>
          </cell>
          <cell r="H3" t="str">
            <v>Q4:00</v>
          </cell>
          <cell r="I3">
            <v>36892</v>
          </cell>
          <cell r="J3">
            <v>36923</v>
          </cell>
          <cell r="K3">
            <v>36951</v>
          </cell>
          <cell r="L3" t="str">
            <v>Q1:01</v>
          </cell>
          <cell r="M3">
            <v>36982</v>
          </cell>
          <cell r="N3">
            <v>37012</v>
          </cell>
          <cell r="O3">
            <v>37043</v>
          </cell>
          <cell r="P3" t="str">
            <v>Q2:01</v>
          </cell>
          <cell r="Q3">
            <v>37073</v>
          </cell>
          <cell r="R3">
            <v>37104</v>
          </cell>
          <cell r="S3">
            <v>37135</v>
          </cell>
          <cell r="T3" t="str">
            <v>Q3:01</v>
          </cell>
          <cell r="U3">
            <v>37165</v>
          </cell>
          <cell r="V3">
            <v>37196</v>
          </cell>
          <cell r="W3">
            <v>37226</v>
          </cell>
          <cell r="X3" t="str">
            <v>Q4:01</v>
          </cell>
          <cell r="Y3">
            <v>37257</v>
          </cell>
          <cell r="Z3">
            <v>37288</v>
          </cell>
          <cell r="AA3">
            <v>37316</v>
          </cell>
          <cell r="AB3" t="str">
            <v>Q1:02</v>
          </cell>
          <cell r="AC3">
            <v>37347</v>
          </cell>
          <cell r="AD3">
            <v>37377</v>
          </cell>
          <cell r="AE3">
            <v>37408</v>
          </cell>
          <cell r="AF3" t="str">
            <v>Q2:02</v>
          </cell>
          <cell r="AG3">
            <v>37438</v>
          </cell>
          <cell r="AH3">
            <v>37469</v>
          </cell>
          <cell r="AI3">
            <v>37500</v>
          </cell>
          <cell r="AJ3" t="str">
            <v>Q3:02</v>
          </cell>
          <cell r="AK3">
            <v>37530</v>
          </cell>
          <cell r="AL3">
            <v>37561</v>
          </cell>
          <cell r="AM3">
            <v>37591</v>
          </cell>
          <cell r="AN3" t="str">
            <v>Q4:02</v>
          </cell>
          <cell r="AO3">
            <v>37622</v>
          </cell>
          <cell r="AP3">
            <v>37653</v>
          </cell>
          <cell r="AQ3">
            <v>37681</v>
          </cell>
          <cell r="AR3" t="str">
            <v>Q1:03</v>
          </cell>
          <cell r="AS3">
            <v>37712</v>
          </cell>
          <cell r="AT3">
            <v>37742</v>
          </cell>
          <cell r="AU3">
            <v>37773</v>
          </cell>
          <cell r="AV3" t="str">
            <v>Q2:03</v>
          </cell>
          <cell r="AW3">
            <v>37803</v>
          </cell>
          <cell r="AX3">
            <v>37834</v>
          </cell>
          <cell r="AY3">
            <v>37865</v>
          </cell>
          <cell r="AZ3" t="str">
            <v>Q3:03</v>
          </cell>
          <cell r="BA3">
            <v>37895</v>
          </cell>
          <cell r="BB3">
            <v>37926</v>
          </cell>
          <cell r="BC3">
            <v>37956</v>
          </cell>
          <cell r="BD3" t="str">
            <v>Q4:03</v>
          </cell>
          <cell r="BE3">
            <v>37987</v>
          </cell>
          <cell r="BF3">
            <v>38018</v>
          </cell>
          <cell r="BG3">
            <v>38047</v>
          </cell>
          <cell r="BH3" t="str">
            <v>Q1:04</v>
          </cell>
          <cell r="BI3">
            <v>38078</v>
          </cell>
          <cell r="BJ3">
            <v>38108</v>
          </cell>
          <cell r="BK3">
            <v>38139</v>
          </cell>
          <cell r="BL3" t="str">
            <v>Q2:04</v>
          </cell>
          <cell r="BM3">
            <v>38169</v>
          </cell>
          <cell r="BN3">
            <v>38200</v>
          </cell>
          <cell r="BO3">
            <v>38231</v>
          </cell>
          <cell r="BP3" t="str">
            <v>Q3:04A</v>
          </cell>
        </row>
        <row r="5">
          <cell r="A5" t="str">
            <v>Eye Care Pharmaceuticals</v>
          </cell>
        </row>
        <row r="7">
          <cell r="A7" t="str">
            <v>ALPHAGAN P</v>
          </cell>
        </row>
        <row r="8">
          <cell r="A8" t="str">
            <v>TRx</v>
          </cell>
          <cell r="R8">
            <v>146</v>
          </cell>
          <cell r="S8">
            <v>3496</v>
          </cell>
          <cell r="T8">
            <v>3642</v>
          </cell>
          <cell r="U8">
            <v>23686</v>
          </cell>
          <cell r="V8">
            <v>40821</v>
          </cell>
          <cell r="W8">
            <v>57497</v>
          </cell>
          <cell r="X8">
            <v>122004</v>
          </cell>
          <cell r="Y8">
            <v>68025</v>
          </cell>
          <cell r="Z8">
            <v>73297</v>
          </cell>
          <cell r="AA8">
            <v>88558</v>
          </cell>
          <cell r="AB8">
            <v>229880</v>
          </cell>
          <cell r="AC8">
            <v>98703</v>
          </cell>
          <cell r="AD8">
            <v>110431</v>
          </cell>
          <cell r="AE8">
            <v>112036</v>
          </cell>
          <cell r="AF8">
            <v>321170</v>
          </cell>
          <cell r="AG8">
            <v>144762</v>
          </cell>
          <cell r="AH8">
            <v>216426</v>
          </cell>
          <cell r="AI8">
            <v>251817</v>
          </cell>
          <cell r="AJ8">
            <v>613005</v>
          </cell>
          <cell r="AK8">
            <v>285531</v>
          </cell>
          <cell r="AL8">
            <v>285485</v>
          </cell>
          <cell r="AM8">
            <v>311082</v>
          </cell>
          <cell r="AN8">
            <v>882098</v>
          </cell>
          <cell r="AO8">
            <v>305768</v>
          </cell>
          <cell r="AP8">
            <v>276097</v>
          </cell>
          <cell r="AQ8">
            <v>300493</v>
          </cell>
          <cell r="AR8">
            <v>882358</v>
          </cell>
          <cell r="AS8">
            <v>295293</v>
          </cell>
          <cell r="AT8">
            <v>299985</v>
          </cell>
          <cell r="AU8">
            <v>291863</v>
          </cell>
          <cell r="AV8">
            <v>887141</v>
          </cell>
          <cell r="AW8">
            <v>297405</v>
          </cell>
          <cell r="AX8">
            <v>281706</v>
          </cell>
          <cell r="AY8">
            <v>277210</v>
          </cell>
          <cell r="AZ8">
            <v>856321</v>
          </cell>
          <cell r="BA8">
            <v>283802</v>
          </cell>
          <cell r="BB8">
            <v>260022</v>
          </cell>
          <cell r="BC8">
            <v>289204</v>
          </cell>
          <cell r="BD8">
            <v>833028</v>
          </cell>
          <cell r="BE8">
            <v>270828</v>
          </cell>
          <cell r="BF8">
            <v>248063</v>
          </cell>
          <cell r="BG8">
            <v>275095</v>
          </cell>
          <cell r="BH8">
            <v>793986</v>
          </cell>
          <cell r="BI8">
            <v>262145</v>
          </cell>
          <cell r="BJ8">
            <v>258804</v>
          </cell>
          <cell r="BK8">
            <v>265350</v>
          </cell>
          <cell r="BL8">
            <v>786299</v>
          </cell>
          <cell r="BM8">
            <v>265420</v>
          </cell>
          <cell r="BN8">
            <v>268068</v>
          </cell>
          <cell r="BO8">
            <v>261923</v>
          </cell>
          <cell r="BP8">
            <v>795411</v>
          </cell>
        </row>
        <row r="9">
          <cell r="A9" t="str">
            <v xml:space="preserve">  % Change</v>
          </cell>
          <cell r="AL9">
            <v>5.9935817348913547</v>
          </cell>
          <cell r="AM9">
            <v>4.4104040210793602</v>
          </cell>
          <cell r="AN9">
            <v>6.2300744237893841</v>
          </cell>
          <cell r="AO9">
            <v>3.4949356854097759</v>
          </cell>
          <cell r="AP9">
            <v>2.7668253816663713</v>
          </cell>
          <cell r="AQ9">
            <v>2.3931773526954085</v>
          </cell>
          <cell r="AR9">
            <v>2.8383417435183573</v>
          </cell>
          <cell r="AS9">
            <v>1.9917327740798152</v>
          </cell>
          <cell r="AT9">
            <v>1.7164926515199537</v>
          </cell>
          <cell r="AU9">
            <v>1.6050822949766146</v>
          </cell>
          <cell r="AV9">
            <v>1.7622162717563907</v>
          </cell>
          <cell r="AW9">
            <v>1.0544410826045509</v>
          </cell>
          <cell r="AX9">
            <v>0.3016273460674781</v>
          </cell>
          <cell r="AY9">
            <v>0.10083910141094532</v>
          </cell>
          <cell r="AZ9">
            <v>0.39692335299059556</v>
          </cell>
          <cell r="BA9">
            <v>-6.0553845291754227E-3</v>
          </cell>
          <cell r="BB9">
            <v>-8.9192076641504858E-2</v>
          </cell>
          <cell r="BC9">
            <v>-7.0328723616281286E-2</v>
          </cell>
          <cell r="BD9">
            <v>-5.5628739663846849E-2</v>
          </cell>
          <cell r="BE9">
            <v>-0.11426964234321446</v>
          </cell>
          <cell r="BF9">
            <v>-0.10153677874080491</v>
          </cell>
          <cell r="BG9">
            <v>-8.4521103652996921E-2</v>
          </cell>
          <cell r="BH9">
            <v>-0.1001543591150077</v>
          </cell>
          <cell r="BI9">
            <v>-0.11225460813497101</v>
          </cell>
          <cell r="BJ9">
            <v>-0.13727686384319215</v>
          </cell>
          <cell r="BK9">
            <v>-9.0840565607836599E-2</v>
          </cell>
          <cell r="BL9">
            <v>-0.11367076935909848</v>
          </cell>
          <cell r="BM9">
            <v>-0.10754694776483242</v>
          </cell>
          <cell r="BN9">
            <v>-4.8412174394581564E-2</v>
          </cell>
          <cell r="BO9">
            <v>-5.514591825691717E-2</v>
          </cell>
          <cell r="BP9">
            <v>-7.1129868355441439E-2</v>
          </cell>
        </row>
        <row r="10">
          <cell r="A10" t="str">
            <v>NRx</v>
          </cell>
          <cell r="R10">
            <v>138</v>
          </cell>
          <cell r="S10">
            <v>3392</v>
          </cell>
          <cell r="T10">
            <v>3530</v>
          </cell>
          <cell r="U10">
            <v>21672</v>
          </cell>
          <cell r="V10">
            <v>32064</v>
          </cell>
          <cell r="W10">
            <v>37172</v>
          </cell>
          <cell r="X10">
            <v>90908</v>
          </cell>
          <cell r="Y10">
            <v>38432</v>
          </cell>
          <cell r="Z10">
            <v>37915</v>
          </cell>
          <cell r="AA10">
            <v>42390</v>
          </cell>
          <cell r="AB10">
            <v>118737</v>
          </cell>
          <cell r="AC10">
            <v>43954</v>
          </cell>
          <cell r="AD10">
            <v>46633</v>
          </cell>
          <cell r="AE10">
            <v>44838</v>
          </cell>
          <cell r="AF10">
            <v>135425</v>
          </cell>
          <cell r="AG10">
            <v>64450</v>
          </cell>
          <cell r="AH10">
            <v>116927</v>
          </cell>
          <cell r="AI10">
            <v>123001</v>
          </cell>
          <cell r="AJ10">
            <v>304378</v>
          </cell>
          <cell r="AK10">
            <v>121555</v>
          </cell>
          <cell r="AL10">
            <v>110675</v>
          </cell>
          <cell r="AM10">
            <v>110054</v>
          </cell>
          <cell r="AN10">
            <v>342284</v>
          </cell>
          <cell r="AO10">
            <v>106914</v>
          </cell>
          <cell r="AP10">
            <v>95247</v>
          </cell>
          <cell r="AQ10">
            <v>102433</v>
          </cell>
          <cell r="AR10">
            <v>304594</v>
          </cell>
          <cell r="AS10">
            <v>99537</v>
          </cell>
          <cell r="AT10">
            <v>100034</v>
          </cell>
          <cell r="AU10">
            <v>95632</v>
          </cell>
          <cell r="AV10">
            <v>295203</v>
          </cell>
          <cell r="AW10">
            <v>94657</v>
          </cell>
          <cell r="AX10">
            <v>88941</v>
          </cell>
          <cell r="AY10">
            <v>90785</v>
          </cell>
          <cell r="AZ10">
            <v>274383</v>
          </cell>
          <cell r="BA10">
            <v>96299</v>
          </cell>
          <cell r="BB10">
            <v>87739</v>
          </cell>
          <cell r="BC10">
            <v>96871</v>
          </cell>
          <cell r="BD10">
            <v>280909</v>
          </cell>
          <cell r="BE10">
            <v>91610</v>
          </cell>
          <cell r="BF10">
            <v>85545</v>
          </cell>
          <cell r="BG10">
            <v>96033</v>
          </cell>
          <cell r="BH10">
            <v>273188</v>
          </cell>
          <cell r="BI10">
            <v>90979</v>
          </cell>
          <cell r="BJ10">
            <v>89009</v>
          </cell>
          <cell r="BK10">
            <v>90938</v>
          </cell>
          <cell r="BL10">
            <v>270926</v>
          </cell>
          <cell r="BM10">
            <v>89082</v>
          </cell>
          <cell r="BN10">
            <v>89949</v>
          </cell>
          <cell r="BO10">
            <v>88944</v>
          </cell>
          <cell r="BP10">
            <v>267975</v>
          </cell>
        </row>
        <row r="11">
          <cell r="A11" t="str">
            <v xml:space="preserve">  % Change</v>
          </cell>
          <cell r="AK11">
            <v>4.6088501291989665</v>
          </cell>
          <cell r="AL11">
            <v>2.4516903692614771</v>
          </cell>
          <cell r="AM11">
            <v>1.9606693209942967</v>
          </cell>
          <cell r="AN11">
            <v>2.7651691820301845</v>
          </cell>
          <cell r="AO11">
            <v>1.7819004995836805</v>
          </cell>
          <cell r="AP11">
            <v>1.5121192140313862</v>
          </cell>
          <cell r="AQ11">
            <v>1.4164425572068886</v>
          </cell>
          <cell r="AR11">
            <v>1.5652829362372302</v>
          </cell>
          <cell r="AS11">
            <v>1.264572052600446</v>
          </cell>
          <cell r="AT11">
            <v>1.145133274719619</v>
          </cell>
          <cell r="AU11">
            <v>1.1328337570810474</v>
          </cell>
          <cell r="AV11">
            <v>1.1798264722170941</v>
          </cell>
          <cell r="AW11">
            <v>0.468688906128782</v>
          </cell>
          <cell r="AX11">
            <v>-0.23934591668305871</v>
          </cell>
          <cell r="AY11">
            <v>-0.26191656978398548</v>
          </cell>
          <cell r="AZ11">
            <v>-9.8545229944345558E-2</v>
          </cell>
          <cell r="BA11">
            <v>-0.20777425856608123</v>
          </cell>
          <cell r="BB11">
            <v>-0.20723740682177549</v>
          </cell>
          <cell r="BC11">
            <v>-0.11978665018990675</v>
          </cell>
          <cell r="BD11">
            <v>-0.17931016348996742</v>
          </cell>
          <cell r="BE11">
            <v>-0.1431430869670951</v>
          </cell>
          <cell r="BF11">
            <v>-0.10186147595199846</v>
          </cell>
          <cell r="BG11">
            <v>-6.247986488729218E-2</v>
          </cell>
          <cell r="BH11">
            <v>-0.10310774342239182</v>
          </cell>
          <cell r="BI11">
            <v>-8.5978078503471056E-2</v>
          </cell>
          <cell r="BJ11">
            <v>-0.11021252774056822</v>
          </cell>
          <cell r="BK11">
            <v>-4.9083988623055075E-2</v>
          </cell>
          <cell r="BL11">
            <v>-8.2238324136272301E-2</v>
          </cell>
          <cell r="BM11">
            <v>-5.8896859186325368E-2</v>
          </cell>
          <cell r="BN11">
            <v>1.1333355820150492E-2</v>
          </cell>
          <cell r="BO11">
            <v>-2.0278680398744253E-2</v>
          </cell>
          <cell r="BP11">
            <v>-2.3354216551316975E-2</v>
          </cell>
        </row>
        <row r="12">
          <cell r="A12" t="str">
            <v>61690:MIOTICS &amp; GLAUCOMA,OTH TRx</v>
          </cell>
          <cell r="C12">
            <v>1150624</v>
          </cell>
          <cell r="D12">
            <v>1110450</v>
          </cell>
          <cell r="E12">
            <v>1161378</v>
          </cell>
          <cell r="F12">
            <v>1150182</v>
          </cell>
          <cell r="G12">
            <v>1208596</v>
          </cell>
          <cell r="H12">
            <v>3520156</v>
          </cell>
          <cell r="I12">
            <v>1201203</v>
          </cell>
          <cell r="J12">
            <v>1101383</v>
          </cell>
          <cell r="K12">
            <v>1231240</v>
          </cell>
          <cell r="L12">
            <v>3533826</v>
          </cell>
          <cell r="M12">
            <v>1187737</v>
          </cell>
          <cell r="N12">
            <v>1261828</v>
          </cell>
          <cell r="O12">
            <v>1225834</v>
          </cell>
          <cell r="P12">
            <v>3675399</v>
          </cell>
          <cell r="Q12">
            <v>1263135</v>
          </cell>
          <cell r="R12">
            <v>1284733</v>
          </cell>
          <cell r="S12">
            <v>1191907</v>
          </cell>
          <cell r="T12">
            <v>3739775</v>
          </cell>
          <cell r="U12">
            <v>1324850</v>
          </cell>
          <cell r="V12">
            <v>1263479</v>
          </cell>
          <cell r="W12">
            <v>1333419</v>
          </cell>
          <cell r="X12">
            <v>3921748</v>
          </cell>
          <cell r="Y12">
            <v>1325609</v>
          </cell>
          <cell r="Z12">
            <v>1209620</v>
          </cell>
          <cell r="AA12">
            <v>1326946</v>
          </cell>
          <cell r="AB12">
            <v>3862175</v>
          </cell>
          <cell r="AC12">
            <v>1359064</v>
          </cell>
          <cell r="AD12">
            <v>1400118</v>
          </cell>
          <cell r="AE12">
            <v>1336918</v>
          </cell>
          <cell r="AF12">
            <v>4096100</v>
          </cell>
          <cell r="AG12">
            <v>1432390</v>
          </cell>
          <cell r="AH12">
            <v>1411404</v>
          </cell>
          <cell r="AI12">
            <v>1338926</v>
          </cell>
          <cell r="AJ12">
            <v>4182720</v>
          </cell>
          <cell r="AK12">
            <v>1406316</v>
          </cell>
          <cell r="AL12">
            <v>1354103</v>
          </cell>
          <cell r="AM12">
            <v>1452850</v>
          </cell>
          <cell r="AN12">
            <v>4213269</v>
          </cell>
          <cell r="AO12">
            <v>1417871</v>
          </cell>
          <cell r="AP12">
            <v>1288593</v>
          </cell>
          <cell r="AQ12">
            <v>1404707</v>
          </cell>
          <cell r="AR12">
            <v>4111171</v>
          </cell>
          <cell r="AS12">
            <v>1388832</v>
          </cell>
          <cell r="AT12">
            <v>1433580</v>
          </cell>
          <cell r="AU12">
            <v>1404487</v>
          </cell>
          <cell r="AV12">
            <v>4226899</v>
          </cell>
          <cell r="AW12">
            <v>1455440</v>
          </cell>
          <cell r="AX12">
            <v>1397470</v>
          </cell>
          <cell r="AY12">
            <v>1225834</v>
          </cell>
          <cell r="AZ12">
            <v>4078744</v>
          </cell>
          <cell r="BA12">
            <v>1457055</v>
          </cell>
          <cell r="BB12">
            <v>1360608</v>
          </cell>
          <cell r="BC12">
            <v>1537732</v>
          </cell>
          <cell r="BD12">
            <v>4355395</v>
          </cell>
          <cell r="BE12">
            <v>1446717</v>
          </cell>
          <cell r="BF12">
            <v>1341113</v>
          </cell>
          <cell r="BG12">
            <v>1501280</v>
          </cell>
          <cell r="BH12">
            <v>4289110</v>
          </cell>
          <cell r="BI12">
            <v>1443116</v>
          </cell>
          <cell r="BJ12">
            <v>1435011</v>
          </cell>
          <cell r="BK12">
            <v>1509165</v>
          </cell>
          <cell r="BL12">
            <v>4387292</v>
          </cell>
          <cell r="BM12">
            <v>1509270</v>
          </cell>
          <cell r="BN12">
            <v>1530345</v>
          </cell>
          <cell r="BO12">
            <v>1496208</v>
          </cell>
          <cell r="BP12">
            <v>4535823</v>
          </cell>
        </row>
        <row r="13">
          <cell r="A13" t="str">
            <v>61690:MIOTICS &amp; GLAUCOMA,OTH NRx</v>
          </cell>
          <cell r="V13">
            <v>423271</v>
          </cell>
          <cell r="W13">
            <v>436673</v>
          </cell>
          <cell r="X13">
            <v>859944</v>
          </cell>
          <cell r="Y13">
            <v>453786</v>
          </cell>
          <cell r="Z13">
            <v>418209</v>
          </cell>
          <cell r="AA13">
            <v>447557</v>
          </cell>
          <cell r="AB13">
            <v>1319552</v>
          </cell>
          <cell r="AC13">
            <v>451447</v>
          </cell>
          <cell r="AD13">
            <v>458783</v>
          </cell>
          <cell r="AE13">
            <v>428811</v>
          </cell>
          <cell r="AF13">
            <v>1339041</v>
          </cell>
          <cell r="AG13">
            <v>462202</v>
          </cell>
          <cell r="AH13">
            <v>483300</v>
          </cell>
          <cell r="AI13">
            <v>452996</v>
          </cell>
          <cell r="AJ13">
            <v>1398498</v>
          </cell>
          <cell r="AK13">
            <v>470427</v>
          </cell>
          <cell r="AL13">
            <v>446965</v>
          </cell>
          <cell r="AM13">
            <v>467597</v>
          </cell>
          <cell r="AN13">
            <v>1384989</v>
          </cell>
          <cell r="AO13">
            <v>465119</v>
          </cell>
          <cell r="AP13">
            <v>424846</v>
          </cell>
          <cell r="AQ13">
            <v>458643</v>
          </cell>
          <cell r="AR13">
            <v>1348608</v>
          </cell>
          <cell r="AS13">
            <v>450482</v>
          </cell>
          <cell r="AT13">
            <v>465737</v>
          </cell>
          <cell r="AU13">
            <v>451583</v>
          </cell>
          <cell r="AV13">
            <v>1367802</v>
          </cell>
          <cell r="AW13">
            <v>464844</v>
          </cell>
          <cell r="AX13">
            <v>437291</v>
          </cell>
          <cell r="AY13">
            <v>448440</v>
          </cell>
          <cell r="AZ13">
            <v>1350575</v>
          </cell>
          <cell r="BA13">
            <v>480981</v>
          </cell>
          <cell r="BB13">
            <v>441987</v>
          </cell>
          <cell r="BC13">
            <v>494403</v>
          </cell>
          <cell r="BD13">
            <v>1417371</v>
          </cell>
          <cell r="BE13">
            <v>468350</v>
          </cell>
          <cell r="BF13">
            <v>439907</v>
          </cell>
          <cell r="BG13">
            <v>498044</v>
          </cell>
          <cell r="BH13">
            <v>1406301</v>
          </cell>
          <cell r="BI13">
            <v>471501</v>
          </cell>
          <cell r="BJ13">
            <v>469522</v>
          </cell>
          <cell r="BK13">
            <v>493293</v>
          </cell>
          <cell r="BL13">
            <v>1434316</v>
          </cell>
          <cell r="BM13">
            <v>484229</v>
          </cell>
          <cell r="BN13">
            <v>488056</v>
          </cell>
          <cell r="BO13">
            <v>479461</v>
          </cell>
          <cell r="BP13">
            <v>1451746</v>
          </cell>
        </row>
        <row r="14">
          <cell r="A14" t="str">
            <v>TRx Market Growth</v>
          </cell>
          <cell r="X14">
            <v>0.11408358038677835</v>
          </cell>
          <cell r="AB14">
            <v>9.2916006617190572E-2</v>
          </cell>
          <cell r="AF14">
            <v>0.11446403506122738</v>
          </cell>
          <cell r="AJ14">
            <v>0.11844161747698734</v>
          </cell>
          <cell r="AK14">
            <v>6.1490734800166091E-2</v>
          </cell>
          <cell r="AL14">
            <v>7.1725766712386951E-2</v>
          </cell>
          <cell r="AM14">
            <v>8.9567495288427779E-2</v>
          </cell>
          <cell r="AN14">
            <v>7.4334454942031059E-2</v>
          </cell>
          <cell r="AO14">
            <v>6.9599708511333347E-2</v>
          </cell>
          <cell r="AP14">
            <v>6.5287445644086617E-2</v>
          </cell>
          <cell r="AQ14">
            <v>5.8601480391816896E-2</v>
          </cell>
          <cell r="AR14">
            <v>6.4470408513337629E-2</v>
          </cell>
          <cell r="AS14">
            <v>2.1903309925066061E-2</v>
          </cell>
          <cell r="AT14">
            <v>2.3899414192232404E-2</v>
          </cell>
          <cell r="AU14">
            <v>5.0540870868669652E-2</v>
          </cell>
          <cell r="AV14">
            <v>3.1932570005615002E-2</v>
          </cell>
          <cell r="AW14">
            <v>1.6091986121098412E-2</v>
          </cell>
          <cell r="AX14">
            <v>-9.8724390748502477E-3</v>
          </cell>
          <cell r="AY14">
            <v>-8.4464712762318483E-2</v>
          </cell>
          <cell r="AZ14">
            <v>-2.4858465304873345E-2</v>
          </cell>
          <cell r="BA14">
            <v>3.6079373341411092E-2</v>
          </cell>
          <cell r="BB14">
            <v>4.8039181657524299E-3</v>
          </cell>
          <cell r="BC14">
            <v>5.8424476029872219E-2</v>
          </cell>
          <cell r="BD14">
            <v>3.373295177687452E-2</v>
          </cell>
          <cell r="BE14">
            <v>2.0344587060459052E-2</v>
          </cell>
          <cell r="BF14">
            <v>4.0757632549610401E-2</v>
          </cell>
          <cell r="BG14">
            <v>6.8749568415334972E-2</v>
          </cell>
          <cell r="BH14">
            <v>4.3281828948491752E-2</v>
          </cell>
          <cell r="BI14">
            <v>3.9086080965876402E-2</v>
          </cell>
          <cell r="BJ14">
            <v>9.9820030971420337E-4</v>
          </cell>
          <cell r="BK14">
            <v>7.4531127735607328E-2</v>
          </cell>
          <cell r="BL14">
            <v>3.7945784841322272E-2</v>
          </cell>
          <cell r="BM14">
            <v>3.6985378991919893E-2</v>
          </cell>
          <cell r="BN14">
            <v>9.5082542022369099E-2</v>
          </cell>
          <cell r="BO14">
            <v>0.22056330628780074</v>
          </cell>
          <cell r="BP14">
            <v>0.1120636646967792</v>
          </cell>
        </row>
        <row r="15">
          <cell r="A15" t="str">
            <v>NRx Market Growth</v>
          </cell>
          <cell r="AL15">
            <v>5.5978321217376115E-2</v>
          </cell>
          <cell r="AM15">
            <v>7.0817293489636501E-2</v>
          </cell>
          <cell r="AN15">
            <v>0.61055719907342798</v>
          </cell>
          <cell r="AO15">
            <v>2.4974327105728333E-2</v>
          </cell>
          <cell r="AP15">
            <v>1.5870055402920524E-2</v>
          </cell>
          <cell r="AQ15">
            <v>2.4770029292358275E-2</v>
          </cell>
          <cell r="AR15">
            <v>2.2019594529052222E-2</v>
          </cell>
          <cell r="AS15">
            <v>-2.1375709662485587E-3</v>
          </cell>
          <cell r="AT15">
            <v>1.5157492758014035E-2</v>
          </cell>
          <cell r="AU15">
            <v>5.3104980982297656E-2</v>
          </cell>
          <cell r="AV15">
            <v>2.1478804607177882E-2</v>
          </cell>
          <cell r="AW15">
            <v>5.7161154646669932E-3</v>
          </cell>
          <cell r="AX15">
            <v>-9.5197599834471291E-2</v>
          </cell>
          <cell r="AY15">
            <v>-1.0057483951293134E-2</v>
          </cell>
          <cell r="AZ15">
            <v>-3.4267478394677697E-2</v>
          </cell>
          <cell r="BA15">
            <v>2.24349367702108E-2</v>
          </cell>
          <cell r="BB15">
            <v>-1.1137337375409673E-2</v>
          </cell>
          <cell r="BC15">
            <v>5.7327142817426013E-2</v>
          </cell>
          <cell r="BD15">
            <v>2.338069111018215E-2</v>
          </cell>
          <cell r="BE15">
            <v>6.9466093623351544E-3</v>
          </cell>
          <cell r="BF15">
            <v>3.5450492649101051E-2</v>
          </cell>
          <cell r="BG15">
            <v>8.590777576459252E-2</v>
          </cell>
          <cell r="BH15">
            <v>4.27796661446469E-2</v>
          </cell>
          <cell r="BI15">
            <v>4.6658912009802878E-2</v>
          </cell>
          <cell r="BJ15">
            <v>8.126904239946553E-3</v>
          </cell>
          <cell r="BK15">
            <v>9.2363972957352214E-2</v>
          </cell>
          <cell r="BL15">
            <v>4.862838334788222E-2</v>
          </cell>
          <cell r="BM15">
            <v>4.1702162445895752E-2</v>
          </cell>
          <cell r="BN15">
            <v>0.11608974344315337</v>
          </cell>
          <cell r="BO15">
            <v>6.917536348229425E-2</v>
          </cell>
          <cell r="BP15">
            <v>7.4909575551154184E-2</v>
          </cell>
        </row>
        <row r="16">
          <cell r="A16" t="str">
            <v>TRx Market Share</v>
          </cell>
          <cell r="T16">
            <v>9.7385537900007355E-4</v>
          </cell>
          <cell r="X16">
            <v>3.1109597047031069E-2</v>
          </cell>
          <cell r="AB16">
            <v>5.9520865833371094E-2</v>
          </cell>
          <cell r="AC16">
            <v>7.2625718877109544E-2</v>
          </cell>
          <cell r="AD16">
            <v>7.8872637877664603E-2</v>
          </cell>
          <cell r="AE16">
            <v>8.3801699131883928E-2</v>
          </cell>
          <cell r="AF16">
            <v>7.8408730255608988E-2</v>
          </cell>
          <cell r="AG16">
            <v>0.10106325791160228</v>
          </cell>
          <cell r="AH16">
            <v>0.15334092860725915</v>
          </cell>
          <cell r="AI16">
            <v>0.18807387413494098</v>
          </cell>
          <cell r="AJ16">
            <v>0.14655654693596512</v>
          </cell>
          <cell r="AK16">
            <v>0.20303473756965007</v>
          </cell>
          <cell r="AL16">
            <v>0.21082960454263819</v>
          </cell>
          <cell r="AM16">
            <v>0.21411845682623809</v>
          </cell>
          <cell r="AN16">
            <v>0.20936189927583546</v>
          </cell>
          <cell r="AO16">
            <v>0.21565290495397677</v>
          </cell>
          <cell r="AP16">
            <v>0.21426237764755823</v>
          </cell>
          <cell r="AQ16">
            <v>0.21391863214179185</v>
          </cell>
          <cell r="AR16">
            <v>0.21462449506478812</v>
          </cell>
          <cell r="AS16">
            <v>0.21261966890163822</v>
          </cell>
          <cell r="AT16">
            <v>0.20925584899342903</v>
          </cell>
          <cell r="AU16">
            <v>0.20780754823647354</v>
          </cell>
          <cell r="AV16">
            <v>0.20987986701361921</v>
          </cell>
          <cell r="AW16">
            <v>0.20434026823503545</v>
          </cell>
          <cell r="AX16">
            <v>0.20158286045496504</v>
          </cell>
          <cell r="AY16">
            <v>0.22613991780289991</v>
          </cell>
          <cell r="AZ16">
            <v>0.2099472288528037</v>
          </cell>
          <cell r="BA16">
            <v>0.19477782238831068</v>
          </cell>
          <cell r="BB16">
            <v>0.1911072108939533</v>
          </cell>
          <cell r="BC16">
            <v>0.18807178363980198</v>
          </cell>
          <cell r="BD16">
            <v>0.19126347897263049</v>
          </cell>
          <cell r="BE16">
            <v>0.18720178168916243</v>
          </cell>
          <cell r="BF16">
            <v>0.18496800791581322</v>
          </cell>
          <cell r="BG16">
            <v>0.18324030160929342</v>
          </cell>
          <cell r="BH16">
            <v>0.18511672584755345</v>
          </cell>
          <cell r="BI16">
            <v>0.18165206400594269</v>
          </cell>
          <cell r="BJ16">
            <v>0.18034983703957669</v>
          </cell>
          <cell r="BK16">
            <v>0.1758257049427995</v>
          </cell>
          <cell r="BL16">
            <v>0.17922194374115058</v>
          </cell>
          <cell r="BM16">
            <v>0.17585985277650784</v>
          </cell>
          <cell r="BN16">
            <v>0.175168344392931</v>
          </cell>
          <cell r="BO16">
            <v>0.17505787965309635</v>
          </cell>
          <cell r="BP16">
            <v>0.17536200155958467</v>
          </cell>
        </row>
        <row r="17">
          <cell r="A17" t="str">
            <v>NRx Market Share</v>
          </cell>
          <cell r="V17">
            <v>7.5752886448634565E-2</v>
          </cell>
          <cell r="W17">
            <v>8.5125482912843248E-2</v>
          </cell>
          <cell r="X17">
            <v>0.10571386043742383</v>
          </cell>
          <cell r="Y17">
            <v>8.4691903231919885E-2</v>
          </cell>
          <cell r="Z17">
            <v>9.066041142108372E-2</v>
          </cell>
          <cell r="AA17">
            <v>9.4714192829069815E-2</v>
          </cell>
          <cell r="AB17">
            <v>8.9982812348433402E-2</v>
          </cell>
          <cell r="AC17">
            <v>9.7362481088588471E-2</v>
          </cell>
          <cell r="AD17">
            <v>0.10164500428307065</v>
          </cell>
          <cell r="AE17">
            <v>0.10456354897612234</v>
          </cell>
          <cell r="AF17">
            <v>0.10113581286906077</v>
          </cell>
          <cell r="AG17">
            <v>0.13944119670620206</v>
          </cell>
          <cell r="AH17">
            <v>0.24193461618042625</v>
          </cell>
          <cell r="AI17">
            <v>0.27152778390979171</v>
          </cell>
          <cell r="AJ17">
            <v>0.21764636059543882</v>
          </cell>
          <cell r="AK17">
            <v>0.25839290686971622</v>
          </cell>
          <cell r="AL17">
            <v>0.24761446645710514</v>
          </cell>
          <cell r="AM17">
            <v>0.23536079145075781</v>
          </cell>
          <cell r="AN17">
            <v>0.24713842492611854</v>
          </cell>
          <cell r="AO17">
            <v>0.22986375529703151</v>
          </cell>
          <cell r="AP17">
            <v>0.22419182480239899</v>
          </cell>
          <cell r="AQ17">
            <v>0.22333928567535097</v>
          </cell>
          <cell r="AR17">
            <v>0.22585806995064542</v>
          </cell>
          <cell r="AS17">
            <v>0.22095666419523977</v>
          </cell>
          <cell r="AT17">
            <v>0.21478645673416541</v>
          </cell>
          <cell r="AU17">
            <v>0.21177059366716638</v>
          </cell>
          <cell r="AV17">
            <v>0.21582290419227343</v>
          </cell>
          <cell r="AW17">
            <v>0.20363175602997996</v>
          </cell>
          <cell r="AX17">
            <v>0.20339087701324748</v>
          </cell>
          <cell r="AY17">
            <v>0.20244625813932746</v>
          </cell>
          <cell r="AZ17">
            <v>0.20316013549784351</v>
          </cell>
          <cell r="BA17">
            <v>0.20021372985627292</v>
          </cell>
          <cell r="BB17">
            <v>0.19851036342697861</v>
          </cell>
          <cell r="BC17">
            <v>0.19593529974534943</v>
          </cell>
          <cell r="BD17">
            <v>0.19819017039293171</v>
          </cell>
          <cell r="BE17">
            <v>0.1956015800149461</v>
          </cell>
          <cell r="BF17">
            <v>0.19446155664720044</v>
          </cell>
          <cell r="BG17">
            <v>0.19282031306470915</v>
          </cell>
          <cell r="BH17">
            <v>0.1942599770603875</v>
          </cell>
          <cell r="BI17">
            <v>0.19295611250029163</v>
          </cell>
          <cell r="BJ17">
            <v>0.18957365150088815</v>
          </cell>
          <cell r="BK17">
            <v>0.18434885554832522</v>
          </cell>
          <cell r="BL17">
            <v>0.18888864099682356</v>
          </cell>
          <cell r="BM17">
            <v>0.18396667692352173</v>
          </cell>
          <cell r="BN17">
            <v>0.18430057206550068</v>
          </cell>
          <cell r="BO17">
            <v>0.18550831037352361</v>
          </cell>
          <cell r="BP17">
            <v>0.18458807532447136</v>
          </cell>
        </row>
        <row r="18">
          <cell r="A18" t="str">
            <v>Price Change (YoY)</v>
          </cell>
          <cell r="T18" t="str">
            <v>NA</v>
          </cell>
          <cell r="X18" t="str">
            <v>NA</v>
          </cell>
          <cell r="AB18" t="str">
            <v>NA</v>
          </cell>
          <cell r="AF18" t="str">
            <v>NA</v>
          </cell>
          <cell r="AI18">
            <v>0.05</v>
          </cell>
          <cell r="AJ18">
            <v>0.05</v>
          </cell>
          <cell r="AN18">
            <v>0.05</v>
          </cell>
          <cell r="AR18">
            <v>0.05</v>
          </cell>
          <cell r="AV18">
            <v>0.05</v>
          </cell>
          <cell r="AZ18">
            <v>0</v>
          </cell>
          <cell r="BD18">
            <v>0</v>
          </cell>
          <cell r="BH18">
            <v>0</v>
          </cell>
          <cell r="BL18">
            <v>0</v>
          </cell>
          <cell r="BN18">
            <v>8.9895988112927094E-2</v>
          </cell>
          <cell r="BP18">
            <v>8.9895988112927094E-2</v>
          </cell>
        </row>
        <row r="19">
          <cell r="A19" t="str">
            <v>Sales (IMS)</v>
          </cell>
          <cell r="R19">
            <v>0.25695899999999999</v>
          </cell>
          <cell r="S19">
            <v>1.4723459999999999</v>
          </cell>
          <cell r="T19">
            <v>1.7293049999999999</v>
          </cell>
          <cell r="U19">
            <v>2.4467080000000001</v>
          </cell>
          <cell r="V19">
            <v>3.2194929999999999</v>
          </cell>
          <cell r="W19">
            <v>3.4640759999999999</v>
          </cell>
          <cell r="X19">
            <v>9.1302769999999995</v>
          </cell>
          <cell r="Y19">
            <v>4.5034609999999997</v>
          </cell>
          <cell r="Z19">
            <v>4.5741300000000003</v>
          </cell>
          <cell r="AA19">
            <v>6.7565999999999997</v>
          </cell>
          <cell r="AB19">
            <v>15.834190999999999</v>
          </cell>
          <cell r="AC19">
            <v>5.6615320000000002</v>
          </cell>
          <cell r="AD19">
            <v>6.154153</v>
          </cell>
          <cell r="AE19">
            <v>8.7673179999999995</v>
          </cell>
          <cell r="AF19">
            <v>20.583003000000001</v>
          </cell>
          <cell r="AG19">
            <v>11.116794000000001</v>
          </cell>
          <cell r="AH19">
            <v>14.526199</v>
          </cell>
          <cell r="AI19">
            <v>20.386505</v>
          </cell>
          <cell r="AJ19">
            <v>46.029497999999997</v>
          </cell>
          <cell r="AK19">
            <v>17.665129</v>
          </cell>
          <cell r="AL19">
            <v>17.899376</v>
          </cell>
          <cell r="AM19">
            <v>23.315673</v>
          </cell>
          <cell r="AN19">
            <v>58.880178000000001</v>
          </cell>
          <cell r="AO19">
            <v>18.77197</v>
          </cell>
          <cell r="AP19">
            <v>18.507079999999998</v>
          </cell>
          <cell r="AQ19">
            <v>23.233034</v>
          </cell>
          <cell r="AR19">
            <v>60.512084000000002</v>
          </cell>
          <cell r="AS19">
            <v>19.70795</v>
          </cell>
          <cell r="AT19">
            <v>19.673608999999999</v>
          </cell>
          <cell r="AU19">
            <v>24.906694000000002</v>
          </cell>
          <cell r="AV19">
            <v>64.288252999999997</v>
          </cell>
          <cell r="AW19">
            <v>19.467495</v>
          </cell>
          <cell r="AX19">
            <v>19.287573999999999</v>
          </cell>
          <cell r="AY19">
            <v>23.48227</v>
          </cell>
          <cell r="AZ19">
            <v>62.237338999999999</v>
          </cell>
          <cell r="BA19">
            <v>18.519603</v>
          </cell>
          <cell r="BB19">
            <v>18.333057</v>
          </cell>
          <cell r="BC19">
            <v>22.400337</v>
          </cell>
          <cell r="BD19">
            <v>59.252997000000008</v>
          </cell>
          <cell r="BE19">
            <v>18.414895999999999</v>
          </cell>
          <cell r="BF19">
            <v>18.495877</v>
          </cell>
          <cell r="BG19">
            <v>23.180472999999999</v>
          </cell>
          <cell r="BH19">
            <v>60.091245999999998</v>
          </cell>
          <cell r="BI19">
            <v>18.528575</v>
          </cell>
          <cell r="BJ19">
            <v>19.099595000000001</v>
          </cell>
          <cell r="BK19">
            <v>23.331378999999998</v>
          </cell>
          <cell r="BL19">
            <v>60.959548999999996</v>
          </cell>
          <cell r="BM19">
            <v>18.666243999999999</v>
          </cell>
          <cell r="BN19">
            <v>18.680342</v>
          </cell>
          <cell r="BO19">
            <v>22.438679</v>
          </cell>
          <cell r="BP19">
            <v>59.785265000000003</v>
          </cell>
        </row>
        <row r="20">
          <cell r="A20" t="str">
            <v xml:space="preserve">  % Change</v>
          </cell>
          <cell r="AH20">
            <v>55.531193692378942</v>
          </cell>
          <cell r="AI20">
            <v>12.846273226537784</v>
          </cell>
          <cell r="AJ20">
            <v>25.617339335744706</v>
          </cell>
          <cell r="AK20">
            <v>6.219958000709525</v>
          </cell>
          <cell r="AL20">
            <v>4.5596878141993162</v>
          </cell>
          <cell r="AM20">
            <v>5.7307048113263104</v>
          </cell>
          <cell r="AN20">
            <v>5.44889284301013</v>
          </cell>
          <cell r="AO20">
            <v>3.1683429699957433</v>
          </cell>
          <cell r="AP20">
            <v>3.0460327974937309</v>
          </cell>
          <cell r="AQ20">
            <v>2.4385688067963178</v>
          </cell>
          <cell r="AR20">
            <v>2.8216088210632297</v>
          </cell>
          <cell r="AS20">
            <v>2.4810277500860192</v>
          </cell>
          <cell r="AT20">
            <v>2.1968020619571855</v>
          </cell>
          <cell r="AU20">
            <v>1.8408566907234349</v>
          </cell>
          <cell r="AV20">
            <v>2.1233660608221254</v>
          </cell>
          <cell r="AW20">
            <v>0.75117889204387511</v>
          </cell>
          <cell r="AX20">
            <v>0.32777845050862919</v>
          </cell>
          <cell r="AY20">
            <v>0.15185364043518002</v>
          </cell>
          <cell r="AZ20">
            <v>0.35211856970501842</v>
          </cell>
          <cell r="BA20">
            <v>4.837066290316927E-2</v>
          </cell>
          <cell r="BB20">
            <v>2.4228833452071274E-2</v>
          </cell>
          <cell r="BC20">
            <v>-3.9258399275028388E-2</v>
          </cell>
          <cell r="BD20">
            <v>6.3318252876207737E-3</v>
          </cell>
          <cell r="BE20">
            <v>-1.902165835551628E-2</v>
          </cell>
          <cell r="BF20">
            <v>-6.0533590388101022E-4</v>
          </cell>
          <cell r="BG20">
            <v>-2.2623390470655202E-3</v>
          </cell>
          <cell r="BH20">
            <v>-6.9546109170526282E-3</v>
          </cell>
          <cell r="BI20">
            <v>-5.9842601589713773E-2</v>
          </cell>
          <cell r="BJ20">
            <v>-2.9176853113223822E-2</v>
          </cell>
          <cell r="BK20">
            <v>-6.3248659175722088E-2</v>
          </cell>
          <cell r="BL20">
            <v>-5.1777795237335278E-2</v>
          </cell>
          <cell r="BM20">
            <v>-4.1158402763170177E-2</v>
          </cell>
          <cell r="BN20">
            <v>-3.1483067803135811E-2</v>
          </cell>
          <cell r="BO20">
            <v>-4.4441657471786078E-2</v>
          </cell>
          <cell r="BP20">
            <v>-3.9398760284400924E-2</v>
          </cell>
        </row>
        <row r="22">
          <cell r="A22" t="str">
            <v>TRx ALPHAGAN FRANCHISE</v>
          </cell>
          <cell r="C22">
            <v>310051</v>
          </cell>
          <cell r="D22">
            <v>298089</v>
          </cell>
          <cell r="E22">
            <v>310315</v>
          </cell>
          <cell r="F22">
            <v>304975</v>
          </cell>
          <cell r="G22">
            <v>320706</v>
          </cell>
          <cell r="H22">
            <v>935996</v>
          </cell>
          <cell r="I22">
            <v>320729</v>
          </cell>
          <cell r="J22">
            <v>291406</v>
          </cell>
          <cell r="K22">
            <v>326764</v>
          </cell>
          <cell r="L22">
            <v>938899</v>
          </cell>
          <cell r="M22">
            <v>309081</v>
          </cell>
          <cell r="N22">
            <v>320508</v>
          </cell>
          <cell r="O22">
            <v>304043</v>
          </cell>
          <cell r="P22">
            <v>933632</v>
          </cell>
          <cell r="Q22">
            <v>308449</v>
          </cell>
          <cell r="R22">
            <v>310288</v>
          </cell>
          <cell r="S22">
            <v>285857</v>
          </cell>
          <cell r="T22">
            <v>904594</v>
          </cell>
          <cell r="U22">
            <v>318981</v>
          </cell>
          <cell r="V22">
            <v>305331</v>
          </cell>
          <cell r="W22">
            <v>320619</v>
          </cell>
          <cell r="X22">
            <v>944931</v>
          </cell>
          <cell r="Y22">
            <v>317017</v>
          </cell>
          <cell r="Z22">
            <v>287965</v>
          </cell>
          <cell r="AA22">
            <v>310982</v>
          </cell>
          <cell r="AB22">
            <v>915964</v>
          </cell>
          <cell r="AC22">
            <v>313354</v>
          </cell>
          <cell r="AD22">
            <v>319143</v>
          </cell>
          <cell r="AE22">
            <v>298754</v>
          </cell>
          <cell r="AF22">
            <v>931251</v>
          </cell>
          <cell r="AG22">
            <v>319507</v>
          </cell>
          <cell r="AH22">
            <v>316819</v>
          </cell>
          <cell r="AI22">
            <v>299569</v>
          </cell>
          <cell r="AJ22">
            <v>935895</v>
          </cell>
          <cell r="AK22">
            <v>312633</v>
          </cell>
          <cell r="AL22">
            <v>301464</v>
          </cell>
          <cell r="AM22">
            <v>322485</v>
          </cell>
          <cell r="AN22">
            <v>936582</v>
          </cell>
          <cell r="AO22">
            <v>314038</v>
          </cell>
          <cell r="AP22">
            <v>281698</v>
          </cell>
          <cell r="AQ22">
            <v>305593</v>
          </cell>
          <cell r="AR22">
            <v>901329</v>
          </cell>
          <cell r="AS22">
            <v>299557</v>
          </cell>
          <cell r="AT22">
            <v>303708</v>
          </cell>
          <cell r="AU22">
            <v>295058</v>
          </cell>
          <cell r="AV22">
            <v>898323</v>
          </cell>
          <cell r="AW22">
            <v>299961</v>
          </cell>
          <cell r="AX22">
            <v>283957</v>
          </cell>
          <cell r="AY22">
            <v>279364</v>
          </cell>
          <cell r="AZ22">
            <v>863282</v>
          </cell>
          <cell r="BA22">
            <v>285685</v>
          </cell>
          <cell r="BB22">
            <v>261632</v>
          </cell>
          <cell r="BC22">
            <v>290736</v>
          </cell>
          <cell r="BD22">
            <v>838053</v>
          </cell>
          <cell r="BE22">
            <v>272270</v>
          </cell>
          <cell r="BF22">
            <v>249228</v>
          </cell>
          <cell r="BG22">
            <v>276310</v>
          </cell>
          <cell r="BH22">
            <v>797808</v>
          </cell>
          <cell r="BI22">
            <v>263263</v>
          </cell>
          <cell r="BJ22">
            <v>259736</v>
          </cell>
          <cell r="BK22">
            <v>266308</v>
          </cell>
          <cell r="BL22">
            <v>789307</v>
          </cell>
          <cell r="BM22">
            <v>266222</v>
          </cell>
          <cell r="BN22">
            <v>268607</v>
          </cell>
          <cell r="BO22">
            <v>262265</v>
          </cell>
          <cell r="BP22">
            <v>797094</v>
          </cell>
        </row>
        <row r="23">
          <cell r="A23" t="str">
            <v xml:space="preserve">  % Change</v>
          </cell>
          <cell r="X23">
            <v>9.5459809657305605E-3</v>
          </cell>
          <cell r="AB23">
            <v>-2.442754758499055E-2</v>
          </cell>
          <cell r="AC23">
            <v>1.3824854973291778E-2</v>
          </cell>
          <cell r="AD23">
            <v>-4.2588640533153255E-3</v>
          </cell>
          <cell r="AE23">
            <v>-1.7395565758790643E-2</v>
          </cell>
          <cell r="AF23">
            <v>-2.550255346860486E-3</v>
          </cell>
          <cell r="AG23">
            <v>3.5850335063495109E-2</v>
          </cell>
          <cell r="AH23">
            <v>2.104818749033166E-2</v>
          </cell>
          <cell r="AI23">
            <v>4.7968039964037867E-2</v>
          </cell>
          <cell r="AJ23">
            <v>3.460226355691054E-2</v>
          </cell>
          <cell r="AK23">
            <v>-1.9900871838761547E-2</v>
          </cell>
          <cell r="AL23">
            <v>-1.26649439460782E-2</v>
          </cell>
          <cell r="AM23">
            <v>5.8199919530657063E-3</v>
          </cell>
          <cell r="AN23">
            <v>-8.835565771469045E-3</v>
          </cell>
          <cell r="AO23">
            <v>-9.3969724021109036E-3</v>
          </cell>
          <cell r="AP23">
            <v>-2.1763061483166313E-2</v>
          </cell>
          <cell r="AQ23">
            <v>-1.7328977239840282E-2</v>
          </cell>
          <cell r="AR23">
            <v>-1.5977702180435038E-2</v>
          </cell>
          <cell r="AS23">
            <v>-4.4030074612100067E-2</v>
          </cell>
          <cell r="AT23">
            <v>-4.8363899568531932E-2</v>
          </cell>
          <cell r="AU23">
            <v>-1.2371382475213744E-2</v>
          </cell>
          <cell r="AV23">
            <v>-3.5358888205220707E-2</v>
          </cell>
          <cell r="AW23">
            <v>-6.1175498502380243E-2</v>
          </cell>
          <cell r="AX23">
            <v>-0.10372483973499069</v>
          </cell>
          <cell r="AY23">
            <v>-6.7446898711148395E-2</v>
          </cell>
          <cell r="AZ23">
            <v>-7.7586695088658453E-2</v>
          </cell>
          <cell r="BA23">
            <v>-8.6196914593149154E-2</v>
          </cell>
          <cell r="BB23">
            <v>-0.13212854602871327</v>
          </cell>
          <cell r="BC23">
            <v>-9.8451090748406855E-2</v>
          </cell>
          <cell r="BD23">
            <v>-0.10520061243970091</v>
          </cell>
          <cell r="BE23">
            <v>-0.13300301237429868</v>
          </cell>
          <cell r="BF23">
            <v>-0.11526528409857362</v>
          </cell>
          <cell r="BG23">
            <v>-9.5823529989234046E-2</v>
          </cell>
          <cell r="BH23">
            <v>-0.11485373265477983</v>
          </cell>
          <cell r="BI23">
            <v>-0.12115891132572432</v>
          </cell>
          <cell r="BJ23">
            <v>-0.14478380549738568</v>
          </cell>
          <cell r="BK23">
            <v>-9.7438469724596466E-2</v>
          </cell>
          <cell r="BL23">
            <v>-0.12135501373114121</v>
          </cell>
          <cell r="BM23">
            <v>-0.11247795546754413</v>
          </cell>
          <cell r="BN23">
            <v>-5.4057480534024482E-2</v>
          </cell>
          <cell r="BO23">
            <v>-6.1206884208416246E-2</v>
          </cell>
          <cell r="BP23">
            <v>-7.6670195834038002E-2</v>
          </cell>
        </row>
        <row r="25">
          <cell r="A25" t="str">
            <v>Franchise Price Change (YoY)</v>
          </cell>
          <cell r="C25">
            <v>0</v>
          </cell>
          <cell r="D25">
            <v>0</v>
          </cell>
          <cell r="E25">
            <v>0.06</v>
          </cell>
          <cell r="F25">
            <v>0</v>
          </cell>
          <cell r="G25">
            <v>0</v>
          </cell>
          <cell r="H25">
            <v>0.06</v>
          </cell>
          <cell r="I25">
            <v>0</v>
          </cell>
          <cell r="J25">
            <v>0.09</v>
          </cell>
          <cell r="K25">
            <v>0</v>
          </cell>
          <cell r="L25">
            <v>0.15</v>
          </cell>
          <cell r="M25">
            <v>0</v>
          </cell>
          <cell r="N25">
            <v>0</v>
          </cell>
          <cell r="O25">
            <v>0</v>
          </cell>
          <cell r="P25">
            <v>0.15</v>
          </cell>
          <cell r="Q25">
            <v>0</v>
          </cell>
          <cell r="R25">
            <v>0</v>
          </cell>
          <cell r="S25">
            <v>0</v>
          </cell>
          <cell r="T25" t="e">
            <v>#VALUE!</v>
          </cell>
          <cell r="U25">
            <v>0</v>
          </cell>
          <cell r="V25">
            <v>0</v>
          </cell>
          <cell r="W25">
            <v>0</v>
          </cell>
          <cell r="X25" t="e">
            <v>#VALUE!</v>
          </cell>
          <cell r="Y25">
            <v>0</v>
          </cell>
          <cell r="Z25">
            <v>0.09</v>
          </cell>
          <cell r="AA25">
            <v>0</v>
          </cell>
          <cell r="AB25" t="e">
            <v>#VALUE!</v>
          </cell>
          <cell r="AC25">
            <v>0</v>
          </cell>
          <cell r="AD25">
            <v>0</v>
          </cell>
          <cell r="AE25">
            <v>0</v>
          </cell>
          <cell r="AF25" t="e">
            <v>#VALUE!</v>
          </cell>
          <cell r="AG25">
            <v>0</v>
          </cell>
          <cell r="AH25">
            <v>0</v>
          </cell>
          <cell r="AI25">
            <v>0.05</v>
          </cell>
          <cell r="AJ25">
            <v>0.14000000000000001</v>
          </cell>
          <cell r="AK25">
            <v>0</v>
          </cell>
          <cell r="AL25">
            <v>0</v>
          </cell>
          <cell r="AM25">
            <v>0</v>
          </cell>
          <cell r="AN25">
            <v>0.14000000000000001</v>
          </cell>
          <cell r="AO25">
            <v>0</v>
          </cell>
          <cell r="AP25">
            <v>0</v>
          </cell>
          <cell r="AQ25">
            <v>0</v>
          </cell>
          <cell r="AR25">
            <v>0.05</v>
          </cell>
          <cell r="AS25">
            <v>0</v>
          </cell>
          <cell r="AT25">
            <v>0</v>
          </cell>
          <cell r="AU25">
            <v>0</v>
          </cell>
          <cell r="AV25">
            <v>0.05</v>
          </cell>
          <cell r="AZ25">
            <v>0</v>
          </cell>
          <cell r="BD25">
            <v>0</v>
          </cell>
          <cell r="BH25">
            <v>0</v>
          </cell>
          <cell r="BL25">
            <v>0</v>
          </cell>
          <cell r="BP25">
            <v>8.9895988112927094E-2</v>
          </cell>
        </row>
        <row r="26">
          <cell r="A26" t="str">
            <v xml:space="preserve">TRx + Franchise Price Change </v>
          </cell>
          <cell r="X26" t="e">
            <v>#VALUE!</v>
          </cell>
          <cell r="Y26">
            <v>0</v>
          </cell>
          <cell r="Z26">
            <v>0.09</v>
          </cell>
          <cell r="AA26">
            <v>0</v>
          </cell>
          <cell r="AB26" t="e">
            <v>#VALUE!</v>
          </cell>
          <cell r="AC26">
            <v>1.3824854973291778E-2</v>
          </cell>
          <cell r="AD26">
            <v>-4.2588640533153255E-3</v>
          </cell>
          <cell r="AE26">
            <v>-1.7395565758790643E-2</v>
          </cell>
          <cell r="AF26" t="e">
            <v>#VALUE!</v>
          </cell>
          <cell r="AG26">
            <v>3.5850335063495109E-2</v>
          </cell>
          <cell r="AH26">
            <v>2.104818749033166E-2</v>
          </cell>
          <cell r="AI26">
            <v>9.796803996403787E-2</v>
          </cell>
          <cell r="AJ26">
            <v>0.17460226355691055</v>
          </cell>
          <cell r="AK26">
            <v>-1.9900871838761547E-2</v>
          </cell>
          <cell r="AL26">
            <v>-1.26649439460782E-2</v>
          </cell>
          <cell r="AM26">
            <v>5.8199919530657063E-3</v>
          </cell>
          <cell r="AN26">
            <v>0.13116443422853097</v>
          </cell>
          <cell r="AO26">
            <v>-9.3969724021109036E-3</v>
          </cell>
          <cell r="AP26">
            <v>-2.1763061483166313E-2</v>
          </cell>
          <cell r="AQ26">
            <v>-1.7328977239840282E-2</v>
          </cell>
          <cell r="AR26">
            <v>3.4022297819564964E-2</v>
          </cell>
          <cell r="AS26">
            <v>-4.4030074612100067E-2</v>
          </cell>
          <cell r="AT26">
            <v>-4.8363899568531932E-2</v>
          </cell>
          <cell r="AU26">
            <v>-1.2371382475213744E-2</v>
          </cell>
          <cell r="AV26">
            <v>1.4641111794779296E-2</v>
          </cell>
          <cell r="AZ26">
            <v>-7.7586695088658453E-2</v>
          </cell>
          <cell r="BD26">
            <v>-0.10520061243970091</v>
          </cell>
          <cell r="BH26">
            <v>-0.11485373265477983</v>
          </cell>
          <cell r="BL26">
            <v>-0.12135501373114121</v>
          </cell>
          <cell r="BP26">
            <v>1.3225792278889092E-2</v>
          </cell>
        </row>
        <row r="28">
          <cell r="A28" t="str">
            <v xml:space="preserve">TOTAL ALPHAGAN FR. REPORTED SALES </v>
          </cell>
          <cell r="H28">
            <v>66.7</v>
          </cell>
          <cell r="L28">
            <v>66.5</v>
          </cell>
          <cell r="P28">
            <v>57.3</v>
          </cell>
          <cell r="T28">
            <v>61.5</v>
          </cell>
          <cell r="X28">
            <v>65.599999999999994</v>
          </cell>
          <cell r="AB28">
            <v>74.8</v>
          </cell>
          <cell r="AF28">
            <v>59.9</v>
          </cell>
          <cell r="AJ28">
            <v>49.2</v>
          </cell>
          <cell r="AN28">
            <v>64.7</v>
          </cell>
          <cell r="AR28">
            <v>77.3</v>
          </cell>
          <cell r="AV28">
            <v>64.7</v>
          </cell>
          <cell r="AZ28">
            <v>71.400000000000006</v>
          </cell>
          <cell r="BD28">
            <v>73.2</v>
          </cell>
          <cell r="BH28">
            <v>69.3</v>
          </cell>
          <cell r="BL28">
            <v>62.4</v>
          </cell>
          <cell r="BP28">
            <v>73</v>
          </cell>
        </row>
        <row r="29">
          <cell r="A29" t="str">
            <v xml:space="preserve">  % Change</v>
          </cell>
          <cell r="X29">
            <v>-1.6491754122938684E-2</v>
          </cell>
          <cell r="AB29">
            <v>0.12481203007518782</v>
          </cell>
          <cell r="AF29">
            <v>4.5375218150087271E-2</v>
          </cell>
          <cell r="AJ29">
            <v>-0.2</v>
          </cell>
          <cell r="AN29">
            <v>-1.3719512195121797E-2</v>
          </cell>
          <cell r="AR29">
            <v>3.3422459893048151E-2</v>
          </cell>
          <cell r="AV29">
            <v>8.0133555926544364E-2</v>
          </cell>
          <cell r="AZ29">
            <v>0.45121951219512191</v>
          </cell>
          <cell r="BD29">
            <v>0.13137557959814528</v>
          </cell>
          <cell r="BH29">
            <v>-0.10349288486416564</v>
          </cell>
          <cell r="BL29">
            <v>-3.5548686244204042E-2</v>
          </cell>
          <cell r="BP29">
            <v>2.2408963585434094E-2</v>
          </cell>
        </row>
        <row r="31">
          <cell r="A31" t="str">
            <v>TOTAL ALPHAGAN FR. SALES (IMS)</v>
          </cell>
          <cell r="C31">
            <v>13.509826</v>
          </cell>
          <cell r="D31">
            <v>17.566516</v>
          </cell>
          <cell r="E31">
            <v>14.310385</v>
          </cell>
          <cell r="F31">
            <v>14.076129</v>
          </cell>
          <cell r="G31">
            <v>19.320333000000002</v>
          </cell>
          <cell r="H31">
            <v>47.706846999999996</v>
          </cell>
          <cell r="I31">
            <v>15.613675000000001</v>
          </cell>
          <cell r="J31">
            <v>16.047630999999999</v>
          </cell>
          <cell r="K31">
            <v>20.707833999999998</v>
          </cell>
          <cell r="L31">
            <v>52.369140000000002</v>
          </cell>
          <cell r="M31">
            <v>15.857972999999999</v>
          </cell>
          <cell r="N31">
            <v>16.884091000000002</v>
          </cell>
          <cell r="O31">
            <v>20.314643</v>
          </cell>
          <cell r="P31">
            <v>53.056707000000003</v>
          </cell>
          <cell r="Q31">
            <v>15.749807000000001</v>
          </cell>
          <cell r="R31">
            <v>16.154910999999998</v>
          </cell>
          <cell r="S31">
            <v>20.275649000000001</v>
          </cell>
          <cell r="T31">
            <v>52.180367000000004</v>
          </cell>
          <cell r="U31">
            <v>18.331917000000001</v>
          </cell>
          <cell r="V31">
            <v>20.980948000000001</v>
          </cell>
          <cell r="W31">
            <v>19.982025</v>
          </cell>
          <cell r="X31">
            <v>59.294890000000002</v>
          </cell>
          <cell r="Y31">
            <v>18.222799999999999</v>
          </cell>
          <cell r="Z31">
            <v>17.375972000000001</v>
          </cell>
          <cell r="AA31">
            <v>25.286232999999999</v>
          </cell>
          <cell r="AB31">
            <v>60.885005</v>
          </cell>
          <cell r="AC31">
            <v>17.530849</v>
          </cell>
          <cell r="AD31">
            <v>17.514147000000001</v>
          </cell>
          <cell r="AE31">
            <v>22.036643999999999</v>
          </cell>
          <cell r="AF31">
            <v>57.081640000000007</v>
          </cell>
          <cell r="AG31">
            <v>16.721903000000001</v>
          </cell>
          <cell r="AH31">
            <v>15.682479000000001</v>
          </cell>
          <cell r="AI31">
            <v>21.034637</v>
          </cell>
          <cell r="AJ31">
            <v>53.439018999999995</v>
          </cell>
          <cell r="AK31">
            <v>17.871921</v>
          </cell>
          <cell r="AL31">
            <v>17.947406000000001</v>
          </cell>
          <cell r="AM31">
            <v>23.339734</v>
          </cell>
          <cell r="AN31">
            <v>59.159061000000001</v>
          </cell>
          <cell r="AO31">
            <v>18.796393999999999</v>
          </cell>
          <cell r="AP31">
            <v>18.520709</v>
          </cell>
          <cell r="AQ31">
            <v>23.248518000000001</v>
          </cell>
          <cell r="AR31">
            <v>60.565621</v>
          </cell>
          <cell r="AS31">
            <v>19.721893999999999</v>
          </cell>
          <cell r="AT31">
            <v>19.687336999999999</v>
          </cell>
          <cell r="AU31">
            <v>24.910657</v>
          </cell>
          <cell r="AV31">
            <v>64.319887999999992</v>
          </cell>
          <cell r="AW31">
            <v>19.469078</v>
          </cell>
          <cell r="AX31">
            <v>19.289300000000001</v>
          </cell>
          <cell r="AY31">
            <v>23.48339</v>
          </cell>
          <cell r="AZ31">
            <v>62.241768</v>
          </cell>
          <cell r="BA31">
            <v>18.534507999999999</v>
          </cell>
          <cell r="BB31">
            <v>18.334980000000002</v>
          </cell>
          <cell r="BC31">
            <v>22.401046000000001</v>
          </cell>
          <cell r="BD31">
            <v>59.270534000000005</v>
          </cell>
          <cell r="BE31">
            <v>18.41517</v>
          </cell>
          <cell r="BF31">
            <v>18.495982999999999</v>
          </cell>
          <cell r="BG31">
            <v>23.180630000000001</v>
          </cell>
          <cell r="BH31">
            <v>60.091783</v>
          </cell>
          <cell r="BI31">
            <v>18.528874999999999</v>
          </cell>
          <cell r="BJ31">
            <v>19.099648999999999</v>
          </cell>
          <cell r="BK31">
            <v>23.331674</v>
          </cell>
          <cell r="BL31">
            <v>60.960197999999998</v>
          </cell>
          <cell r="BM31">
            <v>18.666243999999999</v>
          </cell>
          <cell r="BN31">
            <v>18.680519</v>
          </cell>
          <cell r="BO31">
            <v>22.439128</v>
          </cell>
          <cell r="BP31">
            <v>59.785890999999999</v>
          </cell>
        </row>
        <row r="32">
          <cell r="A32" t="str">
            <v xml:space="preserve">  % Change</v>
          </cell>
          <cell r="X32">
            <v>0.24290104521055444</v>
          </cell>
          <cell r="Y32">
            <v>0.16710511778937365</v>
          </cell>
          <cell r="Z32">
            <v>8.2774896805640763E-2</v>
          </cell>
          <cell r="AA32">
            <v>0.22109502133347214</v>
          </cell>
          <cell r="AB32">
            <v>0.16261227509178111</v>
          </cell>
          <cell r="AC32">
            <v>0.10549116207979425</v>
          </cell>
          <cell r="AD32">
            <v>3.7316548459730425E-2</v>
          </cell>
          <cell r="AE32">
            <v>8.4766490850959109E-2</v>
          </cell>
          <cell r="AF32">
            <v>7.5860965136792302E-2</v>
          </cell>
          <cell r="AG32">
            <v>6.1721137281237848E-2</v>
          </cell>
          <cell r="AH32">
            <v>-2.924386274860924E-2</v>
          </cell>
          <cell r="AI32">
            <v>3.743347500245231E-2</v>
          </cell>
          <cell r="AJ32">
            <v>2.4121179523325154E-2</v>
          </cell>
          <cell r="AK32">
            <v>-2.5092629428771662E-2</v>
          </cell>
          <cell r="AL32">
            <v>-0.14458555447542221</v>
          </cell>
          <cell r="AM32">
            <v>0.16803647277991085</v>
          </cell>
          <cell r="AN32">
            <v>-2.2907370264115823E-3</v>
          </cell>
          <cell r="AO32">
            <v>3.1476721469807067E-2</v>
          </cell>
          <cell r="AP32">
            <v>6.5880458370904282E-2</v>
          </cell>
          <cell r="AQ32">
            <v>-8.0585945719949592E-2</v>
          </cell>
          <cell r="AR32">
            <v>-5.2456922685643059E-3</v>
          </cell>
          <cell r="AS32">
            <v>0.12498225271348806</v>
          </cell>
          <cell r="AT32">
            <v>0.12408197784339703</v>
          </cell>
          <cell r="AU32">
            <v>0.1304197227127688</v>
          </cell>
          <cell r="AV32">
            <v>0.12680518639618588</v>
          </cell>
          <cell r="AW32">
            <v>0.16428602653657287</v>
          </cell>
          <cell r="AX32">
            <v>0.22999048811096756</v>
          </cell>
          <cell r="AY32">
            <v>0.11641527258112427</v>
          </cell>
          <cell r="AZ32">
            <v>0.16472512341590706</v>
          </cell>
          <cell r="BA32">
            <v>3.7074190289896558E-2</v>
          </cell>
          <cell r="BB32">
            <v>2.159498704158147E-2</v>
          </cell>
          <cell r="BC32">
            <v>-4.0218453218018646E-2</v>
          </cell>
          <cell r="BD32">
            <v>1.8842929234459405E-3</v>
          </cell>
          <cell r="BE32">
            <v>-2.0281762555094285E-2</v>
          </cell>
          <cell r="BF32">
            <v>-1.3350460827391553E-3</v>
          </cell>
          <cell r="BG32">
            <v>-2.9201001113274838E-3</v>
          </cell>
          <cell r="BH32">
            <v>-7.8235472893112279E-3</v>
          </cell>
          <cell r="BI32">
            <v>-6.0492110950398525E-2</v>
          </cell>
          <cell r="BJ32">
            <v>-2.9851066195494047E-2</v>
          </cell>
          <cell r="BK32">
            <v>-6.3385843255760022E-2</v>
          </cell>
          <cell r="BL32">
            <v>-5.2234077273268786E-2</v>
          </cell>
          <cell r="BM32">
            <v>-4.1236364659898106E-2</v>
          </cell>
          <cell r="BN32">
            <v>-3.1560554296941823E-2</v>
          </cell>
          <cell r="BO32">
            <v>-4.446811129057604E-2</v>
          </cell>
          <cell r="BP32">
            <v>-3.9457057196704337E-2</v>
          </cell>
        </row>
        <row r="34">
          <cell r="A34" t="str">
            <v>REPORTED SALES/TRx ALPHAGAN FR.</v>
          </cell>
          <cell r="H34">
            <v>71.260988294821772</v>
          </cell>
          <cell r="L34">
            <v>70.827639607668132</v>
          </cell>
          <cell r="P34">
            <v>61.373217713188922</v>
          </cell>
          <cell r="T34">
            <v>67.986301036708184</v>
          </cell>
          <cell r="X34">
            <v>69.423058403206156</v>
          </cell>
          <cell r="AB34">
            <v>81.662598093374854</v>
          </cell>
          <cell r="AF34">
            <v>64.322078580318305</v>
          </cell>
          <cell r="AJ34">
            <v>52.569999839725611</v>
          </cell>
          <cell r="AN34">
            <v>69.0809774264293</v>
          </cell>
          <cell r="AR34">
            <v>85.762246638020073</v>
          </cell>
          <cell r="AV34">
            <v>72.023091916827241</v>
          </cell>
          <cell r="AZ34">
            <v>82.707620453108021</v>
          </cell>
          <cell r="BD34">
            <v>87.345311096076259</v>
          </cell>
          <cell r="BH34">
            <v>86.863004632693574</v>
          </cell>
          <cell r="BL34">
            <v>79.056691502799296</v>
          </cell>
          <cell r="BP34">
            <v>91.582674063535791</v>
          </cell>
        </row>
        <row r="35">
          <cell r="A35" t="str">
            <v>IMS SALES/REPORTED SALES</v>
          </cell>
          <cell r="H35">
            <v>0.7152450824587705</v>
          </cell>
          <cell r="L35">
            <v>0.78750586466165418</v>
          </cell>
          <cell r="P35">
            <v>0.92594602094240852</v>
          </cell>
          <cell r="T35">
            <v>0.84846125203252043</v>
          </cell>
          <cell r="X35">
            <v>0.90388551829268304</v>
          </cell>
          <cell r="AB35">
            <v>0.81397065508021393</v>
          </cell>
          <cell r="AF35">
            <v>0.95294891485809696</v>
          </cell>
          <cell r="AJ35">
            <v>1.0861589227642274</v>
          </cell>
          <cell r="AN35">
            <v>0.91435952086553318</v>
          </cell>
          <cell r="AR35">
            <v>0.78351385510996119</v>
          </cell>
          <cell r="AV35">
            <v>0.99412500772797507</v>
          </cell>
          <cell r="AZ35">
            <v>0.87173344537815123</v>
          </cell>
          <cell r="BD35">
            <v>0.80970674863387981</v>
          </cell>
          <cell r="BH35">
            <v>0.86712529581529585</v>
          </cell>
          <cell r="BL35">
            <v>0.97692625</v>
          </cell>
          <cell r="BP35">
            <v>0.81898480821917807</v>
          </cell>
        </row>
        <row r="36">
          <cell r="A36" t="str">
            <v>Projected Sales for Quarter (based on TRx and Price)</v>
          </cell>
          <cell r="AJ36">
            <v>63.208647319573352</v>
          </cell>
        </row>
        <row r="38">
          <cell r="A38" t="str">
            <v>LUMIGAN</v>
          </cell>
        </row>
        <row r="39">
          <cell r="A39" t="str">
            <v>TRx</v>
          </cell>
          <cell r="K39">
            <v>162</v>
          </cell>
          <cell r="M39">
            <v>7887</v>
          </cell>
          <cell r="N39">
            <v>20678</v>
          </cell>
          <cell r="O39">
            <v>31423</v>
          </cell>
          <cell r="P39">
            <v>59988</v>
          </cell>
          <cell r="Q39">
            <v>40984</v>
          </cell>
          <cell r="R39">
            <v>50185</v>
          </cell>
          <cell r="S39">
            <v>52207</v>
          </cell>
          <cell r="T39">
            <v>143376</v>
          </cell>
          <cell r="U39">
            <v>64962</v>
          </cell>
          <cell r="V39">
            <v>68457</v>
          </cell>
          <cell r="W39">
            <v>79581</v>
          </cell>
          <cell r="X39">
            <v>213000</v>
          </cell>
          <cell r="Y39">
            <v>83189</v>
          </cell>
          <cell r="Z39">
            <v>81118</v>
          </cell>
          <cell r="AA39">
            <v>94428</v>
          </cell>
          <cell r="AB39">
            <v>258735</v>
          </cell>
          <cell r="AC39">
            <v>101636</v>
          </cell>
          <cell r="AD39">
            <v>110730</v>
          </cell>
          <cell r="AE39">
            <v>107968</v>
          </cell>
          <cell r="AF39">
            <v>320334</v>
          </cell>
          <cell r="AG39">
            <v>117772</v>
          </cell>
          <cell r="AH39">
            <v>118565</v>
          </cell>
          <cell r="AI39">
            <v>115172</v>
          </cell>
          <cell r="AJ39">
            <v>351509</v>
          </cell>
          <cell r="AK39">
            <v>125078</v>
          </cell>
          <cell r="AL39">
            <v>124684</v>
          </cell>
          <cell r="AM39">
            <v>138106</v>
          </cell>
          <cell r="AN39">
            <v>387868</v>
          </cell>
          <cell r="AO39">
            <v>134158</v>
          </cell>
          <cell r="AP39">
            <v>124991</v>
          </cell>
          <cell r="AQ39">
            <v>137123</v>
          </cell>
          <cell r="AR39">
            <v>396272</v>
          </cell>
          <cell r="AS39">
            <v>138039</v>
          </cell>
          <cell r="AT39">
            <v>145478</v>
          </cell>
          <cell r="AU39">
            <v>143316</v>
          </cell>
          <cell r="AV39">
            <v>426833</v>
          </cell>
          <cell r="AW39">
            <v>150968</v>
          </cell>
          <cell r="AX39">
            <v>147140</v>
          </cell>
          <cell r="AY39">
            <v>149475</v>
          </cell>
          <cell r="AZ39">
            <v>447583</v>
          </cell>
          <cell r="BA39">
            <v>156317</v>
          </cell>
          <cell r="BB39">
            <v>147428</v>
          </cell>
          <cell r="BC39">
            <v>169829</v>
          </cell>
          <cell r="BD39">
            <v>473574</v>
          </cell>
          <cell r="BE39">
            <v>160260</v>
          </cell>
          <cell r="BF39">
            <v>147972</v>
          </cell>
          <cell r="BG39">
            <v>166514</v>
          </cell>
          <cell r="BH39">
            <v>474746</v>
          </cell>
          <cell r="BI39">
            <v>158638</v>
          </cell>
          <cell r="BJ39">
            <v>160062</v>
          </cell>
          <cell r="BK39">
            <v>168724</v>
          </cell>
          <cell r="BL39">
            <v>487424</v>
          </cell>
          <cell r="BM39">
            <v>170415</v>
          </cell>
          <cell r="BN39">
            <v>171689</v>
          </cell>
          <cell r="BO39">
            <v>169179</v>
          </cell>
          <cell r="BP39">
            <v>511283</v>
          </cell>
        </row>
        <row r="40">
          <cell r="A40" t="str">
            <v xml:space="preserve">  % Change</v>
          </cell>
          <cell r="AD40">
            <v>4.3549666312022444</v>
          </cell>
          <cell r="AE40">
            <v>2.4359545555803073</v>
          </cell>
          <cell r="AF40">
            <v>4.3399679935987194</v>
          </cell>
          <cell r="AG40">
            <v>1.8736092133515516</v>
          </cell>
          <cell r="AH40">
            <v>1.3625585334263226</v>
          </cell>
          <cell r="AI40">
            <v>1.2060643208765107</v>
          </cell>
          <cell r="AJ40">
            <v>1.4516585760517797</v>
          </cell>
          <cell r="AK40">
            <v>0.92540254302515312</v>
          </cell>
          <cell r="AL40">
            <v>0.82134770731992335</v>
          </cell>
          <cell r="AM40">
            <v>0.7354142320403112</v>
          </cell>
          <cell r="AN40">
            <v>0.82097652582159619</v>
          </cell>
          <cell r="AO40">
            <v>0.61268917765569975</v>
          </cell>
          <cell r="AP40">
            <v>0.54085406444932072</v>
          </cell>
          <cell r="AQ40">
            <v>0.45214343203287166</v>
          </cell>
          <cell r="AR40">
            <v>0.53157477728177471</v>
          </cell>
          <cell r="AS40">
            <v>0.3581703333464521</v>
          </cell>
          <cell r="AT40">
            <v>0.31380836268400625</v>
          </cell>
          <cell r="AU40">
            <v>0.32739330171902781</v>
          </cell>
          <cell r="AV40">
            <v>0.33246236740402213</v>
          </cell>
          <cell r="AW40">
            <v>0.28186665760961849</v>
          </cell>
          <cell r="AX40">
            <v>0.24100704255049976</v>
          </cell>
          <cell r="AY40">
            <v>0.29784148925085963</v>
          </cell>
          <cell r="AZ40">
            <v>0.27331874859534189</v>
          </cell>
          <cell r="BA40">
            <v>0.2497561521610514</v>
          </cell>
          <cell r="BB40">
            <v>0.18241314041897927</v>
          </cell>
          <cell r="BC40">
            <v>0.22970037507421837</v>
          </cell>
          <cell r="BD40">
            <v>0.22096692689265418</v>
          </cell>
          <cell r="BE40">
            <v>0.19456163627961054</v>
          </cell>
          <cell r="BF40">
            <v>0.18386123800913667</v>
          </cell>
          <cell r="BG40">
            <v>0.21434040970515533</v>
          </cell>
          <cell r="BH40">
            <v>0.19803064561715189</v>
          </cell>
          <cell r="BI40">
            <v>0.14922594339280937</v>
          </cell>
          <cell r="BJ40">
            <v>0.10024883487537628</v>
          </cell>
          <cell r="BK40">
            <v>0.17728655558346595</v>
          </cell>
          <cell r="BL40">
            <v>0.14195481605217974</v>
          </cell>
          <cell r="BM40">
            <v>0.12881537809337074</v>
          </cell>
          <cell r="BN40">
            <v>0.16684110371075156</v>
          </cell>
          <cell r="BO40">
            <v>0.13182137481184153</v>
          </cell>
          <cell r="BP40">
            <v>0.14231997193816559</v>
          </cell>
        </row>
        <row r="41">
          <cell r="A41" t="str">
            <v>NRx</v>
          </cell>
          <cell r="K41">
            <v>162</v>
          </cell>
          <cell r="M41">
            <v>7686</v>
          </cell>
          <cell r="N41">
            <v>18657</v>
          </cell>
          <cell r="O41">
            <v>25107</v>
          </cell>
          <cell r="P41">
            <v>51450</v>
          </cell>
          <cell r="Q41">
            <v>27888</v>
          </cell>
          <cell r="R41">
            <v>29767</v>
          </cell>
          <cell r="S41">
            <v>27291</v>
          </cell>
          <cell r="T41">
            <v>84946</v>
          </cell>
          <cell r="U41">
            <v>31965</v>
          </cell>
          <cell r="V41">
            <v>31818</v>
          </cell>
          <cell r="W41">
            <v>35353</v>
          </cell>
          <cell r="X41">
            <v>99136</v>
          </cell>
          <cell r="Y41">
            <v>36866</v>
          </cell>
          <cell r="Z41">
            <v>35338</v>
          </cell>
          <cell r="AA41">
            <v>39453</v>
          </cell>
          <cell r="AB41">
            <v>111657</v>
          </cell>
          <cell r="AC41">
            <v>40982</v>
          </cell>
          <cell r="AD41">
            <v>43641</v>
          </cell>
          <cell r="AE41">
            <v>42142</v>
          </cell>
          <cell r="AF41">
            <v>126765</v>
          </cell>
          <cell r="AG41">
            <v>44572</v>
          </cell>
          <cell r="AH41">
            <v>44236</v>
          </cell>
          <cell r="AI41">
            <v>42011</v>
          </cell>
          <cell r="AJ41">
            <v>130819</v>
          </cell>
          <cell r="AK41">
            <v>47453</v>
          </cell>
          <cell r="AL41">
            <v>48464</v>
          </cell>
          <cell r="AM41">
            <v>52893</v>
          </cell>
          <cell r="AN41">
            <v>148810</v>
          </cell>
          <cell r="AO41">
            <v>51035</v>
          </cell>
          <cell r="AP41">
            <v>48073</v>
          </cell>
          <cell r="AQ41">
            <v>52386</v>
          </cell>
          <cell r="AR41">
            <v>151494</v>
          </cell>
          <cell r="AS41">
            <v>51679</v>
          </cell>
          <cell r="AT41">
            <v>53771</v>
          </cell>
          <cell r="AU41">
            <v>52536</v>
          </cell>
          <cell r="AV41">
            <v>157986</v>
          </cell>
          <cell r="AW41">
            <v>54726</v>
          </cell>
          <cell r="AX41">
            <v>51987</v>
          </cell>
          <cell r="AY41">
            <v>53576</v>
          </cell>
          <cell r="AZ41">
            <v>160289</v>
          </cell>
          <cell r="BA41">
            <v>57950</v>
          </cell>
          <cell r="BB41">
            <v>52534</v>
          </cell>
          <cell r="BC41">
            <v>60464</v>
          </cell>
          <cell r="BD41">
            <v>170948</v>
          </cell>
          <cell r="BE41">
            <v>57881</v>
          </cell>
          <cell r="BF41">
            <v>53060</v>
          </cell>
          <cell r="BG41">
            <v>60679</v>
          </cell>
          <cell r="BH41">
            <v>171620</v>
          </cell>
          <cell r="BI41">
            <v>56673</v>
          </cell>
          <cell r="BJ41">
            <v>57178</v>
          </cell>
          <cell r="BK41">
            <v>59352</v>
          </cell>
          <cell r="BL41">
            <v>173203</v>
          </cell>
          <cell r="BM41">
            <v>58549</v>
          </cell>
          <cell r="BN41">
            <v>59452</v>
          </cell>
          <cell r="BO41">
            <v>58312</v>
          </cell>
          <cell r="BP41">
            <v>176313</v>
          </cell>
        </row>
        <row r="42">
          <cell r="A42" t="str">
            <v xml:space="preserve">  % Change</v>
          </cell>
          <cell r="AD42">
            <v>1.3391220453449106</v>
          </cell>
          <cell r="AE42">
            <v>0.67849603696180338</v>
          </cell>
          <cell r="AF42">
            <v>1.4638483965014579</v>
          </cell>
          <cell r="AG42">
            <v>0.59825014343086624</v>
          </cell>
          <cell r="AH42">
            <v>0.48607518392851135</v>
          </cell>
          <cell r="AI42">
            <v>0.53937195412407024</v>
          </cell>
          <cell r="AJ42">
            <v>0.54002542791891317</v>
          </cell>
          <cell r="AK42">
            <v>0.48452995463788517</v>
          </cell>
          <cell r="AL42">
            <v>0.52316298950279716</v>
          </cell>
          <cell r="AM42">
            <v>0.49613894153254323</v>
          </cell>
          <cell r="AN42">
            <v>0.50106923821820537</v>
          </cell>
          <cell r="AO42">
            <v>0.38433787229425498</v>
          </cell>
          <cell r="AP42">
            <v>0.36037693134868976</v>
          </cell>
          <cell r="AQ42">
            <v>0.32780777127214655</v>
          </cell>
          <cell r="AR42">
            <v>0.35678013917622731</v>
          </cell>
          <cell r="AS42">
            <v>0.26101703186764924</v>
          </cell>
          <cell r="AT42">
            <v>0.23212117045897207</v>
          </cell>
          <cell r="AU42">
            <v>0.24664230458924585</v>
          </cell>
          <cell r="AV42">
            <v>0.24629037983670576</v>
          </cell>
          <cell r="AW42">
            <v>0.22781118190792427</v>
          </cell>
          <cell r="AX42">
            <v>0.17521927841577001</v>
          </cell>
          <cell r="AY42">
            <v>0.27528504439313517</v>
          </cell>
          <cell r="AZ42">
            <v>0.22527308724267892</v>
          </cell>
          <cell r="BA42">
            <v>0.22120835352875479</v>
          </cell>
          <cell r="BB42">
            <v>8.3979861340376383E-2</v>
          </cell>
          <cell r="BC42">
            <v>0.14313803338816111</v>
          </cell>
          <cell r="BD42">
            <v>0.14876688394597126</v>
          </cell>
          <cell r="BE42">
            <v>0.13414323503477998</v>
          </cell>
          <cell r="BF42">
            <v>0.10373806502610616</v>
          </cell>
          <cell r="BG42">
            <v>0.15830565418241505</v>
          </cell>
          <cell r="BH42">
            <v>0.13285014588036481</v>
          </cell>
          <cell r="BI42">
            <v>9.6634996807213769E-2</v>
          </cell>
          <cell r="BJ42">
            <v>6.3361291402428854E-2</v>
          </cell>
          <cell r="BK42">
            <v>0.12973960712654176</v>
          </cell>
          <cell r="BL42">
            <v>9.6318661147190232E-2</v>
          </cell>
          <cell r="BM42">
            <v>6.9857106311442374E-2</v>
          </cell>
          <cell r="BN42">
            <v>0.1435935907053687</v>
          </cell>
          <cell r="BO42">
            <v>8.8397790055248615E-2</v>
          </cell>
          <cell r="BP42">
            <v>9.9969430216671151E-2</v>
          </cell>
        </row>
        <row r="43">
          <cell r="A43" t="str">
            <v>TRx Market Growth</v>
          </cell>
          <cell r="X43">
            <v>0.11408358038677835</v>
          </cell>
          <cell r="AB43">
            <v>9.2916006617190572E-2</v>
          </cell>
          <cell r="AF43">
            <v>0.11446403506122738</v>
          </cell>
          <cell r="AJ43">
            <v>0.11844161747698734</v>
          </cell>
          <cell r="AK43">
            <v>6.1490734800166091E-2</v>
          </cell>
          <cell r="AL43">
            <v>7.1725766712386951E-2</v>
          </cell>
          <cell r="AM43">
            <v>8.9567495288427779E-2</v>
          </cell>
          <cell r="AN43">
            <v>7.4334454942031059E-2</v>
          </cell>
          <cell r="AO43">
            <v>6.9599708511333347E-2</v>
          </cell>
          <cell r="AP43">
            <v>6.5287445644086617E-2</v>
          </cell>
          <cell r="AQ43">
            <v>5.8601480391816896E-2</v>
          </cell>
          <cell r="AR43">
            <v>6.4470408513337629E-2</v>
          </cell>
          <cell r="AS43">
            <v>2.1903309925066061E-2</v>
          </cell>
          <cell r="AT43">
            <v>2.3899414192232404E-2</v>
          </cell>
          <cell r="AU43">
            <v>5.0540870868669652E-2</v>
          </cell>
          <cell r="AV43">
            <v>3.1932570005615002E-2</v>
          </cell>
          <cell r="AW43">
            <v>1.6091986121098412E-2</v>
          </cell>
          <cell r="AX43">
            <v>-9.8724390748502477E-3</v>
          </cell>
          <cell r="AY43">
            <v>-8.4464712762318483E-2</v>
          </cell>
          <cell r="AZ43">
            <v>-2.4858465304873345E-2</v>
          </cell>
          <cell r="BA43">
            <v>3.6079373341411092E-2</v>
          </cell>
          <cell r="BB43">
            <v>4.8039181657524299E-3</v>
          </cell>
          <cell r="BC43">
            <v>5.8424476029872219E-2</v>
          </cell>
          <cell r="BD43">
            <v>3.373295177687452E-2</v>
          </cell>
          <cell r="BE43">
            <v>2.0344587060459052E-2</v>
          </cell>
          <cell r="BF43">
            <v>4.0757632549610401E-2</v>
          </cell>
          <cell r="BG43">
            <v>6.8749568415334972E-2</v>
          </cell>
          <cell r="BH43">
            <v>4.3281828948491752E-2</v>
          </cell>
          <cell r="BI43">
            <v>3.9086080965876402E-2</v>
          </cell>
          <cell r="BJ43">
            <v>9.9820030971420337E-4</v>
          </cell>
          <cell r="BK43">
            <v>7.4531127735607328E-2</v>
          </cell>
          <cell r="BL43">
            <v>3.7945784841322272E-2</v>
          </cell>
          <cell r="BM43">
            <v>3.6985378991919893E-2</v>
          </cell>
          <cell r="BN43">
            <v>9.5082542022369099E-2</v>
          </cell>
          <cell r="BO43">
            <v>0.22056330628780074</v>
          </cell>
          <cell r="BP43">
            <v>0.1120636646967792</v>
          </cell>
        </row>
        <row r="44">
          <cell r="A44" t="str">
            <v>NRx Market Growth</v>
          </cell>
          <cell r="X44" t="e">
            <v>#DIV/0!</v>
          </cell>
          <cell r="AL44">
            <v>5.5978321217376115E-2</v>
          </cell>
          <cell r="AM44">
            <v>7.0817293489636501E-2</v>
          </cell>
          <cell r="AN44">
            <v>0.61055719907342798</v>
          </cell>
          <cell r="AO44">
            <v>2.4974327105728333E-2</v>
          </cell>
          <cell r="AP44">
            <v>1.5870055402920524E-2</v>
          </cell>
          <cell r="AQ44">
            <v>2.4770029292358275E-2</v>
          </cell>
          <cell r="AR44">
            <v>2.2019594529052222E-2</v>
          </cell>
          <cell r="AS44">
            <v>-2.1375709662485587E-3</v>
          </cell>
          <cell r="AT44">
            <v>1.5157492758014035E-2</v>
          </cell>
          <cell r="AU44">
            <v>5.3104980982297656E-2</v>
          </cell>
          <cell r="AV44">
            <v>2.1478804607177882E-2</v>
          </cell>
          <cell r="AW44">
            <v>5.7161154646669932E-3</v>
          </cell>
          <cell r="AX44">
            <v>-9.5197599834471291E-2</v>
          </cell>
          <cell r="AY44">
            <v>-1.0057483951293134E-2</v>
          </cell>
          <cell r="AZ44">
            <v>-3.4267478394677697E-2</v>
          </cell>
          <cell r="BA44">
            <v>2.24349367702108E-2</v>
          </cell>
          <cell r="BB44">
            <v>-1.1137337375409673E-2</v>
          </cell>
          <cell r="BC44">
            <v>5.7327142817426013E-2</v>
          </cell>
          <cell r="BD44">
            <v>2.338069111018215E-2</v>
          </cell>
          <cell r="BE44">
            <v>6.9466093623351544E-3</v>
          </cell>
          <cell r="BF44">
            <v>3.5450492649101051E-2</v>
          </cell>
          <cell r="BG44">
            <v>8.590777576459252E-2</v>
          </cell>
          <cell r="BH44">
            <v>4.27796661446469E-2</v>
          </cell>
          <cell r="BI44">
            <v>4.6658912009802878E-2</v>
          </cell>
          <cell r="BJ44">
            <v>8.126904239946553E-3</v>
          </cell>
          <cell r="BK44">
            <v>9.2363972957352214E-2</v>
          </cell>
          <cell r="BL44">
            <v>4.862838334788222E-2</v>
          </cell>
          <cell r="BM44">
            <v>4.1702162445895752E-2</v>
          </cell>
          <cell r="BN44">
            <v>0.11608974344315337</v>
          </cell>
          <cell r="BO44">
            <v>6.917536348229425E-2</v>
          </cell>
          <cell r="BP44">
            <v>7.4909575551154184E-2</v>
          </cell>
        </row>
        <row r="45">
          <cell r="A45" t="str">
            <v>TRx Market Share</v>
          </cell>
          <cell r="P45">
            <v>1.6321493258282978E-2</v>
          </cell>
          <cell r="T45">
            <v>3.8338135315627277E-2</v>
          </cell>
          <cell r="X45">
            <v>5.4312515745529796E-2</v>
          </cell>
          <cell r="AB45">
            <v>6.6992044638060161E-2</v>
          </cell>
          <cell r="AC45" t="e">
            <v>#REF!</v>
          </cell>
          <cell r="AD45" t="e">
            <v>#REF!</v>
          </cell>
          <cell r="AE45" t="e">
            <v>#REF!</v>
          </cell>
          <cell r="AF45">
            <v>7.820463367593565E-2</v>
          </cell>
          <cell r="AG45">
            <v>8.2220624271322748E-2</v>
          </cell>
          <cell r="AH45">
            <v>8.4005004945430228E-2</v>
          </cell>
          <cell r="AI45">
            <v>8.6018196674050695E-2</v>
          </cell>
          <cell r="AJ45">
            <v>8.4038376941320478E-2</v>
          </cell>
          <cell r="AK45">
            <v>8.8940181296380039E-2</v>
          </cell>
          <cell r="AL45">
            <v>9.2078667575509393E-2</v>
          </cell>
          <cell r="AM45">
            <v>9.5058677771277147E-2</v>
          </cell>
          <cell r="AN45">
            <v>9.2058684123895243E-2</v>
          </cell>
          <cell r="AO45">
            <v>9.4619327146122603E-2</v>
          </cell>
          <cell r="AP45">
            <v>9.6998043602596007E-2</v>
          </cell>
          <cell r="AQ45">
            <v>9.7616798378594258E-2</v>
          </cell>
          <cell r="AR45">
            <v>9.6389082332016846E-2</v>
          </cell>
          <cell r="AS45">
            <v>9.9392151102509152E-2</v>
          </cell>
          <cell r="AT45">
            <v>0.10147881527365057</v>
          </cell>
          <cell r="AU45">
            <v>0.1020415283302729</v>
          </cell>
          <cell r="AV45">
            <v>0.10098017482792941</v>
          </cell>
          <cell r="AW45">
            <v>0.10372670807453416</v>
          </cell>
          <cell r="AX45">
            <v>0.10529027456761147</v>
          </cell>
          <cell r="AY45">
            <v>0.12193739119652416</v>
          </cell>
          <cell r="AZ45">
            <v>0.10973549700594104</v>
          </cell>
          <cell r="BA45">
            <v>0.10728284107326079</v>
          </cell>
          <cell r="BB45">
            <v>0.10835450034102401</v>
          </cell>
          <cell r="BC45">
            <v>0.1104412212271059</v>
          </cell>
          <cell r="BD45">
            <v>0.10873273262241427</v>
          </cell>
          <cell r="BE45">
            <v>0.1107749476919121</v>
          </cell>
          <cell r="BF45">
            <v>0.11033522156596796</v>
          </cell>
          <cell r="BG45">
            <v>0.11091468613449856</v>
          </cell>
          <cell r="BH45">
            <v>0.11068636616920527</v>
          </cell>
          <cell r="BI45">
            <v>0.1099274070830065</v>
          </cell>
          <cell r="BJ45">
            <v>0.1115406083995175</v>
          </cell>
          <cell r="BK45">
            <v>0.11179957128610854</v>
          </cell>
          <cell r="BL45">
            <v>0.11109905609200391</v>
          </cell>
          <cell r="BM45">
            <v>0.11291220258800612</v>
          </cell>
          <cell r="BN45">
            <v>0.11218973499439669</v>
          </cell>
          <cell r="BO45">
            <v>0.11307184562574188</v>
          </cell>
          <cell r="BP45">
            <v>0.11272110926727079</v>
          </cell>
        </row>
        <row r="46">
          <cell r="A46" t="str">
            <v>NRx Market Share</v>
          </cell>
          <cell r="V46">
            <v>7.5171698509938073E-2</v>
          </cell>
          <cell r="W46">
            <v>8.0959894474812957E-2</v>
          </cell>
          <cell r="X46">
            <v>0.11528192533467295</v>
          </cell>
          <cell r="Y46">
            <v>8.1240937358137977E-2</v>
          </cell>
          <cell r="Z46">
            <v>8.449842064613626E-2</v>
          </cell>
          <cell r="AA46">
            <v>8.815190020489011E-2</v>
          </cell>
          <cell r="AB46">
            <v>8.4617354981084483E-2</v>
          </cell>
          <cell r="AF46">
            <v>9.4668497827923123E-2</v>
          </cell>
          <cell r="AG46">
            <v>9.6434026680974991E-2</v>
          </cell>
          <cell r="AH46">
            <v>9.1529070970411755E-2</v>
          </cell>
          <cell r="AI46">
            <v>9.2740333247975704E-2</v>
          </cell>
          <cell r="AJ46">
            <v>9.3542500597069145E-2</v>
          </cell>
          <cell r="AK46">
            <v>0.10087218633284228</v>
          </cell>
          <cell r="AL46">
            <v>0.10842907162753236</v>
          </cell>
          <cell r="AM46">
            <v>0.11311663676199804</v>
          </cell>
          <cell r="AN46">
            <v>0.10744489667426961</v>
          </cell>
          <cell r="AO46">
            <v>0.10972460811104255</v>
          </cell>
          <cell r="AP46">
            <v>0.11315394284046454</v>
          </cell>
          <cell r="AQ46">
            <v>0.11421955638699381</v>
          </cell>
          <cell r="AR46">
            <v>0.1123336062072893</v>
          </cell>
          <cell r="AS46">
            <v>0.11471934505707221</v>
          </cell>
          <cell r="AT46">
            <v>0.11545357143623977</v>
          </cell>
          <cell r="AU46">
            <v>0.11633741748471488</v>
          </cell>
          <cell r="AV46">
            <v>0.11550355972574979</v>
          </cell>
          <cell r="AW46">
            <v>0.11772981903606371</v>
          </cell>
          <cell r="AX46">
            <v>0.11888422126227158</v>
          </cell>
          <cell r="AY46">
            <v>0.11947194719471947</v>
          </cell>
          <cell r="AZ46">
            <v>0.11868204283360791</v>
          </cell>
          <cell r="BA46">
            <v>0.12048292967913493</v>
          </cell>
          <cell r="BB46">
            <v>0.11885869946401138</v>
          </cell>
          <cell r="BC46">
            <v>0.12229699253443041</v>
          </cell>
          <cell r="BD46">
            <v>0.12060921240804277</v>
          </cell>
          <cell r="BE46">
            <v>0.12358492580335219</v>
          </cell>
          <cell r="BF46">
            <v>0.12061640301245491</v>
          </cell>
          <cell r="BG46">
            <v>0.12183461702178924</v>
          </cell>
          <cell r="BH46">
            <v>0.12203646303316289</v>
          </cell>
          <cell r="BI46">
            <v>0.12019698791731089</v>
          </cell>
          <cell r="BJ46">
            <v>0.12177917115704909</v>
          </cell>
          <cell r="BK46">
            <v>0.12031794491306384</v>
          </cell>
          <cell r="BL46">
            <v>0.12075651390628006</v>
          </cell>
          <cell r="BM46">
            <v>0.12091179999545669</v>
          </cell>
          <cell r="BN46">
            <v>0.12181389020932024</v>
          </cell>
          <cell r="BO46">
            <v>0.12161990234867903</v>
          </cell>
          <cell r="BP46">
            <v>0.12144893114911286</v>
          </cell>
        </row>
        <row r="47">
          <cell r="A47" t="str">
            <v>Price Change (YoY)</v>
          </cell>
          <cell r="L47">
            <v>0</v>
          </cell>
          <cell r="P47">
            <v>0</v>
          </cell>
          <cell r="T47">
            <v>0</v>
          </cell>
          <cell r="X47">
            <v>0</v>
          </cell>
          <cell r="AA47">
            <v>0.06</v>
          </cell>
          <cell r="AB47">
            <v>0.06</v>
          </cell>
          <cell r="AF47">
            <v>0.06</v>
          </cell>
          <cell r="AI47">
            <v>0.05</v>
          </cell>
          <cell r="AJ47">
            <v>0.11</v>
          </cell>
          <cell r="AN47">
            <v>0.11</v>
          </cell>
          <cell r="AR47">
            <v>0.05</v>
          </cell>
          <cell r="AS47">
            <v>0.06</v>
          </cell>
          <cell r="AV47">
            <v>0.11</v>
          </cell>
          <cell r="AZ47">
            <v>0.06</v>
          </cell>
          <cell r="BD47">
            <v>0.06</v>
          </cell>
          <cell r="BH47">
            <v>0.06</v>
          </cell>
          <cell r="BL47">
            <v>0</v>
          </cell>
          <cell r="BN47">
            <v>5.0050727088265079E-2</v>
          </cell>
          <cell r="BP47">
            <v>5.0050727088265079E-2</v>
          </cell>
        </row>
        <row r="49">
          <cell r="A49" t="str">
            <v xml:space="preserve">TRx + Lumigan Price Change </v>
          </cell>
          <cell r="AN49">
            <v>0.93097652582159618</v>
          </cell>
          <cell r="AR49">
            <v>0.58157477728177476</v>
          </cell>
          <cell r="AV49">
            <v>0.44246236740402212</v>
          </cell>
          <cell r="AZ49">
            <v>0.33331874859534188</v>
          </cell>
          <cell r="BD49">
            <v>0.28096692689265418</v>
          </cell>
          <cell r="BH49">
            <v>0.25803064561715189</v>
          </cell>
          <cell r="BL49">
            <v>0.14195481605217974</v>
          </cell>
          <cell r="BP49">
            <v>0.19237069902643067</v>
          </cell>
        </row>
        <row r="51">
          <cell r="A51" t="str">
            <v xml:space="preserve">TOTAL LUMIGAN REPORTED SALES </v>
          </cell>
          <cell r="L51">
            <v>1</v>
          </cell>
          <cell r="P51">
            <v>8.6</v>
          </cell>
          <cell r="T51">
            <v>10.6</v>
          </cell>
          <cell r="X51">
            <v>15.2</v>
          </cell>
          <cell r="AB51">
            <v>21.1</v>
          </cell>
          <cell r="AF51">
            <v>31.9</v>
          </cell>
          <cell r="AJ51">
            <v>35</v>
          </cell>
          <cell r="AN51">
            <v>35.1</v>
          </cell>
          <cell r="AR51">
            <v>38</v>
          </cell>
          <cell r="AV51">
            <v>44.9</v>
          </cell>
          <cell r="AZ51">
            <v>46.8</v>
          </cell>
          <cell r="BD51">
            <v>51.7</v>
          </cell>
          <cell r="BH51">
            <v>53.5</v>
          </cell>
          <cell r="BL51">
            <v>57.3</v>
          </cell>
          <cell r="BP51">
            <v>60.3</v>
          </cell>
        </row>
        <row r="52">
          <cell r="A52" t="str">
            <v xml:space="preserve">  % Change</v>
          </cell>
          <cell r="AB52">
            <v>20.100000000000001</v>
          </cell>
          <cell r="AF52">
            <v>2.7093023255813953</v>
          </cell>
          <cell r="AJ52">
            <v>2.3018867924528301</v>
          </cell>
          <cell r="AN52">
            <v>1.3092105263157898</v>
          </cell>
          <cell r="AR52">
            <v>0.80094786729857814</v>
          </cell>
          <cell r="AV52">
            <v>0.40752351097178696</v>
          </cell>
          <cell r="AZ52">
            <v>0.33714285714285697</v>
          </cell>
          <cell r="BD52">
            <v>0.47293447293447288</v>
          </cell>
          <cell r="BH52">
            <v>0.40789473684210531</v>
          </cell>
          <cell r="BL52">
            <v>0.27616926503340755</v>
          </cell>
          <cell r="BP52">
            <v>0.28846153846153855</v>
          </cell>
        </row>
        <row r="54">
          <cell r="A54" t="str">
            <v>TOTAL LUMIGAN SALES (IMS)</v>
          </cell>
          <cell r="K54">
            <v>2.2901000000000001E-2</v>
          </cell>
          <cell r="M54">
            <v>1.787261</v>
          </cell>
          <cell r="N54">
            <v>1.8135300000000001</v>
          </cell>
          <cell r="O54">
            <v>3.0155829999999999</v>
          </cell>
          <cell r="P54">
            <v>6.6163739999999995</v>
          </cell>
          <cell r="Q54">
            <v>3.0402930000000001</v>
          </cell>
          <cell r="R54">
            <v>3.3707289999999999</v>
          </cell>
          <cell r="S54">
            <v>4.6192659999999997</v>
          </cell>
          <cell r="T54">
            <v>11.030287999999999</v>
          </cell>
          <cell r="U54">
            <v>4.1846829999999997</v>
          </cell>
          <cell r="V54">
            <v>5.545903</v>
          </cell>
          <cell r="W54">
            <v>6.2039869999999997</v>
          </cell>
          <cell r="X54">
            <v>15.934573</v>
          </cell>
          <cell r="Y54">
            <v>5.5299379999999996</v>
          </cell>
          <cell r="Z54">
            <v>5.6434319999999998</v>
          </cell>
          <cell r="AA54">
            <v>16.946545</v>
          </cell>
          <cell r="AB54">
            <v>28.119914999999999</v>
          </cell>
          <cell r="AC54">
            <v>7.0051620000000003</v>
          </cell>
          <cell r="AD54">
            <v>7.2561439999999999</v>
          </cell>
          <cell r="AE54">
            <v>9.4279469999999996</v>
          </cell>
          <cell r="AF54">
            <v>23.689253000000001</v>
          </cell>
          <cell r="AG54">
            <v>7.9579769999999996</v>
          </cell>
          <cell r="AH54">
            <v>7.8318760000000003</v>
          </cell>
          <cell r="AI54">
            <v>10.418106</v>
          </cell>
          <cell r="AJ54">
            <v>26.207958999999999</v>
          </cell>
          <cell r="AK54">
            <v>8.9427889999999994</v>
          </cell>
          <cell r="AL54">
            <v>9.2697769999999995</v>
          </cell>
          <cell r="AM54">
            <v>12.42329</v>
          </cell>
          <cell r="AN54">
            <v>30.635855999999997</v>
          </cell>
          <cell r="AO54">
            <v>10.326131999999999</v>
          </cell>
          <cell r="AP54">
            <v>10.203424</v>
          </cell>
          <cell r="AQ54">
            <v>17.766455000000001</v>
          </cell>
          <cell r="AR54">
            <v>38.296011</v>
          </cell>
          <cell r="AS54">
            <v>10.957566</v>
          </cell>
          <cell r="AT54">
            <v>11.253135</v>
          </cell>
          <cell r="AU54">
            <v>14.859838999999999</v>
          </cell>
          <cell r="AV54">
            <v>37.070540000000001</v>
          </cell>
          <cell r="AW54">
            <v>12.137454999999999</v>
          </cell>
          <cell r="AX54">
            <v>12.310816000000001</v>
          </cell>
          <cell r="AY54">
            <v>15.199856</v>
          </cell>
          <cell r="AZ54">
            <v>39.648127000000002</v>
          </cell>
          <cell r="BA54">
            <v>12.561128999999999</v>
          </cell>
          <cell r="BB54">
            <v>12.765844</v>
          </cell>
          <cell r="BC54">
            <v>16.301507000000001</v>
          </cell>
          <cell r="BD54">
            <v>41.628480000000003</v>
          </cell>
          <cell r="BE54">
            <v>13.800188</v>
          </cell>
          <cell r="BF54">
            <v>13.136231</v>
          </cell>
          <cell r="BG54">
            <v>22.903770000000002</v>
          </cell>
          <cell r="BH54">
            <v>49.840189000000002</v>
          </cell>
          <cell r="BI54">
            <v>13.591051999999999</v>
          </cell>
          <cell r="BJ54">
            <v>14.118480999999999</v>
          </cell>
          <cell r="BK54">
            <v>17.681647999999999</v>
          </cell>
          <cell r="BL54">
            <v>45.391180999999996</v>
          </cell>
          <cell r="BM54">
            <v>14.09435</v>
          </cell>
          <cell r="BN54">
            <v>14.265444</v>
          </cell>
          <cell r="BO54">
            <v>17.600925</v>
          </cell>
          <cell r="BP54">
            <v>45.960718999999997</v>
          </cell>
        </row>
        <row r="55">
          <cell r="A55" t="str">
            <v xml:space="preserve">  % Change</v>
          </cell>
          <cell r="AF55">
            <v>2.5803981153423314</v>
          </cell>
          <cell r="AG55">
            <v>1.6175033130030556</v>
          </cell>
          <cell r="AH55">
            <v>1.3234961932567111</v>
          </cell>
          <cell r="AI55">
            <v>1.2553596177401345</v>
          </cell>
          <cell r="AJ55">
            <v>1.3759995205927535</v>
          </cell>
          <cell r="AK55">
            <v>1.1370290174906916</v>
          </cell>
          <cell r="AL55">
            <v>0.67146396177502554</v>
          </cell>
          <cell r="AM55">
            <v>1.0024687350247512</v>
          </cell>
          <cell r="AN55">
            <v>0.92260288367940557</v>
          </cell>
          <cell r="AO55">
            <v>0.86731424475283458</v>
          </cell>
          <cell r="AP55">
            <v>0.80801753259364162</v>
          </cell>
          <cell r="AQ55">
            <v>4.8382133349305079E-2</v>
          </cell>
          <cell r="AR55">
            <v>0.36188217496390029</v>
          </cell>
          <cell r="AS55">
            <v>0.56421307601451609</v>
          </cell>
          <cell r="AT55">
            <v>0.55084229309671917</v>
          </cell>
          <cell r="AU55">
            <v>0.57614791428080792</v>
          </cell>
          <cell r="AV55">
            <v>0.56486741055110512</v>
          </cell>
          <cell r="AW55">
            <v>0.52519352594258573</v>
          </cell>
          <cell r="AX55">
            <v>0.57188596959400284</v>
          </cell>
          <cell r="AY55">
            <v>0.45898457934676418</v>
          </cell>
          <cell r="AZ55">
            <v>0.5128277253486242</v>
          </cell>
          <cell r="BA55">
            <v>0.40460979231423222</v>
          </cell>
          <cell r="BB55">
            <v>0.37714682888272288</v>
          </cell>
          <cell r="BC55">
            <v>0.3121731039040383</v>
          </cell>
          <cell r="BD55">
            <v>0.3588156309391195</v>
          </cell>
          <cell r="BE55">
            <v>0.33643342928407272</v>
          </cell>
          <cell r="BF55">
            <v>0.28743361052133087</v>
          </cell>
          <cell r="BG55">
            <v>0.28915813537365787</v>
          </cell>
          <cell r="BH55">
            <v>0.30144596522076417</v>
          </cell>
          <cell r="BI55">
            <v>0.24033494299737734</v>
          </cell>
          <cell r="BJ55">
            <v>0.2546264663136093</v>
          </cell>
          <cell r="BK55">
            <v>0.1898949914598671</v>
          </cell>
          <cell r="BL55">
            <v>0.22445427015630193</v>
          </cell>
          <cell r="BM55">
            <v>0.16122778622042278</v>
          </cell>
          <cell r="BN55">
            <v>0.15877322835464347</v>
          </cell>
          <cell r="BO55">
            <v>0.15796656231480077</v>
          </cell>
          <cell r="BP55">
            <v>0.15921538992245443</v>
          </cell>
        </row>
        <row r="57">
          <cell r="A57" t="str">
            <v>REPORTED SALES/TRx LUMIGAN</v>
          </cell>
          <cell r="P57">
            <v>143.36200573448022</v>
          </cell>
          <cell r="T57">
            <v>73.931480861510991</v>
          </cell>
          <cell r="X57">
            <v>71.36150234741784</v>
          </cell>
          <cell r="AB57">
            <v>81.550621292055581</v>
          </cell>
          <cell r="AF57">
            <v>99.583559659605285</v>
          </cell>
          <cell r="AJ57">
            <v>99.570708004631456</v>
          </cell>
          <cell r="AN57">
            <v>90.494704383965683</v>
          </cell>
          <cell r="AR57">
            <v>95.893729559494489</v>
          </cell>
          <cell r="AV57">
            <v>105.19336602371419</v>
          </cell>
          <cell r="AZ57">
            <v>104.56161203620334</v>
          </cell>
          <cell r="BD57">
            <v>109.16984462829463</v>
          </cell>
          <cell r="BH57">
            <v>112.69183942571397</v>
          </cell>
          <cell r="BL57">
            <v>117.55678834033614</v>
          </cell>
          <cell r="BP57">
            <v>117.93859760641367</v>
          </cell>
        </row>
        <row r="58">
          <cell r="A58" t="str">
            <v>IMS SALES/REPORTED SALES</v>
          </cell>
          <cell r="P58">
            <v>0.76934581395348833</v>
          </cell>
          <cell r="T58">
            <v>1.0405932075471698</v>
          </cell>
          <cell r="X58">
            <v>1.0483271710526316</v>
          </cell>
          <cell r="AB58">
            <v>1.3326973933649289</v>
          </cell>
          <cell r="AF58">
            <v>0.74260981191222575</v>
          </cell>
          <cell r="AJ58">
            <v>0.74879882857142854</v>
          </cell>
          <cell r="AN58">
            <v>0.8728164102564101</v>
          </cell>
          <cell r="AR58">
            <v>1.0077897631578947</v>
          </cell>
          <cell r="AV58">
            <v>0.82562449888641432</v>
          </cell>
          <cell r="AZ58">
            <v>0.84718220085470097</v>
          </cell>
          <cell r="BD58">
            <v>0.80519303675048359</v>
          </cell>
          <cell r="BH58">
            <v>0.93159231775700935</v>
          </cell>
          <cell r="BL58">
            <v>0.79216720767888305</v>
          </cell>
          <cell r="BP58">
            <v>0.76220097844112766</v>
          </cell>
        </row>
        <row r="60">
          <cell r="A60" t="str">
            <v>RESTASIS</v>
          </cell>
        </row>
        <row r="61">
          <cell r="A61" t="str">
            <v>TRx</v>
          </cell>
          <cell r="AQ61">
            <v>57</v>
          </cell>
          <cell r="AR61">
            <v>57</v>
          </cell>
          <cell r="AS61">
            <v>11440</v>
          </cell>
          <cell r="AT61">
            <v>22756</v>
          </cell>
          <cell r="AU61">
            <v>27806</v>
          </cell>
          <cell r="AV61">
            <v>62002</v>
          </cell>
          <cell r="AW61">
            <v>32737</v>
          </cell>
          <cell r="AX61">
            <v>39027</v>
          </cell>
          <cell r="AY61">
            <v>43699</v>
          </cell>
          <cell r="AZ61">
            <v>115463</v>
          </cell>
          <cell r="BA61">
            <v>51299</v>
          </cell>
          <cell r="BB61">
            <v>46715</v>
          </cell>
          <cell r="BC61">
            <v>54828</v>
          </cell>
          <cell r="BD61">
            <v>152842</v>
          </cell>
          <cell r="BE61">
            <v>61168</v>
          </cell>
          <cell r="BF61">
            <v>63378</v>
          </cell>
          <cell r="BG61">
            <v>78618</v>
          </cell>
          <cell r="BH61">
            <v>203164</v>
          </cell>
          <cell r="BI61">
            <v>77647</v>
          </cell>
          <cell r="BJ61">
            <v>78364</v>
          </cell>
          <cell r="BK61">
            <v>80936</v>
          </cell>
          <cell r="BL61">
            <v>236947</v>
          </cell>
          <cell r="BM61">
            <v>81943</v>
          </cell>
          <cell r="BN61">
            <v>89089</v>
          </cell>
          <cell r="BO61">
            <v>96694</v>
          </cell>
          <cell r="BP61">
            <v>267726</v>
          </cell>
        </row>
        <row r="62">
          <cell r="A62" t="str">
            <v xml:space="preserve">  % Change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5.7873251748251748</v>
          </cell>
          <cell r="BJ62">
            <v>2.4436632097029354</v>
          </cell>
          <cell r="BK62">
            <v>1.9107386894914766</v>
          </cell>
          <cell r="BL62">
            <v>2.8216025289506792</v>
          </cell>
          <cell r="BM62">
            <v>1.5030699208846259</v>
          </cell>
          <cell r="BN62">
            <v>1.2827529658954058</v>
          </cell>
          <cell r="BO62">
            <v>1.2127279800453099</v>
          </cell>
          <cell r="BP62">
            <v>1.3187168183747175</v>
          </cell>
        </row>
        <row r="63">
          <cell r="A63" t="str">
            <v>NRx</v>
          </cell>
          <cell r="AQ63">
            <v>57</v>
          </cell>
          <cell r="AR63">
            <v>57</v>
          </cell>
          <cell r="AS63">
            <v>10801</v>
          </cell>
          <cell r="AT63">
            <v>18368</v>
          </cell>
          <cell r="AU63">
            <v>19412</v>
          </cell>
          <cell r="AV63">
            <v>48581</v>
          </cell>
          <cell r="AW63">
            <v>21962</v>
          </cell>
          <cell r="AX63">
            <v>24205</v>
          </cell>
          <cell r="AY63">
            <v>25412</v>
          </cell>
          <cell r="AZ63">
            <v>71579</v>
          </cell>
          <cell r="BA63">
            <v>28804</v>
          </cell>
          <cell r="BB63">
            <v>23412</v>
          </cell>
          <cell r="BC63">
            <v>26348</v>
          </cell>
          <cell r="BD63">
            <v>78564</v>
          </cell>
          <cell r="BE63">
            <v>32435</v>
          </cell>
          <cell r="BF63">
            <v>34132</v>
          </cell>
          <cell r="BG63">
            <v>41124</v>
          </cell>
          <cell r="BH63">
            <v>107691</v>
          </cell>
          <cell r="BI63">
            <v>37423</v>
          </cell>
          <cell r="BJ63">
            <v>36304</v>
          </cell>
          <cell r="BK63">
            <v>36128</v>
          </cell>
          <cell r="BL63">
            <v>109855</v>
          </cell>
          <cell r="BM63">
            <v>37606</v>
          </cell>
          <cell r="BN63">
            <v>41872</v>
          </cell>
          <cell r="BO63">
            <v>47425</v>
          </cell>
          <cell r="BP63">
            <v>126903</v>
          </cell>
        </row>
        <row r="64">
          <cell r="A64" t="str">
            <v xml:space="preserve">  % Change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2.4647717803907048</v>
          </cell>
          <cell r="BJ64">
            <v>0.97648083623693371</v>
          </cell>
          <cell r="BK64">
            <v>0.86111683494745517</v>
          </cell>
          <cell r="BL64">
            <v>1.2612749840472612</v>
          </cell>
          <cell r="BM64">
            <v>0.71232128221473445</v>
          </cell>
          <cell r="BN64">
            <v>0.72989051848791564</v>
          </cell>
          <cell r="BO64">
            <v>0.86624429403431447</v>
          </cell>
          <cell r="BP64">
            <v>0.77290825521451811</v>
          </cell>
        </row>
        <row r="65">
          <cell r="A65" t="str">
            <v>OPHTH ANTI-INFLAM,OTH: 61490 TRx</v>
          </cell>
        </row>
        <row r="66">
          <cell r="A66" t="str">
            <v>OPHTH ANTI-INFLAM,OTH: 61490 NRx</v>
          </cell>
        </row>
        <row r="67">
          <cell r="A67" t="str">
            <v>TRx Market Growth</v>
          </cell>
        </row>
        <row r="68">
          <cell r="A68" t="str">
            <v>NRx Market Growth</v>
          </cell>
          <cell r="AQ68">
            <v>57</v>
          </cell>
          <cell r="AS68">
            <v>10801</v>
          </cell>
          <cell r="AT68">
            <v>18368</v>
          </cell>
          <cell r="AU68">
            <v>19412</v>
          </cell>
          <cell r="AW68">
            <v>21962</v>
          </cell>
          <cell r="AX68">
            <v>24205</v>
          </cell>
          <cell r="AY68">
            <v>25412</v>
          </cell>
          <cell r="BA68">
            <v>28804</v>
          </cell>
        </row>
        <row r="69">
          <cell r="A69" t="str">
            <v>TRx Market Share</v>
          </cell>
        </row>
        <row r="70">
          <cell r="A70" t="str">
            <v>NRx Market Share</v>
          </cell>
        </row>
        <row r="71">
          <cell r="A71" t="str">
            <v>Price Change (YoY)</v>
          </cell>
          <cell r="AN71">
            <v>0</v>
          </cell>
          <cell r="AR71">
            <v>0</v>
          </cell>
          <cell r="AV71">
            <v>0</v>
          </cell>
          <cell r="AZ71">
            <v>0</v>
          </cell>
          <cell r="BD71">
            <v>0</v>
          </cell>
          <cell r="BH71">
            <v>0</v>
          </cell>
          <cell r="BL71">
            <v>0</v>
          </cell>
          <cell r="BP71">
            <v>0</v>
          </cell>
        </row>
        <row r="73">
          <cell r="A73" t="str">
            <v xml:space="preserve">TRx + Restasis Price Change </v>
          </cell>
          <cell r="AV73">
            <v>0</v>
          </cell>
          <cell r="AZ73">
            <v>0</v>
          </cell>
          <cell r="BD73">
            <v>0</v>
          </cell>
          <cell r="BH73">
            <v>0</v>
          </cell>
          <cell r="BL73">
            <v>2.8216025289506792</v>
          </cell>
          <cell r="BP73">
            <v>1.3187168183747175</v>
          </cell>
        </row>
        <row r="75">
          <cell r="A75" t="str">
            <v xml:space="preserve">TOTAL RESTASIS REPORTED SALES </v>
          </cell>
          <cell r="AV75">
            <v>12</v>
          </cell>
          <cell r="AZ75">
            <v>10.7</v>
          </cell>
          <cell r="BD75">
            <v>15.9</v>
          </cell>
          <cell r="BH75">
            <v>21.3</v>
          </cell>
          <cell r="BL75">
            <v>20.100000000000001</v>
          </cell>
          <cell r="BP75">
            <v>24.1</v>
          </cell>
        </row>
        <row r="76">
          <cell r="A76" t="str">
            <v xml:space="preserve">  % Change</v>
          </cell>
          <cell r="AV76">
            <v>0</v>
          </cell>
          <cell r="AZ76">
            <v>0</v>
          </cell>
          <cell r="BD76">
            <v>0</v>
          </cell>
          <cell r="BH76">
            <v>0</v>
          </cell>
          <cell r="BL76">
            <v>0.67500000000000004</v>
          </cell>
          <cell r="BP76">
            <v>1.2523364485981312</v>
          </cell>
        </row>
        <row r="78">
          <cell r="A78" t="str">
            <v>TOTAL RESTASIS SALES (IMS)</v>
          </cell>
          <cell r="AQ78">
            <v>2.9665E-2</v>
          </cell>
          <cell r="AS78">
            <v>2.303312</v>
          </cell>
          <cell r="AT78">
            <v>2.6311749999999998</v>
          </cell>
          <cell r="AU78">
            <v>4.6641089999999998</v>
          </cell>
          <cell r="AV78">
            <v>9.5985960000000006</v>
          </cell>
          <cell r="AW78">
            <v>4.2086189999999997</v>
          </cell>
          <cell r="AX78">
            <v>4.6395109999999997</v>
          </cell>
          <cell r="AY78">
            <v>5.6926550000000002</v>
          </cell>
          <cell r="AZ78">
            <v>14.540785</v>
          </cell>
          <cell r="BA78">
            <v>4.8356469999999998</v>
          </cell>
          <cell r="BB78">
            <v>4.9255250000000004</v>
          </cell>
          <cell r="BC78">
            <v>6.0532260000000004</v>
          </cell>
          <cell r="BD78">
            <v>15.814398000000001</v>
          </cell>
          <cell r="BE78">
            <v>5.9419389999999996</v>
          </cell>
          <cell r="BF78">
            <v>6.2960929999999999</v>
          </cell>
          <cell r="BG78">
            <v>8.9721209999999996</v>
          </cell>
          <cell r="BH78">
            <v>21.210152999999998</v>
          </cell>
          <cell r="BI78">
            <v>7.2208740000000002</v>
          </cell>
          <cell r="BJ78">
            <v>7.5062920000000002</v>
          </cell>
          <cell r="BK78">
            <v>9.5645439999999997</v>
          </cell>
          <cell r="BL78">
            <v>24.291710000000002</v>
          </cell>
          <cell r="BM78">
            <v>7.7365620000000002</v>
          </cell>
          <cell r="BN78">
            <v>8.5779350000000001</v>
          </cell>
          <cell r="BO78">
            <v>12.041789</v>
          </cell>
          <cell r="BP78">
            <v>28.356285999999997</v>
          </cell>
        </row>
        <row r="79">
          <cell r="A79" t="str">
            <v xml:space="preserve">  % Change</v>
          </cell>
          <cell r="AQ79">
            <v>57</v>
          </cell>
          <cell r="AS79">
            <v>11440</v>
          </cell>
          <cell r="AT79">
            <v>22756</v>
          </cell>
          <cell r="AU79">
            <v>27806</v>
          </cell>
        </row>
        <row r="81">
          <cell r="A81" t="str">
            <v>REPORTED SALES/TRx RESTASIS</v>
          </cell>
          <cell r="AV81">
            <v>193.54214380181284</v>
          </cell>
          <cell r="AZ81">
            <v>92.670379255692296</v>
          </cell>
          <cell r="BD81">
            <v>104.02899726514963</v>
          </cell>
          <cell r="BH81">
            <v>104.84140891102754</v>
          </cell>
          <cell r="BL81">
            <v>84.829096802238482</v>
          </cell>
          <cell r="BP81">
            <v>90.017405855240057</v>
          </cell>
        </row>
        <row r="82">
          <cell r="A82" t="str">
            <v>IMS SALES/REPORTED SALES</v>
          </cell>
          <cell r="AV82">
            <v>0.79988300000000001</v>
          </cell>
          <cell r="AZ82">
            <v>1.3589518691588787</v>
          </cell>
          <cell r="BD82">
            <v>0.9946162264150944</v>
          </cell>
          <cell r="BH82">
            <v>0.99578183098591533</v>
          </cell>
          <cell r="BL82">
            <v>1.2085427860696518</v>
          </cell>
          <cell r="BP82">
            <v>1.1766093775933608</v>
          </cell>
        </row>
        <row r="84">
          <cell r="A84" t="str">
            <v>TOTAL TEARS FRANCHISE (REFRESH)</v>
          </cell>
        </row>
        <row r="85">
          <cell r="A85" t="str">
            <v>TRx</v>
          </cell>
          <cell r="D85" t="str">
            <v>pull in all tear products</v>
          </cell>
          <cell r="U85">
            <v>21958</v>
          </cell>
          <cell r="V85">
            <v>20306</v>
          </cell>
          <cell r="W85">
            <v>20480</v>
          </cell>
          <cell r="X85">
            <v>62744</v>
          </cell>
          <cell r="Y85">
            <v>22849</v>
          </cell>
          <cell r="Z85">
            <v>20461</v>
          </cell>
          <cell r="AA85">
            <v>22461</v>
          </cell>
          <cell r="AB85">
            <v>65771</v>
          </cell>
          <cell r="AC85">
            <v>23551</v>
          </cell>
          <cell r="AD85">
            <v>23348</v>
          </cell>
          <cell r="AE85">
            <v>21388</v>
          </cell>
          <cell r="AF85">
            <v>68287</v>
          </cell>
          <cell r="AG85">
            <v>23382</v>
          </cell>
          <cell r="AH85">
            <v>22930</v>
          </cell>
          <cell r="AI85">
            <v>21807</v>
          </cell>
          <cell r="AJ85">
            <v>68119</v>
          </cell>
          <cell r="AK85">
            <v>22996</v>
          </cell>
          <cell r="AL85">
            <v>21880</v>
          </cell>
          <cell r="AM85">
            <v>22807</v>
          </cell>
          <cell r="AN85">
            <v>67683</v>
          </cell>
          <cell r="AO85">
            <v>23977</v>
          </cell>
          <cell r="AP85">
            <v>21829</v>
          </cell>
          <cell r="AQ85">
            <v>24710</v>
          </cell>
          <cell r="AR85">
            <v>70516</v>
          </cell>
          <cell r="AS85">
            <v>24058</v>
          </cell>
          <cell r="AT85">
            <v>24673</v>
          </cell>
          <cell r="AU85">
            <v>23671</v>
          </cell>
          <cell r="AV85">
            <v>72402</v>
          </cell>
          <cell r="AW85">
            <v>24027</v>
          </cell>
          <cell r="AX85">
            <v>23433</v>
          </cell>
          <cell r="AY85">
            <v>23970</v>
          </cell>
          <cell r="AZ85">
            <v>71430</v>
          </cell>
          <cell r="BA85">
            <v>23733</v>
          </cell>
          <cell r="BB85">
            <v>21163</v>
          </cell>
          <cell r="BC85">
            <v>23487</v>
          </cell>
          <cell r="BD85">
            <v>68383</v>
          </cell>
          <cell r="BE85">
            <v>22683</v>
          </cell>
          <cell r="BF85">
            <v>21371</v>
          </cell>
          <cell r="BG85">
            <v>24303</v>
          </cell>
          <cell r="BH85">
            <v>68357</v>
          </cell>
          <cell r="BI85">
            <v>23482</v>
          </cell>
          <cell r="BJ85">
            <v>22869</v>
          </cell>
          <cell r="BK85">
            <v>23766</v>
          </cell>
          <cell r="BL85">
            <v>70117</v>
          </cell>
          <cell r="BM85">
            <v>23947</v>
          </cell>
          <cell r="BN85">
            <v>24160</v>
          </cell>
          <cell r="BO85">
            <v>23728</v>
          </cell>
          <cell r="BP85">
            <v>71835</v>
          </cell>
        </row>
        <row r="86">
          <cell r="A86" t="str">
            <v xml:space="preserve">  % Change</v>
          </cell>
          <cell r="AK86">
            <v>4.7272064851079376E-2</v>
          </cell>
          <cell r="AL86">
            <v>7.7514035260514147E-2</v>
          </cell>
          <cell r="AM86">
            <v>0.11362304687499999</v>
          </cell>
          <cell r="AN86">
            <v>7.871669004207571E-2</v>
          </cell>
          <cell r="AO86">
            <v>4.9367587202941099E-2</v>
          </cell>
          <cell r="AP86">
            <v>6.6858902301940359E-2</v>
          </cell>
          <cell r="AQ86">
            <v>0.1001291126842081</v>
          </cell>
          <cell r="AR86">
            <v>7.2144258107676551E-2</v>
          </cell>
          <cell r="AS86">
            <v>2.1527748290943061E-2</v>
          </cell>
          <cell r="AT86">
            <v>5.6750042830221004E-2</v>
          </cell>
          <cell r="AU86">
            <v>0.10674209837291948</v>
          </cell>
          <cell r="AV86">
            <v>6.0260371666642332E-2</v>
          </cell>
          <cell r="AW86">
            <v>2.7585322042596783E-2</v>
          </cell>
          <cell r="AX86">
            <v>2.1936327954644508E-2</v>
          </cell>
          <cell r="AY86">
            <v>9.9188334021185875E-2</v>
          </cell>
          <cell r="AZ86">
            <v>4.8606115767994229E-2</v>
          </cell>
          <cell r="BA86">
            <v>3.2049052009045065E-2</v>
          </cell>
          <cell r="BB86">
            <v>-3.2769652650822656E-2</v>
          </cell>
          <cell r="BC86">
            <v>2.9815407550313422E-2</v>
          </cell>
          <cell r="BD86">
            <v>1.0342331161443896E-2</v>
          </cell>
          <cell r="BE86">
            <v>-5.3968386370271459E-2</v>
          </cell>
          <cell r="BF86">
            <v>-2.0981263456869348E-2</v>
          </cell>
          <cell r="BG86">
            <v>-1.6471064346418429E-2</v>
          </cell>
          <cell r="BH86">
            <v>-3.061716489874633E-2</v>
          </cell>
          <cell r="BI86">
            <v>-2.3942139828747155E-2</v>
          </cell>
          <cell r="BJ86">
            <v>-7.3116362015158254E-2</v>
          </cell>
          <cell r="BK86">
            <v>4.013349668370525E-3</v>
          </cell>
          <cell r="BL86">
            <v>-3.1559901660175083E-2</v>
          </cell>
          <cell r="BM86">
            <v>-3.3295875473425829E-3</v>
          </cell>
          <cell r="BN86">
            <v>3.1024623394358297E-2</v>
          </cell>
          <cell r="BO86">
            <v>-1.0095953274926961E-2</v>
          </cell>
          <cell r="BP86">
            <v>5.6698866022679706E-3</v>
          </cell>
        </row>
        <row r="87">
          <cell r="A87" t="str">
            <v>NRx</v>
          </cell>
          <cell r="U87">
            <v>6287</v>
          </cell>
          <cell r="V87">
            <v>5654</v>
          </cell>
          <cell r="W87">
            <v>5579</v>
          </cell>
          <cell r="X87">
            <v>17520</v>
          </cell>
          <cell r="Y87">
            <v>6496</v>
          </cell>
          <cell r="Z87">
            <v>5782</v>
          </cell>
          <cell r="AA87">
            <v>6581</v>
          </cell>
          <cell r="AB87">
            <v>18859</v>
          </cell>
          <cell r="AC87">
            <v>6789</v>
          </cell>
          <cell r="AD87">
            <v>6591</v>
          </cell>
          <cell r="AE87">
            <v>6033</v>
          </cell>
          <cell r="AF87">
            <v>19413</v>
          </cell>
          <cell r="AG87">
            <v>6661</v>
          </cell>
          <cell r="AH87">
            <v>6952</v>
          </cell>
          <cell r="AI87">
            <v>6275</v>
          </cell>
          <cell r="AJ87">
            <v>19888</v>
          </cell>
          <cell r="AK87">
            <v>7054</v>
          </cell>
          <cell r="AL87">
            <v>6754</v>
          </cell>
          <cell r="AM87">
            <v>6430</v>
          </cell>
          <cell r="AN87">
            <v>20238</v>
          </cell>
          <cell r="AO87">
            <v>7585</v>
          </cell>
          <cell r="AP87">
            <v>6670</v>
          </cell>
          <cell r="AQ87">
            <v>7731</v>
          </cell>
          <cell r="AR87">
            <v>21986</v>
          </cell>
          <cell r="AS87">
            <v>7244</v>
          </cell>
          <cell r="AT87">
            <v>7456</v>
          </cell>
          <cell r="AU87">
            <v>7031</v>
          </cell>
          <cell r="AV87">
            <v>21731</v>
          </cell>
          <cell r="AW87">
            <v>7012</v>
          </cell>
          <cell r="AX87">
            <v>6935</v>
          </cell>
          <cell r="AY87">
            <v>7130</v>
          </cell>
          <cell r="AZ87">
            <v>21077</v>
          </cell>
          <cell r="BA87">
            <v>7226</v>
          </cell>
          <cell r="BB87">
            <v>6129</v>
          </cell>
          <cell r="BC87">
            <v>6753</v>
          </cell>
          <cell r="BD87">
            <v>20108</v>
          </cell>
          <cell r="BE87">
            <v>6893</v>
          </cell>
          <cell r="BF87">
            <v>6779</v>
          </cell>
          <cell r="BG87">
            <v>7789</v>
          </cell>
          <cell r="BH87">
            <v>21461</v>
          </cell>
          <cell r="BI87">
            <v>7351</v>
          </cell>
          <cell r="BJ87">
            <v>6795</v>
          </cell>
          <cell r="BK87">
            <v>7390</v>
          </cell>
          <cell r="BL87">
            <v>21536</v>
          </cell>
          <cell r="BM87">
            <v>7401</v>
          </cell>
          <cell r="BN87">
            <v>7448</v>
          </cell>
          <cell r="BO87">
            <v>7094</v>
          </cell>
          <cell r="BP87">
            <v>21943</v>
          </cell>
        </row>
        <row r="88">
          <cell r="A88" t="str">
            <v xml:space="preserve">  % Change</v>
          </cell>
          <cell r="AK88">
            <v>0.12199777318275817</v>
          </cell>
          <cell r="AL88">
            <v>0.19455252918287935</v>
          </cell>
          <cell r="AM88">
            <v>0.15253629682738845</v>
          </cell>
          <cell r="AN88">
            <v>0.15513698630136985</v>
          </cell>
          <cell r="AO88">
            <v>0.16764162561576357</v>
          </cell>
          <cell r="AP88">
            <v>0.15358007609823598</v>
          </cell>
          <cell r="AQ88">
            <v>0.17474547941042395</v>
          </cell>
          <cell r="AR88">
            <v>0.16580942785937758</v>
          </cell>
          <cell r="AS88">
            <v>6.7020179702459881E-2</v>
          </cell>
          <cell r="AT88">
            <v>0.1312395691093915</v>
          </cell>
          <cell r="AU88">
            <v>0.16542350406099793</v>
          </cell>
          <cell r="AV88">
            <v>0.11940452274249225</v>
          </cell>
          <cell r="AW88">
            <v>5.2694790571986116E-2</v>
          </cell>
          <cell r="AX88">
            <v>-2.4453394706559495E-3</v>
          </cell>
          <cell r="AY88">
            <v>0.13625498007968129</v>
          </cell>
          <cell r="AZ88">
            <v>5.9784794851166501E-2</v>
          </cell>
          <cell r="BA88">
            <v>2.438332860788206E-2</v>
          </cell>
          <cell r="BB88">
            <v>-9.2537755404204947E-2</v>
          </cell>
          <cell r="BC88">
            <v>5.0233281493001547E-2</v>
          </cell>
          <cell r="BD88">
            <v>-6.4235596402806294E-3</v>
          </cell>
          <cell r="BE88">
            <v>-9.1232696110744915E-2</v>
          </cell>
          <cell r="BF88">
            <v>1.6341829085457338E-2</v>
          </cell>
          <cell r="BG88">
            <v>7.5022636140213983E-3</v>
          </cell>
          <cell r="BH88">
            <v>-2.3878831983989768E-2</v>
          </cell>
          <cell r="BI88">
            <v>1.4770844837106667E-2</v>
          </cell>
          <cell r="BJ88">
            <v>-8.8653433476394872E-2</v>
          </cell>
          <cell r="BK88">
            <v>5.1059593229981548E-2</v>
          </cell>
          <cell r="BL88">
            <v>-8.9733560351571429E-3</v>
          </cell>
          <cell r="BM88">
            <v>5.5476326297775325E-2</v>
          </cell>
          <cell r="BN88">
            <v>7.3972602739726057E-2</v>
          </cell>
          <cell r="BO88">
            <v>-5.0490883590462721E-3</v>
          </cell>
          <cell r="BP88">
            <v>4.1087441286710602E-2</v>
          </cell>
        </row>
        <row r="89">
          <cell r="A89" t="str">
            <v>Sales (IMS)</v>
          </cell>
          <cell r="U89">
            <v>2.9663480000000004</v>
          </cell>
          <cell r="V89">
            <v>2.916874</v>
          </cell>
          <cell r="W89">
            <v>3.0057420000000001</v>
          </cell>
          <cell r="X89">
            <v>8.8889639999999996</v>
          </cell>
          <cell r="Y89">
            <v>3.1552639999999998</v>
          </cell>
          <cell r="Z89">
            <v>3.2253570000000003</v>
          </cell>
          <cell r="AA89">
            <v>3.9718469999999999</v>
          </cell>
          <cell r="AB89">
            <v>10.352468000000002</v>
          </cell>
          <cell r="AC89">
            <v>3.26085</v>
          </cell>
          <cell r="AD89">
            <v>3.3630770000000001</v>
          </cell>
          <cell r="AE89">
            <v>4.2327529999999998</v>
          </cell>
          <cell r="AF89">
            <v>10.856679999999999</v>
          </cell>
          <cell r="AG89">
            <v>3.594357</v>
          </cell>
          <cell r="AH89">
            <v>3.7489039999999996</v>
          </cell>
          <cell r="AI89">
            <v>4.6299479999999997</v>
          </cell>
          <cell r="AJ89">
            <v>11.973208999999999</v>
          </cell>
          <cell r="AK89">
            <v>3.4163760000000005</v>
          </cell>
          <cell r="AL89">
            <v>3.2018710000000001</v>
          </cell>
          <cell r="AM89">
            <v>3.8915349999999993</v>
          </cell>
          <cell r="AN89">
            <v>10.509782</v>
          </cell>
          <cell r="AO89">
            <v>3.5951750000000002</v>
          </cell>
          <cell r="AP89">
            <v>3.7374700000000001</v>
          </cell>
          <cell r="AQ89">
            <v>5.1698579999999996</v>
          </cell>
          <cell r="AR89">
            <v>12.502503000000001</v>
          </cell>
          <cell r="AS89">
            <v>3.9317420000000003</v>
          </cell>
          <cell r="AT89">
            <v>4.3792759999999999</v>
          </cell>
          <cell r="AU89">
            <v>4.4729640000000002</v>
          </cell>
          <cell r="AV89">
            <v>12.783982000000002</v>
          </cell>
          <cell r="AW89">
            <v>3.6796799999999998</v>
          </cell>
          <cell r="AX89">
            <v>3.581375</v>
          </cell>
          <cell r="AY89">
            <v>4.1751230000000001</v>
          </cell>
          <cell r="AZ89">
            <v>11.436178</v>
          </cell>
          <cell r="BA89">
            <v>3.6158250000000005</v>
          </cell>
          <cell r="BB89">
            <v>3.3350200000000001</v>
          </cell>
          <cell r="BC89">
            <v>4.1059299999999999</v>
          </cell>
          <cell r="BD89">
            <v>11.056775</v>
          </cell>
          <cell r="BE89">
            <v>3.4236550000000001</v>
          </cell>
          <cell r="BF89">
            <v>3.7070810000000001</v>
          </cell>
          <cell r="BG89">
            <v>4.6121490000000005</v>
          </cell>
          <cell r="BH89">
            <v>11.742884999999999</v>
          </cell>
          <cell r="BI89">
            <v>3.6859739999999999</v>
          </cell>
          <cell r="BJ89">
            <v>3.7230449999999999</v>
          </cell>
          <cell r="BK89">
            <v>4.7054</v>
          </cell>
          <cell r="BL89">
            <v>12.114419</v>
          </cell>
          <cell r="BM89">
            <v>3.6641349999999995</v>
          </cell>
          <cell r="BN89">
            <v>3.454698</v>
          </cell>
          <cell r="BO89">
            <v>4.4286539999999999</v>
          </cell>
          <cell r="BP89">
            <v>11.547486999999999</v>
          </cell>
        </row>
        <row r="90">
          <cell r="A90" t="str">
            <v xml:space="preserve">  % Change</v>
          </cell>
          <cell r="AN90">
            <v>0.15513698630136985</v>
          </cell>
          <cell r="AO90">
            <v>0.16764162561576357</v>
          </cell>
          <cell r="AP90">
            <v>0.15358007609823598</v>
          </cell>
          <cell r="AQ90">
            <v>0.17474547941042395</v>
          </cell>
          <cell r="AR90">
            <v>0.16580942785937758</v>
          </cell>
          <cell r="AS90">
            <v>6.7020179702459881E-2</v>
          </cell>
          <cell r="AT90">
            <v>0.1312395691093915</v>
          </cell>
          <cell r="AU90">
            <v>0.16542350406099793</v>
          </cell>
          <cell r="AV90">
            <v>0.11940452274249225</v>
          </cell>
          <cell r="AW90">
            <v>5.2694790571986116E-2</v>
          </cell>
          <cell r="AX90">
            <v>-2.4453394706559495E-3</v>
          </cell>
          <cell r="AY90">
            <v>0.13625498007968129</v>
          </cell>
          <cell r="AZ90">
            <v>-4.4852720770179433E-2</v>
          </cell>
          <cell r="BA90">
            <v>5.8380283669010602E-2</v>
          </cell>
          <cell r="BB90">
            <v>4.1584748417409667E-2</v>
          </cell>
          <cell r="BC90">
            <v>5.5092656239761562E-2</v>
          </cell>
          <cell r="BD90">
            <v>5.2046084305078955E-2</v>
          </cell>
          <cell r="BE90">
            <v>-4.7708386935267466E-2</v>
          </cell>
          <cell r="BF90">
            <v>-8.130901385161593E-3</v>
          </cell>
          <cell r="BG90">
            <v>-0.10787704420508248</v>
          </cell>
          <cell r="BH90">
            <v>-6.0757273963461644E-2</v>
          </cell>
          <cell r="BI90">
            <v>-6.2508679358920349E-2</v>
          </cell>
          <cell r="BJ90">
            <v>-0.14984919881733871</v>
          </cell>
          <cell r="BK90">
            <v>5.1964648049928286E-2</v>
          </cell>
          <cell r="BL90">
            <v>-5.2375151967516964E-2</v>
          </cell>
          <cell r="BM90">
            <v>-4.2245521349683068E-3</v>
          </cell>
          <cell r="BN90">
            <v>-3.5371051621234884E-2</v>
          </cell>
          <cell r="BO90">
            <v>6.0724199023597603E-2</v>
          </cell>
          <cell r="BP90">
            <v>9.7330594189770636E-3</v>
          </cell>
        </row>
        <row r="91">
          <cell r="A91" t="str">
            <v>Product</v>
          </cell>
          <cell r="C91">
            <v>36739</v>
          </cell>
          <cell r="D91">
            <v>36770</v>
          </cell>
          <cell r="E91">
            <v>36800</v>
          </cell>
          <cell r="F91">
            <v>36831</v>
          </cell>
          <cell r="G91">
            <v>36861</v>
          </cell>
          <cell r="H91" t="str">
            <v>Q4:00</v>
          </cell>
          <cell r="I91">
            <v>36892</v>
          </cell>
          <cell r="J91">
            <v>36923</v>
          </cell>
          <cell r="K91">
            <v>36951</v>
          </cell>
          <cell r="L91" t="str">
            <v>Q1:01</v>
          </cell>
          <cell r="M91">
            <v>36982</v>
          </cell>
          <cell r="N91">
            <v>37012</v>
          </cell>
          <cell r="O91">
            <v>37043</v>
          </cell>
          <cell r="P91" t="str">
            <v>Q2:01</v>
          </cell>
          <cell r="Q91">
            <v>37073</v>
          </cell>
          <cell r="R91">
            <v>37104</v>
          </cell>
          <cell r="S91">
            <v>37135</v>
          </cell>
          <cell r="T91" t="str">
            <v>Q3:01</v>
          </cell>
          <cell r="U91">
            <v>37165</v>
          </cell>
          <cell r="V91">
            <v>37196</v>
          </cell>
          <cell r="W91">
            <v>37226</v>
          </cell>
          <cell r="X91" t="str">
            <v>Q4:01</v>
          </cell>
          <cell r="Y91">
            <v>37257</v>
          </cell>
          <cell r="Z91">
            <v>37288</v>
          </cell>
          <cell r="AA91">
            <v>37316</v>
          </cell>
          <cell r="AB91" t="str">
            <v>Q1:02</v>
          </cell>
          <cell r="AC91">
            <v>37347</v>
          </cell>
          <cell r="AD91">
            <v>37377</v>
          </cell>
          <cell r="AE91">
            <v>37408</v>
          </cell>
          <cell r="AF91" t="str">
            <v>Q2:02</v>
          </cell>
          <cell r="AG91">
            <v>37438</v>
          </cell>
          <cell r="AH91">
            <v>37469</v>
          </cell>
          <cell r="AI91">
            <v>37500</v>
          </cell>
          <cell r="AJ91" t="str">
            <v>Q3:02</v>
          </cell>
          <cell r="AK91">
            <v>37530</v>
          </cell>
          <cell r="AL91">
            <v>37561</v>
          </cell>
          <cell r="AM91">
            <v>37591</v>
          </cell>
          <cell r="AN91" t="str">
            <v>Q4:02</v>
          </cell>
          <cell r="AO91">
            <v>37622</v>
          </cell>
          <cell r="AP91">
            <v>37653</v>
          </cell>
          <cell r="AQ91">
            <v>37681</v>
          </cell>
          <cell r="AR91" t="str">
            <v>Q1:03</v>
          </cell>
          <cell r="AS91">
            <v>37712</v>
          </cell>
          <cell r="AT91">
            <v>37742</v>
          </cell>
          <cell r="AU91">
            <v>37773</v>
          </cell>
          <cell r="AV91" t="str">
            <v>Q2:03</v>
          </cell>
          <cell r="AW91">
            <v>37803</v>
          </cell>
          <cell r="AX91">
            <v>37834</v>
          </cell>
          <cell r="AY91">
            <v>37865</v>
          </cell>
          <cell r="AZ91" t="str">
            <v>Q3:03</v>
          </cell>
          <cell r="BA91">
            <v>37895</v>
          </cell>
          <cell r="BB91">
            <v>37926</v>
          </cell>
          <cell r="BC91">
            <v>37956</v>
          </cell>
          <cell r="BD91" t="str">
            <v>Q4:03</v>
          </cell>
          <cell r="BE91">
            <v>37987</v>
          </cell>
          <cell r="BF91">
            <v>38018</v>
          </cell>
          <cell r="BG91">
            <v>38047</v>
          </cell>
          <cell r="BH91" t="str">
            <v>Q1:04</v>
          </cell>
          <cell r="BI91">
            <v>38078</v>
          </cell>
          <cell r="BJ91">
            <v>38108</v>
          </cell>
          <cell r="BK91">
            <v>38139</v>
          </cell>
          <cell r="BL91" t="str">
            <v>Q2:04</v>
          </cell>
          <cell r="BM91">
            <v>38169</v>
          </cell>
          <cell r="BN91">
            <v>38200</v>
          </cell>
          <cell r="BO91">
            <v>38231</v>
          </cell>
          <cell r="BP91" t="str">
            <v>Q3:04A</v>
          </cell>
        </row>
        <row r="92">
          <cell r="A92" t="str">
            <v>ZYMAR</v>
          </cell>
        </row>
        <row r="93">
          <cell r="A93" t="str">
            <v>TRx</v>
          </cell>
          <cell r="AS93">
            <v>983</v>
          </cell>
          <cell r="AT93">
            <v>21013</v>
          </cell>
          <cell r="AU93">
            <v>47706</v>
          </cell>
          <cell r="AV93">
            <v>69702</v>
          </cell>
          <cell r="AW93">
            <v>72373</v>
          </cell>
          <cell r="AX93">
            <v>83881</v>
          </cell>
          <cell r="AY93">
            <v>93435</v>
          </cell>
          <cell r="AZ93">
            <v>249689</v>
          </cell>
          <cell r="BA93">
            <v>106264</v>
          </cell>
          <cell r="BB93">
            <v>94936</v>
          </cell>
          <cell r="BC93">
            <v>95232</v>
          </cell>
          <cell r="BD93">
            <v>296432</v>
          </cell>
          <cell r="BE93">
            <v>111030</v>
          </cell>
          <cell r="BF93">
            <v>108438</v>
          </cell>
          <cell r="BG93">
            <v>129201</v>
          </cell>
          <cell r="BH93">
            <v>348669</v>
          </cell>
          <cell r="BI93">
            <v>129391</v>
          </cell>
          <cell r="BJ93">
            <v>130752</v>
          </cell>
          <cell r="BK93">
            <v>132754</v>
          </cell>
          <cell r="BL93">
            <v>392897</v>
          </cell>
          <cell r="BM93">
            <v>133166</v>
          </cell>
          <cell r="BN93">
            <v>133904</v>
          </cell>
          <cell r="BO93">
            <v>134132</v>
          </cell>
          <cell r="BP93">
            <v>401202</v>
          </cell>
        </row>
        <row r="94">
          <cell r="A94" t="str">
            <v xml:space="preserve">  % Change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P94">
            <v>0</v>
          </cell>
        </row>
        <row r="95">
          <cell r="A95" t="str">
            <v>NRx</v>
          </cell>
          <cell r="AS95">
            <v>960</v>
          </cell>
          <cell r="AT95">
            <v>20392</v>
          </cell>
          <cell r="AU95">
            <v>45886</v>
          </cell>
          <cell r="AV95">
            <v>67238</v>
          </cell>
          <cell r="AW95">
            <v>69264</v>
          </cell>
          <cell r="AX95">
            <v>79803</v>
          </cell>
          <cell r="AY95">
            <v>88762</v>
          </cell>
          <cell r="AZ95">
            <v>237829</v>
          </cell>
          <cell r="BA95">
            <v>100526</v>
          </cell>
          <cell r="BB95">
            <v>89508</v>
          </cell>
          <cell r="BC95">
            <v>89215</v>
          </cell>
          <cell r="BD95">
            <v>279249</v>
          </cell>
          <cell r="BE95">
            <v>105132</v>
          </cell>
          <cell r="BF95">
            <v>102527</v>
          </cell>
          <cell r="BG95">
            <v>121941</v>
          </cell>
          <cell r="BH95">
            <v>329600</v>
          </cell>
          <cell r="BI95">
            <v>122228</v>
          </cell>
          <cell r="BJ95">
            <v>123362</v>
          </cell>
          <cell r="BK95">
            <v>125003</v>
          </cell>
          <cell r="BL95">
            <v>370593</v>
          </cell>
          <cell r="BM95">
            <v>125240</v>
          </cell>
          <cell r="BN95">
            <v>125723</v>
          </cell>
          <cell r="BO95">
            <v>125999</v>
          </cell>
          <cell r="BP95">
            <v>376962</v>
          </cell>
        </row>
        <row r="96">
          <cell r="A96" t="str">
            <v xml:space="preserve">  % Change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</row>
        <row r="97">
          <cell r="A97" t="str">
            <v>Sales (IMS)</v>
          </cell>
          <cell r="AS97">
            <v>0.84911999999999999</v>
          </cell>
          <cell r="AT97">
            <v>1.1325019999999999</v>
          </cell>
          <cell r="AU97">
            <v>2.7778070000000001</v>
          </cell>
          <cell r="AV97">
            <v>4.7594289999999999</v>
          </cell>
          <cell r="AW97">
            <v>3.1931859999999999</v>
          </cell>
          <cell r="AX97">
            <v>3.757285</v>
          </cell>
          <cell r="AY97">
            <v>4.7848550000000003</v>
          </cell>
          <cell r="AZ97">
            <v>11.735326000000001</v>
          </cell>
          <cell r="BA97">
            <v>4.5356730000000001</v>
          </cell>
          <cell r="BB97">
            <v>4.3872030000000004</v>
          </cell>
          <cell r="BC97">
            <v>4.6283409999999998</v>
          </cell>
          <cell r="BD97">
            <v>13.551217000000001</v>
          </cell>
          <cell r="BE97">
            <v>4.6023269999999998</v>
          </cell>
          <cell r="BF97">
            <v>5.1254140000000001</v>
          </cell>
          <cell r="BG97">
            <v>6.8236150000000002</v>
          </cell>
          <cell r="BH97">
            <v>16.551355999999998</v>
          </cell>
          <cell r="BI97">
            <v>5.8726120000000002</v>
          </cell>
          <cell r="BJ97">
            <v>6.0967719999999996</v>
          </cell>
          <cell r="BK97">
            <v>7.3474640000000004</v>
          </cell>
          <cell r="BL97">
            <v>19.316848</v>
          </cell>
          <cell r="BM97">
            <v>5.7643300000000002</v>
          </cell>
          <cell r="BN97">
            <v>6.0178750000000001</v>
          </cell>
          <cell r="BO97">
            <v>7.3633280000000001</v>
          </cell>
          <cell r="BP97">
            <v>19.145533</v>
          </cell>
        </row>
        <row r="98">
          <cell r="A98" t="str">
            <v xml:space="preserve">  % Change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</row>
        <row r="100">
          <cell r="A100" t="str">
            <v>OCUFLOX</v>
          </cell>
        </row>
        <row r="101">
          <cell r="A101" t="str">
            <v>TRx</v>
          </cell>
          <cell r="C101">
            <v>158942</v>
          </cell>
          <cell r="D101">
            <v>151134</v>
          </cell>
          <cell r="E101">
            <v>161860</v>
          </cell>
          <cell r="F101">
            <v>169472</v>
          </cell>
          <cell r="G101">
            <v>166055</v>
          </cell>
          <cell r="H101">
            <v>497387</v>
          </cell>
          <cell r="I101">
            <v>186193</v>
          </cell>
          <cell r="J101">
            <v>175594</v>
          </cell>
          <cell r="K101">
            <v>197418</v>
          </cell>
          <cell r="L101">
            <v>559205</v>
          </cell>
          <cell r="M101">
            <v>184217</v>
          </cell>
          <cell r="N101">
            <v>193292</v>
          </cell>
          <cell r="O101">
            <v>176002</v>
          </cell>
          <cell r="P101">
            <v>553511</v>
          </cell>
          <cell r="Q101">
            <v>168676</v>
          </cell>
          <cell r="R101">
            <v>169465</v>
          </cell>
          <cell r="S101">
            <v>149371</v>
          </cell>
          <cell r="T101">
            <v>487512</v>
          </cell>
          <cell r="U101">
            <v>170460</v>
          </cell>
          <cell r="V101">
            <v>162724</v>
          </cell>
          <cell r="W101">
            <v>166650</v>
          </cell>
          <cell r="X101">
            <v>499834</v>
          </cell>
          <cell r="Y101">
            <v>181652</v>
          </cell>
          <cell r="Z101">
            <v>168855</v>
          </cell>
          <cell r="AA101">
            <v>181544</v>
          </cell>
          <cell r="AB101">
            <v>532051</v>
          </cell>
          <cell r="AC101">
            <v>190313</v>
          </cell>
          <cell r="AD101">
            <v>190983</v>
          </cell>
          <cell r="AE101">
            <v>171317</v>
          </cell>
          <cell r="AF101">
            <v>552613</v>
          </cell>
          <cell r="AG101">
            <v>179245</v>
          </cell>
          <cell r="AH101">
            <v>176087</v>
          </cell>
          <cell r="AI101">
            <v>166390</v>
          </cell>
          <cell r="AJ101">
            <v>521722</v>
          </cell>
          <cell r="AK101">
            <v>181787</v>
          </cell>
          <cell r="AL101">
            <v>182980</v>
          </cell>
          <cell r="AM101">
            <v>184165</v>
          </cell>
          <cell r="AN101">
            <v>548932</v>
          </cell>
          <cell r="AO101">
            <v>203159</v>
          </cell>
          <cell r="AP101">
            <v>191019</v>
          </cell>
          <cell r="AQ101">
            <v>210997</v>
          </cell>
          <cell r="AR101">
            <v>605175</v>
          </cell>
          <cell r="AS101">
            <v>210823</v>
          </cell>
          <cell r="AT101">
            <v>203103</v>
          </cell>
          <cell r="AU101">
            <v>157585</v>
          </cell>
          <cell r="AV101">
            <v>571511</v>
          </cell>
          <cell r="AW101">
            <v>129560</v>
          </cell>
          <cell r="AX101">
            <v>101653</v>
          </cell>
          <cell r="AY101">
            <v>88072</v>
          </cell>
          <cell r="AZ101">
            <v>319285</v>
          </cell>
          <cell r="BA101">
            <v>86623</v>
          </cell>
          <cell r="BB101">
            <v>79630</v>
          </cell>
          <cell r="BC101">
            <v>91621</v>
          </cell>
          <cell r="BD101">
            <v>257874</v>
          </cell>
          <cell r="BE101">
            <v>81915</v>
          </cell>
          <cell r="BF101">
            <v>76667</v>
          </cell>
          <cell r="BG101">
            <v>84643</v>
          </cell>
          <cell r="BH101">
            <v>243225</v>
          </cell>
          <cell r="BI101">
            <v>74361</v>
          </cell>
          <cell r="BJ101">
            <v>62700</v>
          </cell>
          <cell r="BK101">
            <v>23215</v>
          </cell>
          <cell r="BL101">
            <v>160276</v>
          </cell>
          <cell r="BM101">
            <v>15358</v>
          </cell>
          <cell r="BN101">
            <v>12388</v>
          </cell>
          <cell r="BO101">
            <v>9728</v>
          </cell>
          <cell r="BP101">
            <v>37474</v>
          </cell>
        </row>
        <row r="102">
          <cell r="A102" t="str">
            <v xml:space="preserve">  % Change</v>
          </cell>
          <cell r="R102">
            <v>6.6206540750714193E-2</v>
          </cell>
          <cell r="S102">
            <v>-1.1665144838355346E-2</v>
          </cell>
          <cell r="U102">
            <v>5.3132336587174089E-2</v>
          </cell>
          <cell r="V102">
            <v>-3.9817787009063466E-2</v>
          </cell>
          <cell r="W102">
            <v>3.5831501610912309E-3</v>
          </cell>
          <cell r="X102">
            <v>4.9197104065847874E-3</v>
          </cell>
          <cell r="Y102">
            <v>-2.4388671969408082E-2</v>
          </cell>
          <cell r="Z102">
            <v>-3.8378304497875826E-2</v>
          </cell>
          <cell r="AA102">
            <v>-8.0408068159944834E-2</v>
          </cell>
          <cell r="AB102">
            <v>-4.8558221045949201E-2</v>
          </cell>
          <cell r="AC102">
            <v>3.309140850192982E-2</v>
          </cell>
          <cell r="AD102">
            <v>-1.1945657347432914E-2</v>
          </cell>
          <cell r="AE102">
            <v>-2.6619015693003512E-2</v>
          </cell>
          <cell r="AF102">
            <v>-1.6223706484604916E-3</v>
          </cell>
          <cell r="AG102">
            <v>6.2658588062320719E-2</v>
          </cell>
          <cell r="AH102">
            <v>3.9075915380757165E-2</v>
          </cell>
          <cell r="AI102">
            <v>0.11393777908697134</v>
          </cell>
          <cell r="AJ102">
            <v>7.017263164804155E-2</v>
          </cell>
          <cell r="AK102">
            <v>6.6449606945911066E-2</v>
          </cell>
          <cell r="AL102">
            <v>0.12448071581327902</v>
          </cell>
          <cell r="AM102">
            <v>0.10510051005100518</v>
          </cell>
          <cell r="AN102">
            <v>9.8228611899150442E-2</v>
          </cell>
          <cell r="AO102">
            <v>0.11839671459714185</v>
          </cell>
          <cell r="AP102">
            <v>0.13126054899173845</v>
          </cell>
          <cell r="AQ102">
            <v>0.16223615211739295</v>
          </cell>
          <cell r="AR102">
            <v>0.13743795237674594</v>
          </cell>
          <cell r="AS102">
            <v>0.1077698318033975</v>
          </cell>
          <cell r="AT102">
            <v>6.3461145756428472E-2</v>
          </cell>
          <cell r="AU102">
            <v>-8.0155501205367852E-2</v>
          </cell>
          <cell r="AV102">
            <v>3.4197530640792007E-2</v>
          </cell>
          <cell r="AW102">
            <v>-0.27719043766911211</v>
          </cell>
          <cell r="AX102">
            <v>-0.42271150056506157</v>
          </cell>
          <cell r="AY102">
            <v>-0.47068934431155718</v>
          </cell>
          <cell r="AZ102">
            <v>-0.38801698989116806</v>
          </cell>
          <cell r="BA102">
            <v>-0.52349177884007103</v>
          </cell>
          <cell r="BB102">
            <v>-0.56481582686632414</v>
          </cell>
          <cell r="BC102">
            <v>-0.50250590503081471</v>
          </cell>
          <cell r="BD102">
            <v>-0.53022596605772665</v>
          </cell>
          <cell r="BE102">
            <v>-0.59679364438690885</v>
          </cell>
          <cell r="BF102">
            <v>-0.59864201990377919</v>
          </cell>
          <cell r="BG102">
            <v>-0.59884263757304601</v>
          </cell>
          <cell r="BH102">
            <v>-0.59809146114760192</v>
          </cell>
          <cell r="BI102">
            <v>-0.64728231739421216</v>
          </cell>
          <cell r="BJ102">
            <v>-0.69128964121652559</v>
          </cell>
          <cell r="BK102">
            <v>-0.85268267918900909</v>
          </cell>
          <cell r="BL102">
            <v>-0.71955745383728398</v>
          </cell>
          <cell r="BM102">
            <v>-0.88146032726150048</v>
          </cell>
          <cell r="BN102">
            <v>-0.87813443774409017</v>
          </cell>
          <cell r="BO102">
            <v>-0.88954491779453171</v>
          </cell>
          <cell r="BP102">
            <v>-0.88263150476846708</v>
          </cell>
        </row>
        <row r="103">
          <cell r="A103" t="str">
            <v>NRx</v>
          </cell>
          <cell r="C103">
            <v>145838</v>
          </cell>
          <cell r="D103">
            <v>138678</v>
          </cell>
          <cell r="E103">
            <v>148331</v>
          </cell>
          <cell r="F103">
            <v>155923</v>
          </cell>
          <cell r="G103">
            <v>152375</v>
          </cell>
          <cell r="H103">
            <v>456629</v>
          </cell>
          <cell r="I103">
            <v>173415</v>
          </cell>
          <cell r="J103">
            <v>163286</v>
          </cell>
          <cell r="K103">
            <v>183289</v>
          </cell>
          <cell r="L103">
            <v>519990</v>
          </cell>
          <cell r="M103">
            <v>170392</v>
          </cell>
          <cell r="N103">
            <v>178697</v>
          </cell>
          <cell r="O103">
            <v>162333</v>
          </cell>
          <cell r="P103">
            <v>511422</v>
          </cell>
          <cell r="Q103">
            <v>155271</v>
          </cell>
          <cell r="R103">
            <v>155394</v>
          </cell>
          <cell r="S103">
            <v>136593</v>
          </cell>
          <cell r="T103">
            <v>447258</v>
          </cell>
          <cell r="U103">
            <v>155986</v>
          </cell>
          <cell r="V103">
            <v>149164</v>
          </cell>
          <cell r="W103">
            <v>152298</v>
          </cell>
          <cell r="X103">
            <v>457448</v>
          </cell>
          <cell r="Y103">
            <v>168451</v>
          </cell>
          <cell r="Z103">
            <v>155797</v>
          </cell>
          <cell r="AA103">
            <v>167286</v>
          </cell>
          <cell r="AB103">
            <v>491534</v>
          </cell>
          <cell r="AC103">
            <v>176122</v>
          </cell>
          <cell r="AD103">
            <v>176243</v>
          </cell>
          <cell r="AE103">
            <v>158058</v>
          </cell>
          <cell r="AF103">
            <v>510423</v>
          </cell>
          <cell r="AG103">
            <v>164945</v>
          </cell>
          <cell r="AH103">
            <v>161541</v>
          </cell>
          <cell r="AI103">
            <v>153099</v>
          </cell>
          <cell r="AJ103">
            <v>479585</v>
          </cell>
          <cell r="AK103">
            <v>167805</v>
          </cell>
          <cell r="AL103">
            <v>169253</v>
          </cell>
          <cell r="AM103">
            <v>169499</v>
          </cell>
          <cell r="AN103">
            <v>506557</v>
          </cell>
          <cell r="AO103">
            <v>189044</v>
          </cell>
          <cell r="AP103">
            <v>177480</v>
          </cell>
          <cell r="AQ103">
            <v>196135</v>
          </cell>
          <cell r="AR103">
            <v>562659</v>
          </cell>
          <cell r="AS103">
            <v>196135</v>
          </cell>
          <cell r="AT103">
            <v>187946</v>
          </cell>
          <cell r="AU103">
            <v>144582</v>
          </cell>
          <cell r="AV103">
            <v>528663</v>
          </cell>
          <cell r="AW103">
            <v>118218</v>
          </cell>
          <cell r="AX103">
            <v>91868</v>
          </cell>
          <cell r="AY103">
            <v>79997</v>
          </cell>
          <cell r="AZ103">
            <v>290083</v>
          </cell>
          <cell r="BA103">
            <v>78582</v>
          </cell>
          <cell r="BB103">
            <v>72848</v>
          </cell>
          <cell r="BC103">
            <v>84372</v>
          </cell>
          <cell r="BD103">
            <v>235802</v>
          </cell>
          <cell r="BE103">
            <v>75650</v>
          </cell>
          <cell r="BF103">
            <v>70778</v>
          </cell>
          <cell r="BG103">
            <v>78450</v>
          </cell>
          <cell r="BH103">
            <v>224878</v>
          </cell>
          <cell r="BI103">
            <v>68963</v>
          </cell>
          <cell r="BJ103">
            <v>58012</v>
          </cell>
          <cell r="BK103">
            <v>20266</v>
          </cell>
          <cell r="BL103">
            <v>147241</v>
          </cell>
          <cell r="BM103">
            <v>13079</v>
          </cell>
          <cell r="BN103">
            <v>10490</v>
          </cell>
          <cell r="BO103">
            <v>8144</v>
          </cell>
          <cell r="BP103">
            <v>31713</v>
          </cell>
        </row>
        <row r="104">
          <cell r="A104" t="str">
            <v xml:space="preserve">  % Change</v>
          </cell>
          <cell r="X104">
            <v>1.7935785944387383E-3</v>
          </cell>
          <cell r="Y104">
            <v>-2.8624974771501943E-2</v>
          </cell>
          <cell r="Z104">
            <v>-4.5864311698492255E-2</v>
          </cell>
          <cell r="AA104">
            <v>-8.7310204103901445E-2</v>
          </cell>
          <cell r="AB104">
            <v>-5.4724129310179004E-2</v>
          </cell>
          <cell r="AC104">
            <v>3.362833935865539E-2</v>
          </cell>
          <cell r="AD104">
            <v>-1.3732743135027481E-2</v>
          </cell>
          <cell r="AE104">
            <v>-2.6334756334201903E-2</v>
          </cell>
          <cell r="AF104">
            <v>-1.9533770545655527E-3</v>
          </cell>
          <cell r="AG104">
            <v>6.2303971765493849E-2</v>
          </cell>
          <cell r="AH104">
            <v>3.9557511873045348E-2</v>
          </cell>
          <cell r="AI104">
            <v>0.12084074586545435</v>
          </cell>
          <cell r="AJ104">
            <v>7.2278192899847493E-2</v>
          </cell>
          <cell r="AK104">
            <v>7.5769620350544242E-2</v>
          </cell>
          <cell r="AL104">
            <v>0.13467726797350577</v>
          </cell>
          <cell r="AM104">
            <v>0.11294304587059578</v>
          </cell>
          <cell r="AN104">
            <v>0.10735427851908841</v>
          </cell>
          <cell r="AO104">
            <v>0.12224920006411355</v>
          </cell>
          <cell r="AP104">
            <v>0.1391746952765458</v>
          </cell>
          <cell r="AQ104">
            <v>0.17245316404241828</v>
          </cell>
          <cell r="AR104">
            <v>0.14470006144030734</v>
          </cell>
          <cell r="AS104">
            <v>0.11363146001067448</v>
          </cell>
          <cell r="AT104">
            <v>6.6402637267863218E-2</v>
          </cell>
          <cell r="AU104">
            <v>-8.525984132407094E-2</v>
          </cell>
          <cell r="AV104">
            <v>3.5735066797538462E-2</v>
          </cell>
          <cell r="AW104">
            <v>-0.28328836885022279</v>
          </cell>
          <cell r="AX104">
            <v>-0.43130227001194743</v>
          </cell>
          <cell r="AY104">
            <v>-0.47748189080268322</v>
          </cell>
          <cell r="AZ104">
            <v>-0.39513746259787108</v>
          </cell>
          <cell r="BA104">
            <v>-0.53170644498078135</v>
          </cell>
          <cell r="BB104">
            <v>-0.56959108553467297</v>
          </cell>
          <cell r="BC104">
            <v>-0.50222715178260646</v>
          </cell>
          <cell r="BD104">
            <v>-0.53450055966061072</v>
          </cell>
          <cell r="BE104">
            <v>-0.59982861132857956</v>
          </cell>
          <cell r="BF104">
            <v>-0.60120576966418748</v>
          </cell>
          <cell r="BG104">
            <v>-0.60002039411629737</v>
          </cell>
          <cell r="BH104">
            <v>-0.6003298623144746</v>
          </cell>
          <cell r="BI104">
            <v>-0.6483901394447702</v>
          </cell>
          <cell r="BJ104">
            <v>-0.69133687335724092</v>
          </cell>
          <cell r="BK104">
            <v>-0.85983040765793806</v>
          </cell>
          <cell r="BL104">
            <v>-0.72148419692696475</v>
          </cell>
          <cell r="BM104">
            <v>-0.8893654096668866</v>
          </cell>
          <cell r="BN104">
            <v>-0.88581442939870247</v>
          </cell>
          <cell r="BO104">
            <v>-0.8981961823568384</v>
          </cell>
          <cell r="BP104">
            <v>-0.89067611683552639</v>
          </cell>
        </row>
        <row r="105">
          <cell r="A105" t="str">
            <v>Sales (IMS)</v>
          </cell>
          <cell r="C105">
            <v>4.5202200000000001</v>
          </cell>
          <cell r="D105">
            <v>5.7068849999999998</v>
          </cell>
          <cell r="E105">
            <v>4.7900479999999996</v>
          </cell>
          <cell r="F105">
            <v>4.9471020000000001</v>
          </cell>
          <cell r="G105">
            <v>6.554119</v>
          </cell>
          <cell r="H105">
            <v>16.291269</v>
          </cell>
          <cell r="I105">
            <v>5.3869600000000002</v>
          </cell>
          <cell r="J105">
            <v>6.0823850000000004</v>
          </cell>
          <cell r="K105">
            <v>7.7397070000000001</v>
          </cell>
          <cell r="L105">
            <v>19.209052</v>
          </cell>
          <cell r="M105">
            <v>5.7592730000000003</v>
          </cell>
          <cell r="N105">
            <v>6.3553730000000002</v>
          </cell>
          <cell r="O105">
            <v>7.2243219999999999</v>
          </cell>
          <cell r="P105">
            <v>19.338968000000001</v>
          </cell>
          <cell r="Q105">
            <v>5.3860020000000004</v>
          </cell>
          <cell r="R105">
            <v>5.5186869999999999</v>
          </cell>
          <cell r="S105">
            <v>6.4457930000000001</v>
          </cell>
          <cell r="T105">
            <v>17.350482</v>
          </cell>
          <cell r="U105">
            <v>5.4104479999999997</v>
          </cell>
          <cell r="V105">
            <v>6.5154009999999998</v>
          </cell>
          <cell r="W105">
            <v>6.7477320000000001</v>
          </cell>
          <cell r="X105">
            <v>18.673580999999999</v>
          </cell>
          <cell r="Y105">
            <v>5.9387230000000004</v>
          </cell>
          <cell r="Z105">
            <v>6.3284380000000002</v>
          </cell>
          <cell r="AA105">
            <v>7.9969460000000003</v>
          </cell>
          <cell r="AB105">
            <v>20.264106999999999</v>
          </cell>
          <cell r="AC105">
            <v>6.4768829999999999</v>
          </cell>
          <cell r="AD105">
            <v>6.4235100000000003</v>
          </cell>
          <cell r="AE105">
            <v>7.6875150000000003</v>
          </cell>
          <cell r="AF105">
            <v>20.587908000000002</v>
          </cell>
          <cell r="AG105">
            <v>6.1872790000000002</v>
          </cell>
          <cell r="AH105">
            <v>6.147551</v>
          </cell>
          <cell r="AI105">
            <v>7.608943</v>
          </cell>
          <cell r="AJ105">
            <v>19.943773</v>
          </cell>
          <cell r="AK105">
            <v>6.5055480000000001</v>
          </cell>
          <cell r="AL105">
            <v>7.0254269999999996</v>
          </cell>
          <cell r="AM105">
            <v>8.1602029999999992</v>
          </cell>
          <cell r="AN105">
            <v>21.691178000000001</v>
          </cell>
          <cell r="AO105">
            <v>7.3458030000000001</v>
          </cell>
          <cell r="AP105">
            <v>7.6934279999999999</v>
          </cell>
          <cell r="AQ105">
            <v>9.6430830000000007</v>
          </cell>
          <cell r="AR105">
            <v>24.682314000000002</v>
          </cell>
          <cell r="AS105">
            <v>9.1363529999999997</v>
          </cell>
          <cell r="AT105">
            <v>8.6673740000000006</v>
          </cell>
          <cell r="AU105">
            <v>8.8232710000000001</v>
          </cell>
          <cell r="AV105">
            <v>26.626998</v>
          </cell>
          <cell r="AW105">
            <v>5.4140759999999997</v>
          </cell>
          <cell r="AX105">
            <v>4.6692150000000003</v>
          </cell>
          <cell r="AY105">
            <v>4.963819</v>
          </cell>
          <cell r="AZ105">
            <v>15.04711</v>
          </cell>
          <cell r="BA105">
            <v>3.96862</v>
          </cell>
          <cell r="BB105">
            <v>4.0801290000000003</v>
          </cell>
          <cell r="BC105">
            <v>4.7563060000000004</v>
          </cell>
          <cell r="BD105">
            <v>12.805055000000001</v>
          </cell>
          <cell r="BE105">
            <v>4.0386290000000002</v>
          </cell>
          <cell r="BF105">
            <v>3.918336</v>
          </cell>
          <cell r="BG105">
            <v>4.9202009999999996</v>
          </cell>
          <cell r="BH105">
            <v>12.877165999999999</v>
          </cell>
          <cell r="BI105">
            <v>3.8214839999999999</v>
          </cell>
          <cell r="BJ105">
            <v>3.4189449999999999</v>
          </cell>
          <cell r="BK105">
            <v>1.804834</v>
          </cell>
          <cell r="BL105">
            <v>9.0452630000000003</v>
          </cell>
          <cell r="BM105">
            <v>0.98775900000000005</v>
          </cell>
          <cell r="BN105">
            <v>0.79910599999999998</v>
          </cell>
          <cell r="BO105">
            <v>0.81506400000000001</v>
          </cell>
          <cell r="BP105">
            <v>2.6019290000000002</v>
          </cell>
        </row>
        <row r="106">
          <cell r="A106" t="str">
            <v xml:space="preserve">  % Change</v>
          </cell>
          <cell r="X106">
            <v>0.14623243898311422</v>
          </cell>
          <cell r="Y106">
            <v>0.10242567236437616</v>
          </cell>
          <cell r="Z106">
            <v>4.0453374786370677E-2</v>
          </cell>
          <cell r="AA106">
            <v>3.3236271088815217E-2</v>
          </cell>
          <cell r="AB106">
            <v>5.4924886454573496E-2</v>
          </cell>
          <cell r="AC106">
            <v>0.12460079596851892</v>
          </cell>
          <cell r="AD106">
            <v>1.0721164595689281E-2</v>
          </cell>
          <cell r="AE106">
            <v>6.4115774462987662E-2</v>
          </cell>
          <cell r="AF106">
            <v>6.4581522654156176E-2</v>
          </cell>
          <cell r="AG106">
            <v>0.14877027524312081</v>
          </cell>
          <cell r="AH106">
            <v>0.11395174250686813</v>
          </cell>
          <cell r="AI106">
            <v>0.18045103216935443</v>
          </cell>
          <cell r="AJ106">
            <v>0.14946506961593342</v>
          </cell>
          <cell r="AK106">
            <v>0.20240468072144857</v>
          </cell>
          <cell r="AL106">
            <v>7.8280062884847679E-2</v>
          </cell>
          <cell r="AM106">
            <v>0.20932529626250695</v>
          </cell>
          <cell r="AN106">
            <v>0.16159712483642008</v>
          </cell>
          <cell r="AO106">
            <v>0.23693309150805653</v>
          </cell>
          <cell r="AP106">
            <v>0.2156914549846265</v>
          </cell>
          <cell r="AQ106">
            <v>0.20584570659849399</v>
          </cell>
          <cell r="AR106">
            <v>0.21803117206201095</v>
          </cell>
          <cell r="AS106">
            <v>0.41060954783342529</v>
          </cell>
          <cell r="AT106">
            <v>0.34932054281849023</v>
          </cell>
          <cell r="AU106">
            <v>0.14774032961236494</v>
          </cell>
          <cell r="AV106">
            <v>0.29333189171041552</v>
          </cell>
          <cell r="AW106">
            <v>-0.12496656446234289</v>
          </cell>
          <cell r="AX106">
            <v>-0.2404755975184264</v>
          </cell>
          <cell r="AY106">
            <v>-0.34763356750076846</v>
          </cell>
          <cell r="AZ106">
            <v>-0.24552340221682223</v>
          </cell>
          <cell r="BA106">
            <v>-0.38996376631146212</v>
          </cell>
          <cell r="BB106">
            <v>-0.41923401951226591</v>
          </cell>
          <cell r="BC106">
            <v>-0.41713386296885002</v>
          </cell>
          <cell r="BD106">
            <v>-0.40966530264054812</v>
          </cell>
          <cell r="BE106">
            <v>-0.45021272691358583</v>
          </cell>
          <cell r="BF106">
            <v>-0.4906904958361864</v>
          </cell>
          <cell r="BG106">
            <v>-0.48976888407991515</v>
          </cell>
          <cell r="BH106">
            <v>-0.47828368118159437</v>
          </cell>
          <cell r="BI106">
            <v>-0.5817276324590348</v>
          </cell>
          <cell r="BJ106">
            <v>-0.60553854027759746</v>
          </cell>
          <cell r="BK106">
            <v>-0.7954461559664211</v>
          </cell>
          <cell r="BL106">
            <v>-0.66029730426238809</v>
          </cell>
          <cell r="BM106">
            <v>-0.81755723414300052</v>
          </cell>
          <cell r="BN106">
            <v>-0.82885645659923568</v>
          </cell>
          <cell r="BO106">
            <v>-0.83579900878738722</v>
          </cell>
          <cell r="BP106">
            <v>-0.82708114714387015</v>
          </cell>
        </row>
        <row r="108">
          <cell r="A108" t="str">
            <v>ACULAR</v>
          </cell>
        </row>
        <row r="109">
          <cell r="A109" t="str">
            <v>TRx</v>
          </cell>
          <cell r="C109">
            <v>102360</v>
          </cell>
          <cell r="D109">
            <v>96544</v>
          </cell>
          <cell r="E109">
            <v>96093</v>
          </cell>
          <cell r="F109">
            <v>91727</v>
          </cell>
          <cell r="G109">
            <v>88736</v>
          </cell>
          <cell r="H109">
            <v>276556</v>
          </cell>
          <cell r="I109">
            <v>90179</v>
          </cell>
          <cell r="J109">
            <v>83824</v>
          </cell>
          <cell r="K109">
            <v>101097</v>
          </cell>
          <cell r="L109">
            <v>275100</v>
          </cell>
          <cell r="M109">
            <v>104088</v>
          </cell>
          <cell r="N109">
            <v>122322</v>
          </cell>
          <cell r="O109">
            <v>99370</v>
          </cell>
          <cell r="P109">
            <v>325780</v>
          </cell>
          <cell r="Q109">
            <v>95898</v>
          </cell>
          <cell r="R109">
            <v>100596</v>
          </cell>
          <cell r="S109">
            <v>91829</v>
          </cell>
          <cell r="T109">
            <v>288323</v>
          </cell>
          <cell r="U109">
            <v>98975</v>
          </cell>
          <cell r="V109">
            <v>88835</v>
          </cell>
          <cell r="W109">
            <v>85358</v>
          </cell>
          <cell r="X109">
            <v>273168</v>
          </cell>
          <cell r="Y109">
            <v>86421</v>
          </cell>
          <cell r="Z109">
            <v>81725</v>
          </cell>
          <cell r="AA109">
            <v>91173</v>
          </cell>
          <cell r="AB109">
            <v>259319</v>
          </cell>
          <cell r="AC109">
            <v>101667</v>
          </cell>
          <cell r="AD109">
            <v>102478</v>
          </cell>
          <cell r="AE109">
            <v>90711</v>
          </cell>
          <cell r="AF109">
            <v>294856</v>
          </cell>
          <cell r="AG109">
            <v>91147</v>
          </cell>
          <cell r="AH109">
            <v>90393</v>
          </cell>
          <cell r="AI109">
            <v>85772</v>
          </cell>
          <cell r="AJ109">
            <v>267312</v>
          </cell>
          <cell r="AK109">
            <v>86908</v>
          </cell>
          <cell r="AL109">
            <v>80485</v>
          </cell>
          <cell r="AM109">
            <v>77704</v>
          </cell>
          <cell r="AN109">
            <v>245097</v>
          </cell>
          <cell r="AO109">
            <v>78243</v>
          </cell>
          <cell r="AP109">
            <v>71489</v>
          </cell>
          <cell r="AQ109">
            <v>83130</v>
          </cell>
          <cell r="AR109">
            <v>232862</v>
          </cell>
          <cell r="AS109">
            <v>89640</v>
          </cell>
          <cell r="AT109">
            <v>96438</v>
          </cell>
          <cell r="AU109">
            <v>86252</v>
          </cell>
          <cell r="AV109">
            <v>272330</v>
          </cell>
          <cell r="AW109">
            <v>84240</v>
          </cell>
          <cell r="AX109">
            <v>81624</v>
          </cell>
          <cell r="AY109">
            <v>80094</v>
          </cell>
          <cell r="AZ109">
            <v>245958</v>
          </cell>
          <cell r="BA109">
            <v>79955</v>
          </cell>
          <cell r="BB109">
            <v>68326</v>
          </cell>
          <cell r="BC109">
            <v>68790</v>
          </cell>
          <cell r="BD109">
            <v>217071</v>
          </cell>
          <cell r="BE109">
            <v>65347</v>
          </cell>
          <cell r="BF109">
            <v>61500</v>
          </cell>
          <cell r="BG109">
            <v>74727</v>
          </cell>
          <cell r="BH109">
            <v>201574</v>
          </cell>
          <cell r="BI109">
            <v>74999</v>
          </cell>
          <cell r="BJ109">
            <v>75121</v>
          </cell>
          <cell r="BK109">
            <v>70873</v>
          </cell>
          <cell r="BL109">
            <v>220993</v>
          </cell>
          <cell r="BM109">
            <v>67998</v>
          </cell>
          <cell r="BN109">
            <v>67405</v>
          </cell>
          <cell r="BO109">
            <v>65455</v>
          </cell>
          <cell r="BP109">
            <v>200858</v>
          </cell>
        </row>
        <row r="110">
          <cell r="A110" t="str">
            <v xml:space="preserve">  % Change</v>
          </cell>
          <cell r="R110">
            <v>-1.7233294255568632E-2</v>
          </cell>
          <cell r="S110">
            <v>-4.883783559827648E-2</v>
          </cell>
          <cell r="U110">
            <v>2.9991778797623159E-2</v>
          </cell>
          <cell r="V110">
            <v>-3.1528339529255267E-2</v>
          </cell>
          <cell r="W110">
            <v>-3.8067976920302948E-2</v>
          </cell>
          <cell r="X110">
            <v>-1.2250683405892526E-2</v>
          </cell>
          <cell r="Y110">
            <v>-4.1672673238780655E-2</v>
          </cell>
          <cell r="Z110">
            <v>-2.5040561175796894E-2</v>
          </cell>
          <cell r="AA110">
            <v>-9.8163150241846964E-2</v>
          </cell>
          <cell r="AB110">
            <v>-5.7364594692838944E-2</v>
          </cell>
          <cell r="AC110">
            <v>-2.3259165321650954E-2</v>
          </cell>
          <cell r="AD110">
            <v>-0.16222756331649257</v>
          </cell>
          <cell r="AE110">
            <v>-8.7138975545939412E-2</v>
          </cell>
          <cell r="AF110">
            <v>-9.4922954140831184E-2</v>
          </cell>
          <cell r="AG110">
            <v>-4.9542221944149034E-2</v>
          </cell>
          <cell r="AH110">
            <v>-0.10142550399618278</v>
          </cell>
          <cell r="AI110">
            <v>-6.5959555260320823E-2</v>
          </cell>
          <cell r="AJ110">
            <v>-7.2873131869465868E-2</v>
          </cell>
          <cell r="AK110">
            <v>-0.12191967668603187</v>
          </cell>
          <cell r="AL110">
            <v>-9.3994484156019631E-2</v>
          </cell>
          <cell r="AM110">
            <v>-8.9669392441247497E-2</v>
          </cell>
          <cell r="AN110">
            <v>-0.10276093832366895</v>
          </cell>
          <cell r="AO110">
            <v>-9.4629777484639188E-2</v>
          </cell>
          <cell r="AP110">
            <v>-0.12524931171612119</v>
          </cell>
          <cell r="AQ110">
            <v>-8.821690632095025E-2</v>
          </cell>
          <cell r="AR110">
            <v>-0.10202491911506673</v>
          </cell>
          <cell r="AS110">
            <v>-0.11829797279353182</v>
          </cell>
          <cell r="AT110">
            <v>-5.8939479693202457E-2</v>
          </cell>
          <cell r="AU110">
            <v>-4.9156111166231198E-2</v>
          </cell>
          <cell r="AV110">
            <v>-7.6396613940364122E-2</v>
          </cell>
          <cell r="AW110">
            <v>-7.5778687175661275E-2</v>
          </cell>
          <cell r="AX110">
            <v>-9.7009724204307868E-2</v>
          </cell>
          <cell r="AY110">
            <v>-6.6198759501935323E-2</v>
          </cell>
          <cell r="AZ110">
            <v>-7.9884180283713468E-2</v>
          </cell>
          <cell r="BA110">
            <v>-8.0004142311409732E-2</v>
          </cell>
          <cell r="BB110">
            <v>-0.1510716282537119</v>
          </cell>
          <cell r="BC110">
            <v>-0.11471738906619999</v>
          </cell>
          <cell r="BD110">
            <v>-0.11434656482943484</v>
          </cell>
          <cell r="BE110">
            <v>-0.16481985608936267</v>
          </cell>
          <cell r="BF110">
            <v>-0.13972779028941518</v>
          </cell>
          <cell r="BG110">
            <v>-0.10108264164561531</v>
          </cell>
          <cell r="BH110">
            <v>-0.13436284151128131</v>
          </cell>
          <cell r="BI110">
            <v>-0.16333110218652391</v>
          </cell>
          <cell r="BJ110">
            <v>-0.2210435720359194</v>
          </cell>
          <cell r="BK110">
            <v>-0.17830311181190006</v>
          </cell>
          <cell r="BL110">
            <v>-0.18851026328351628</v>
          </cell>
          <cell r="BM110">
            <v>-0.19280626780626786</v>
          </cell>
          <cell r="BN110">
            <v>-0.17420121532882482</v>
          </cell>
          <cell r="BO110">
            <v>-0.182772742028117</v>
          </cell>
          <cell r="BP110">
            <v>-0.18336463949129522</v>
          </cell>
        </row>
        <row r="111">
          <cell r="A111" t="str">
            <v>NRx</v>
          </cell>
          <cell r="C111">
            <v>71211</v>
          </cell>
          <cell r="D111">
            <v>66878</v>
          </cell>
          <cell r="E111">
            <v>66223</v>
          </cell>
          <cell r="F111">
            <v>63021</v>
          </cell>
          <cell r="G111">
            <v>59478</v>
          </cell>
          <cell r="H111">
            <v>188722</v>
          </cell>
          <cell r="I111">
            <v>62409</v>
          </cell>
          <cell r="J111">
            <v>58525</v>
          </cell>
          <cell r="K111">
            <v>71076</v>
          </cell>
          <cell r="L111">
            <v>192010</v>
          </cell>
          <cell r="M111">
            <v>74041</v>
          </cell>
          <cell r="N111">
            <v>90362</v>
          </cell>
          <cell r="O111">
            <v>69150</v>
          </cell>
          <cell r="P111">
            <v>233553</v>
          </cell>
          <cell r="Q111">
            <v>65495</v>
          </cell>
          <cell r="R111">
            <v>69712</v>
          </cell>
          <cell r="S111">
            <v>63447</v>
          </cell>
          <cell r="T111">
            <v>198654</v>
          </cell>
          <cell r="U111">
            <v>68598</v>
          </cell>
          <cell r="V111">
            <v>60525</v>
          </cell>
          <cell r="W111">
            <v>56150</v>
          </cell>
          <cell r="X111">
            <v>185273</v>
          </cell>
          <cell r="Y111">
            <v>59335</v>
          </cell>
          <cell r="Z111">
            <v>56643</v>
          </cell>
          <cell r="AA111">
            <v>62794</v>
          </cell>
          <cell r="AB111">
            <v>178772</v>
          </cell>
          <cell r="AC111">
            <v>72740</v>
          </cell>
          <cell r="AD111">
            <v>72324</v>
          </cell>
          <cell r="AE111">
            <v>63059</v>
          </cell>
          <cell r="AF111">
            <v>208123</v>
          </cell>
          <cell r="AG111">
            <v>62363</v>
          </cell>
          <cell r="AH111">
            <v>62068</v>
          </cell>
          <cell r="AI111">
            <v>58871</v>
          </cell>
          <cell r="AJ111">
            <v>183302</v>
          </cell>
          <cell r="AK111">
            <v>59884</v>
          </cell>
          <cell r="AL111">
            <v>54718</v>
          </cell>
          <cell r="AM111">
            <v>50631</v>
          </cell>
          <cell r="AN111">
            <v>165233</v>
          </cell>
          <cell r="AO111">
            <v>53122</v>
          </cell>
          <cell r="AP111">
            <v>48550</v>
          </cell>
          <cell r="AQ111">
            <v>56713</v>
          </cell>
          <cell r="AR111">
            <v>158385</v>
          </cell>
          <cell r="AS111">
            <v>63278</v>
          </cell>
          <cell r="AT111">
            <v>69245</v>
          </cell>
          <cell r="AU111">
            <v>59336</v>
          </cell>
          <cell r="AV111">
            <v>191859</v>
          </cell>
          <cell r="AW111">
            <v>57065</v>
          </cell>
          <cell r="AX111">
            <v>55187</v>
          </cell>
          <cell r="AY111">
            <v>54384</v>
          </cell>
          <cell r="AZ111">
            <v>166636</v>
          </cell>
          <cell r="BA111">
            <v>53861</v>
          </cell>
          <cell r="BB111">
            <v>44942</v>
          </cell>
          <cell r="BC111">
            <v>44206</v>
          </cell>
          <cell r="BD111">
            <v>143009</v>
          </cell>
          <cell r="BE111">
            <v>43000</v>
          </cell>
          <cell r="BF111">
            <v>40886</v>
          </cell>
          <cell r="BG111">
            <v>51005</v>
          </cell>
          <cell r="BH111">
            <v>134891</v>
          </cell>
          <cell r="BI111">
            <v>52408</v>
          </cell>
          <cell r="BJ111">
            <v>52209</v>
          </cell>
          <cell r="BK111">
            <v>47700</v>
          </cell>
          <cell r="BL111">
            <v>152317</v>
          </cell>
          <cell r="BM111">
            <v>46016</v>
          </cell>
          <cell r="BN111">
            <v>45307</v>
          </cell>
          <cell r="BO111">
            <v>44369</v>
          </cell>
          <cell r="BP111">
            <v>135692</v>
          </cell>
        </row>
        <row r="112">
          <cell r="A112" t="str">
            <v xml:space="preserve">  % Change</v>
          </cell>
          <cell r="R112">
            <v>-2.1050118661442796E-2</v>
          </cell>
          <cell r="S112">
            <v>-5.1302371482400799E-2</v>
          </cell>
          <cell r="U112">
            <v>3.5863672742098673E-2</v>
          </cell>
          <cell r="V112">
            <v>-3.9605845670490747E-2</v>
          </cell>
          <cell r="W112">
            <v>-5.595346178418914E-2</v>
          </cell>
          <cell r="X112">
            <v>-1.827555875838538E-2</v>
          </cell>
          <cell r="Y112">
            <v>-4.9255716322966214E-2</v>
          </cell>
          <cell r="Z112">
            <v>-3.2157197778727054E-2</v>
          </cell>
          <cell r="AA112">
            <v>-0.11652315830941529</v>
          </cell>
          <cell r="AB112">
            <v>-6.8944325816363783E-2</v>
          </cell>
          <cell r="AC112">
            <v>-1.7571345605812971E-2</v>
          </cell>
          <cell r="AD112">
            <v>-0.19961930900157143</v>
          </cell>
          <cell r="AE112">
            <v>-8.8083875632682607E-2</v>
          </cell>
          <cell r="AF112">
            <v>-0.10888320852226263</v>
          </cell>
          <cell r="AG112">
            <v>-4.7820444308725896E-2</v>
          </cell>
          <cell r="AH112">
            <v>-0.10965113610282307</v>
          </cell>
          <cell r="AI112">
            <v>-7.2123189433700552E-2</v>
          </cell>
          <cell r="AJ112">
            <v>-7.7280095039616636E-2</v>
          </cell>
          <cell r="AK112">
            <v>-0.12702994256392319</v>
          </cell>
          <cell r="AL112">
            <v>-9.5943824865757921E-2</v>
          </cell>
          <cell r="AM112">
            <v>-9.8290293855743505E-2</v>
          </cell>
          <cell r="AN112">
            <v>-0.10816470829532632</v>
          </cell>
          <cell r="AO112">
            <v>-0.10471054183871242</v>
          </cell>
          <cell r="AP112">
            <v>-0.1428773193510231</v>
          </cell>
          <cell r="AQ112">
            <v>-9.6840462464566679E-2</v>
          </cell>
          <cell r="AR112">
            <v>-0.11403911127022126</v>
          </cell>
          <cell r="AS112">
            <v>-0.13007973604619194</v>
          </cell>
          <cell r="AT112">
            <v>-4.2572313478236867E-2</v>
          </cell>
          <cell r="AU112">
            <v>-5.9039946716566982E-2</v>
          </cell>
          <cell r="AV112">
            <v>-7.8146096298823298E-2</v>
          </cell>
          <cell r="AW112">
            <v>-8.4954219649471696E-2</v>
          </cell>
          <cell r="AX112">
            <v>-0.11086228007991239</v>
          </cell>
          <cell r="AY112">
            <v>-7.6217492483565796E-2</v>
          </cell>
          <cell r="AZ112">
            <v>-9.0920993769844305E-2</v>
          </cell>
          <cell r="BA112">
            <v>-0.10057778371518267</v>
          </cell>
          <cell r="BB112">
            <v>-0.17866150078584742</v>
          </cell>
          <cell r="BC112">
            <v>-0.1268985404199009</v>
          </cell>
          <cell r="BD112">
            <v>-0.13450097740766065</v>
          </cell>
          <cell r="BE112">
            <v>-0.19054252475433908</v>
          </cell>
          <cell r="BF112">
            <v>-0.15785787847579813</v>
          </cell>
          <cell r="BG112">
            <v>-0.10064711794473935</v>
          </cell>
          <cell r="BH112">
            <v>-0.14833475392240425</v>
          </cell>
          <cell r="BI112">
            <v>-0.17178166187300481</v>
          </cell>
          <cell r="BJ112">
            <v>-0.24602498375333959</v>
          </cell>
          <cell r="BK112">
            <v>-0.19610354590804913</v>
          </cell>
          <cell r="BL112">
            <v>-0.20609927081867419</v>
          </cell>
          <cell r="BM112">
            <v>-0.19362130903355823</v>
          </cell>
          <cell r="BN112">
            <v>-0.17902766955986016</v>
          </cell>
          <cell r="BO112">
            <v>-0.18415342747867025</v>
          </cell>
          <cell r="BP112">
            <v>-0.18569816846299714</v>
          </cell>
        </row>
        <row r="113">
          <cell r="A113" t="str">
            <v>Sales (IMS)</v>
          </cell>
          <cell r="C113">
            <v>4.1112880000000001</v>
          </cell>
          <cell r="D113">
            <v>5.4910940000000004</v>
          </cell>
          <cell r="E113">
            <v>4.2558449999999999</v>
          </cell>
          <cell r="F113">
            <v>4.0506460000000004</v>
          </cell>
          <cell r="G113">
            <v>5.158887</v>
          </cell>
          <cell r="H113">
            <v>13.465378000000001</v>
          </cell>
          <cell r="I113">
            <v>4.0370249999999999</v>
          </cell>
          <cell r="J113">
            <v>4.383413</v>
          </cell>
          <cell r="K113">
            <v>5.9912289999999997</v>
          </cell>
          <cell r="L113">
            <v>14.411667</v>
          </cell>
          <cell r="M113">
            <v>5.003908</v>
          </cell>
          <cell r="N113">
            <v>6.5875000000000004</v>
          </cell>
          <cell r="O113">
            <v>6.25535</v>
          </cell>
          <cell r="P113">
            <v>17.846758000000001</v>
          </cell>
          <cell r="Q113">
            <v>4.7139920000000002</v>
          </cell>
          <cell r="R113">
            <v>4.9742430000000004</v>
          </cell>
          <cell r="S113">
            <v>6.0438299999999998</v>
          </cell>
          <cell r="T113">
            <v>15.732065000000002</v>
          </cell>
          <cell r="U113">
            <v>4.7642980000000001</v>
          </cell>
          <cell r="V113">
            <v>5.5326620000000002</v>
          </cell>
          <cell r="W113">
            <v>5.0253110000000003</v>
          </cell>
          <cell r="X113">
            <v>15.322271000000001</v>
          </cell>
          <cell r="Y113">
            <v>4.4324019999999997</v>
          </cell>
          <cell r="Z113">
            <v>4.616905</v>
          </cell>
          <cell r="AA113">
            <v>6.3856339999999996</v>
          </cell>
          <cell r="AB113">
            <v>15.434940999999998</v>
          </cell>
          <cell r="AC113">
            <v>5.4563050000000004</v>
          </cell>
          <cell r="AD113">
            <v>5.4015120000000003</v>
          </cell>
          <cell r="AE113">
            <v>6.2516920000000002</v>
          </cell>
          <cell r="AF113">
            <v>17.109509000000003</v>
          </cell>
          <cell r="AG113">
            <v>4.7336879999999999</v>
          </cell>
          <cell r="AH113">
            <v>4.8912110000000002</v>
          </cell>
          <cell r="AI113">
            <v>6.0934480000000004</v>
          </cell>
          <cell r="AJ113">
            <v>15.718347000000001</v>
          </cell>
          <cell r="AK113">
            <v>4.7866860000000004</v>
          </cell>
          <cell r="AL113">
            <v>4.7064339999999998</v>
          </cell>
          <cell r="AM113">
            <v>5.3822450000000002</v>
          </cell>
          <cell r="AN113">
            <v>14.875364999999999</v>
          </cell>
          <cell r="AO113">
            <v>4.3105570000000002</v>
          </cell>
          <cell r="AP113">
            <v>4.4975149999999999</v>
          </cell>
          <cell r="AQ113">
            <v>6.2386119999999998</v>
          </cell>
          <cell r="AR113">
            <v>15.046683999999999</v>
          </cell>
          <cell r="AS113">
            <v>5.8623859999999999</v>
          </cell>
          <cell r="AT113">
            <v>6.0550179999999996</v>
          </cell>
          <cell r="AU113">
            <v>6.9770799999999999</v>
          </cell>
          <cell r="AV113">
            <v>18.894483999999999</v>
          </cell>
          <cell r="AW113">
            <v>5.2156609999999999</v>
          </cell>
          <cell r="AX113">
            <v>5.2367540000000004</v>
          </cell>
          <cell r="AY113">
            <v>6.3617249999999999</v>
          </cell>
          <cell r="AZ113">
            <v>16.814140000000002</v>
          </cell>
          <cell r="BA113">
            <v>4.9771749999999999</v>
          </cell>
          <cell r="BB113">
            <v>4.7882199999999999</v>
          </cell>
          <cell r="BC113">
            <v>5.2850000000000001</v>
          </cell>
          <cell r="BD113">
            <v>15.050394999999998</v>
          </cell>
          <cell r="BE113">
            <v>4.4741039999999996</v>
          </cell>
          <cell r="BF113">
            <v>4.4989299999999997</v>
          </cell>
          <cell r="BG113">
            <v>6.4525100000000002</v>
          </cell>
          <cell r="BH113">
            <v>15.425543999999999</v>
          </cell>
          <cell r="BI113">
            <v>5.6380220000000003</v>
          </cell>
          <cell r="BJ113">
            <v>5.7708519999999996</v>
          </cell>
          <cell r="BK113">
            <v>6.3129379999999999</v>
          </cell>
          <cell r="BL113">
            <v>17.721812</v>
          </cell>
          <cell r="BM113">
            <v>4.7820869999999998</v>
          </cell>
          <cell r="BN113">
            <v>4.8358650000000001</v>
          </cell>
          <cell r="BO113">
            <v>5.7882959999999999</v>
          </cell>
          <cell r="BP113">
            <v>15.406248000000001</v>
          </cell>
        </row>
        <row r="114">
          <cell r="A114" t="str">
            <v xml:space="preserve">  % Change</v>
          </cell>
          <cell r="R114">
            <v>0.20989894164553791</v>
          </cell>
          <cell r="S114">
            <v>0.1006604512689091</v>
          </cell>
          <cell r="U114">
            <v>0.11947169128574942</v>
          </cell>
          <cell r="V114">
            <v>0.36587151777765814</v>
          </cell>
          <cell r="W114">
            <v>-2.5892406637323062E-2</v>
          </cell>
          <cell r="X114">
            <v>0.13790129025713194</v>
          </cell>
          <cell r="Y114">
            <v>9.7937714034468382E-2</v>
          </cell>
          <cell r="Z114">
            <v>5.3267168756400585E-2</v>
          </cell>
          <cell r="AA114">
            <v>6.5830399739352341E-2</v>
          </cell>
          <cell r="AB114">
            <v>7.1003167086777674E-2</v>
          </cell>
          <cell r="AC114">
            <v>9.0408736531527145E-2</v>
          </cell>
          <cell r="AD114">
            <v>-0.18003612903225807</v>
          </cell>
          <cell r="AE114">
            <v>-5.8477942880885703E-4</v>
          </cell>
          <cell r="AF114">
            <v>-4.1309967894448851E-2</v>
          </cell>
          <cell r="AG114">
            <v>4.1781997084424649E-3</v>
          </cell>
          <cell r="AH114">
            <v>-1.669238917358884E-2</v>
          </cell>
          <cell r="AI114">
            <v>8.2096948458181274E-3</v>
          </cell>
          <cell r="AJ114">
            <v>-8.7197707357555831E-4</v>
          </cell>
          <cell r="AK114">
            <v>4.6991183171163353E-3</v>
          </cell>
          <cell r="AL114">
            <v>-0.14933643154054965</v>
          </cell>
          <cell r="AM114">
            <v>7.1027245875926903E-2</v>
          </cell>
          <cell r="AN114">
            <v>-2.916708626286546E-2</v>
          </cell>
          <cell r="AO114">
            <v>-2.7489609471342935E-2</v>
          </cell>
          <cell r="AP114">
            <v>-2.5859314844035142E-2</v>
          </cell>
          <cell r="AQ114">
            <v>-2.3023868890700516E-2</v>
          </cell>
          <cell r="AR114">
            <v>-2.5154420739282313E-2</v>
          </cell>
          <cell r="AS114">
            <v>7.442417533477319E-2</v>
          </cell>
          <cell r="AT114">
            <v>0.1209857536186163</v>
          </cell>
          <cell r="AU114">
            <v>0.11603066817751095</v>
          </cell>
          <cell r="AV114">
            <v>0.10432648885482321</v>
          </cell>
          <cell r="AW114">
            <v>0.1018176525364578</v>
          </cell>
          <cell r="AX114">
            <v>7.0645694900506317E-2</v>
          </cell>
          <cell r="AY114">
            <v>4.4027125528928623E-2</v>
          </cell>
          <cell r="AZ114">
            <v>6.9714264483409227E-2</v>
          </cell>
          <cell r="BA114">
            <v>3.9795591354853777E-2</v>
          </cell>
          <cell r="BB114">
            <v>1.7377487923978086E-2</v>
          </cell>
          <cell r="BC114">
            <v>-1.8067739391276372E-2</v>
          </cell>
          <cell r="BD114">
            <v>1.1766433966494239E-2</v>
          </cell>
          <cell r="BE114">
            <v>3.7941036390424676E-2</v>
          </cell>
          <cell r="BF114">
            <v>3.1461818359690419E-4</v>
          </cell>
          <cell r="BG114">
            <v>3.4286152112040336E-2</v>
          </cell>
          <cell r="BH114">
            <v>2.5178969665342832E-2</v>
          </cell>
          <cell r="BI114">
            <v>-3.8271788995129175E-2</v>
          </cell>
          <cell r="BJ114">
            <v>-4.6930661477802338E-2</v>
          </cell>
          <cell r="BK114">
            <v>-9.5189104897750898E-2</v>
          </cell>
          <cell r="BL114">
            <v>-6.206425113276437E-2</v>
          </cell>
          <cell r="BM114">
            <v>-8.3129252457166958E-2</v>
          </cell>
          <cell r="BN114">
            <v>-7.6552956277877504E-2</v>
          </cell>
          <cell r="BO114">
            <v>-9.0137344823927434E-2</v>
          </cell>
          <cell r="BP114">
            <v>-8.3732620282690684E-2</v>
          </cell>
        </row>
        <row r="116">
          <cell r="A116" t="str">
            <v>ACULAR PF</v>
          </cell>
        </row>
        <row r="117">
          <cell r="A117" t="str">
            <v>TRx</v>
          </cell>
          <cell r="C117">
            <v>1054</v>
          </cell>
          <cell r="D117">
            <v>1010</v>
          </cell>
          <cell r="E117">
            <v>945</v>
          </cell>
          <cell r="F117">
            <v>1050</v>
          </cell>
          <cell r="G117">
            <v>979</v>
          </cell>
          <cell r="H117">
            <v>2974</v>
          </cell>
          <cell r="I117">
            <v>939</v>
          </cell>
          <cell r="J117">
            <v>931</v>
          </cell>
          <cell r="K117">
            <v>1283</v>
          </cell>
          <cell r="L117">
            <v>3153</v>
          </cell>
          <cell r="M117">
            <v>1282</v>
          </cell>
          <cell r="N117">
            <v>1407</v>
          </cell>
          <cell r="O117">
            <v>1222</v>
          </cell>
          <cell r="P117">
            <v>3911</v>
          </cell>
          <cell r="Q117">
            <v>1354</v>
          </cell>
          <cell r="R117">
            <v>1386</v>
          </cell>
          <cell r="S117">
            <v>1092</v>
          </cell>
          <cell r="T117">
            <v>3832</v>
          </cell>
          <cell r="U117">
            <v>1376</v>
          </cell>
          <cell r="V117">
            <v>1098</v>
          </cell>
          <cell r="W117">
            <v>985</v>
          </cell>
          <cell r="X117">
            <v>3459</v>
          </cell>
          <cell r="Y117">
            <v>1009</v>
          </cell>
          <cell r="Z117">
            <v>973</v>
          </cell>
          <cell r="AA117">
            <v>1235</v>
          </cell>
          <cell r="AB117">
            <v>3217</v>
          </cell>
          <cell r="AC117">
            <v>1171</v>
          </cell>
          <cell r="AD117">
            <v>1300</v>
          </cell>
          <cell r="AE117">
            <v>1138</v>
          </cell>
          <cell r="AF117">
            <v>3609</v>
          </cell>
          <cell r="AG117">
            <v>1122</v>
          </cell>
          <cell r="AH117">
            <v>1237</v>
          </cell>
          <cell r="AI117">
            <v>1067</v>
          </cell>
          <cell r="AJ117">
            <v>3426</v>
          </cell>
          <cell r="AK117">
            <v>1207</v>
          </cell>
          <cell r="AL117">
            <v>1215</v>
          </cell>
          <cell r="AM117">
            <v>986</v>
          </cell>
          <cell r="AN117">
            <v>3408</v>
          </cell>
          <cell r="AO117">
            <v>1033</v>
          </cell>
          <cell r="AP117">
            <v>1091</v>
          </cell>
          <cell r="AQ117">
            <v>1095</v>
          </cell>
          <cell r="AR117">
            <v>3219</v>
          </cell>
          <cell r="AS117">
            <v>1176</v>
          </cell>
          <cell r="AT117">
            <v>1253</v>
          </cell>
          <cell r="AU117">
            <v>1245</v>
          </cell>
          <cell r="AV117">
            <v>3674</v>
          </cell>
          <cell r="AW117">
            <v>1153</v>
          </cell>
          <cell r="AX117">
            <v>1153</v>
          </cell>
          <cell r="AY117">
            <v>1030</v>
          </cell>
          <cell r="AZ117">
            <v>3336</v>
          </cell>
          <cell r="BA117">
            <v>1245</v>
          </cell>
          <cell r="BB117">
            <v>993</v>
          </cell>
          <cell r="BC117">
            <v>872</v>
          </cell>
          <cell r="BD117">
            <v>3110</v>
          </cell>
          <cell r="BE117">
            <v>969</v>
          </cell>
          <cell r="BF117">
            <v>943</v>
          </cell>
          <cell r="BG117">
            <v>956</v>
          </cell>
          <cell r="BH117">
            <v>2868</v>
          </cell>
          <cell r="BI117">
            <v>948</v>
          </cell>
          <cell r="BJ117">
            <v>998</v>
          </cell>
          <cell r="BK117">
            <v>874</v>
          </cell>
          <cell r="BL117">
            <v>2820</v>
          </cell>
          <cell r="BM117">
            <v>893</v>
          </cell>
          <cell r="BN117">
            <v>831</v>
          </cell>
          <cell r="BO117">
            <v>802</v>
          </cell>
          <cell r="BP117">
            <v>2526</v>
          </cell>
        </row>
        <row r="118">
          <cell r="A118" t="str">
            <v xml:space="preserve">  % Change</v>
          </cell>
          <cell r="R118">
            <v>0.3149905123339658</v>
          </cell>
          <cell r="S118">
            <v>8.118811881188126E-2</v>
          </cell>
          <cell r="U118">
            <v>0.45608465608465609</v>
          </cell>
          <cell r="V118">
            <v>4.5714285714285818E-2</v>
          </cell>
          <cell r="W118">
            <v>6.1287027579162157E-3</v>
          </cell>
          <cell r="X118">
            <v>0.16308002689979828</v>
          </cell>
          <cell r="Y118">
            <v>7.454739084132056E-2</v>
          </cell>
          <cell r="Z118">
            <v>4.5112781954887327E-2</v>
          </cell>
          <cell r="AA118">
            <v>-3.74123148869836E-2</v>
          </cell>
          <cell r="AB118">
            <v>2.0298128766254253E-2</v>
          </cell>
          <cell r="AC118">
            <v>-8.6583463338533506E-2</v>
          </cell>
          <cell r="AD118">
            <v>-7.6048329779673018E-2</v>
          </cell>
          <cell r="AE118">
            <v>-6.8739770867430439E-2</v>
          </cell>
          <cell r="AF118">
            <v>-7.7218102787011023E-2</v>
          </cell>
          <cell r="AG118">
            <v>-0.17134416543574593</v>
          </cell>
          <cell r="AH118">
            <v>-0.10750360750360755</v>
          </cell>
          <cell r="AI118">
            <v>-2.2893772893772923E-2</v>
          </cell>
          <cell r="AJ118">
            <v>-0.10594989561586643</v>
          </cell>
          <cell r="AK118">
            <v>-0.12281976744186052</v>
          </cell>
          <cell r="AL118">
            <v>0.10655737704918034</v>
          </cell>
          <cell r="AM118">
            <v>1.0152284263960087E-3</v>
          </cell>
          <cell r="AN118">
            <v>-1.4744145706851675E-2</v>
          </cell>
          <cell r="AO118">
            <v>2.378592666005952E-2</v>
          </cell>
          <cell r="AP118">
            <v>0.12127440904419329</v>
          </cell>
          <cell r="AQ118">
            <v>-0.11336032388663964</v>
          </cell>
          <cell r="AR118">
            <v>6.2169723344740468E-4</v>
          </cell>
          <cell r="AS118">
            <v>4.2698548249360258E-3</v>
          </cell>
          <cell r="AT118">
            <v>-3.6153846153846203E-2</v>
          </cell>
          <cell r="AU118">
            <v>9.4024604569419967E-2</v>
          </cell>
          <cell r="AV118">
            <v>1.801052923247437E-2</v>
          </cell>
          <cell r="AW118">
            <v>2.7629233511586415E-2</v>
          </cell>
          <cell r="AX118">
            <v>-6.7906224737267595E-2</v>
          </cell>
          <cell r="AY118">
            <v>-3.4676663542642872E-2</v>
          </cell>
          <cell r="AZ118">
            <v>-2.6269702276707552E-2</v>
          </cell>
          <cell r="BA118">
            <v>3.1483015741507803E-2</v>
          </cell>
          <cell r="BB118">
            <v>-0.18271604938271602</v>
          </cell>
          <cell r="BC118">
            <v>-0.11561866125760645</v>
          </cell>
          <cell r="BD118">
            <v>-8.7441314553990623E-2</v>
          </cell>
          <cell r="BE118">
            <v>-6.1955469506292382E-2</v>
          </cell>
          <cell r="BF118">
            <v>-0.1356553620531622</v>
          </cell>
          <cell r="BG118">
            <v>-0.12694063926940635</v>
          </cell>
          <cell r="BH118">
            <v>-0.1090400745573159</v>
          </cell>
          <cell r="BI118">
            <v>-0.19387755102040816</v>
          </cell>
          <cell r="BJ118">
            <v>-0.20351157222665606</v>
          </cell>
          <cell r="BK118">
            <v>-0.29799196787148596</v>
          </cell>
          <cell r="BL118">
            <v>-0.23244420250408271</v>
          </cell>
          <cell r="BM118">
            <v>-0.22549869904596709</v>
          </cell>
          <cell r="BN118">
            <v>-0.27927146574154382</v>
          </cell>
          <cell r="BO118">
            <v>-0.22135922330097091</v>
          </cell>
          <cell r="BP118">
            <v>-0.2428057553956835</v>
          </cell>
        </row>
        <row r="119">
          <cell r="A119" t="str">
            <v>NRx</v>
          </cell>
          <cell r="C119">
            <v>739</v>
          </cell>
          <cell r="D119">
            <v>722</v>
          </cell>
          <cell r="E119">
            <v>653</v>
          </cell>
          <cell r="F119">
            <v>790</v>
          </cell>
          <cell r="G119">
            <v>692</v>
          </cell>
          <cell r="H119">
            <v>2135</v>
          </cell>
          <cell r="I119">
            <v>693</v>
          </cell>
          <cell r="J119">
            <v>714</v>
          </cell>
          <cell r="K119">
            <v>993</v>
          </cell>
          <cell r="L119">
            <v>2400</v>
          </cell>
          <cell r="M119">
            <v>913</v>
          </cell>
          <cell r="N119">
            <v>952</v>
          </cell>
          <cell r="O119">
            <v>841</v>
          </cell>
          <cell r="P119">
            <v>2706</v>
          </cell>
          <cell r="Q119">
            <v>899</v>
          </cell>
          <cell r="R119">
            <v>893</v>
          </cell>
          <cell r="S119">
            <v>775</v>
          </cell>
          <cell r="T119">
            <v>2567</v>
          </cell>
          <cell r="U119">
            <v>915</v>
          </cell>
          <cell r="V119">
            <v>648</v>
          </cell>
          <cell r="W119">
            <v>587</v>
          </cell>
          <cell r="X119">
            <v>2150</v>
          </cell>
          <cell r="Y119">
            <v>684</v>
          </cell>
          <cell r="Z119">
            <v>695</v>
          </cell>
          <cell r="AA119">
            <v>885</v>
          </cell>
          <cell r="AB119">
            <v>2264</v>
          </cell>
          <cell r="AC119">
            <v>831</v>
          </cell>
          <cell r="AD119">
            <v>856</v>
          </cell>
          <cell r="AE119">
            <v>699</v>
          </cell>
          <cell r="AF119">
            <v>2386</v>
          </cell>
          <cell r="AG119">
            <v>752</v>
          </cell>
          <cell r="AH119">
            <v>873</v>
          </cell>
          <cell r="AI119">
            <v>754</v>
          </cell>
          <cell r="AJ119">
            <v>2379</v>
          </cell>
          <cell r="AK119">
            <v>857</v>
          </cell>
          <cell r="AL119">
            <v>887</v>
          </cell>
          <cell r="AM119">
            <v>621</v>
          </cell>
          <cell r="AN119">
            <v>2365</v>
          </cell>
          <cell r="AO119">
            <v>739</v>
          </cell>
          <cell r="AP119">
            <v>741</v>
          </cell>
          <cell r="AQ119">
            <v>748</v>
          </cell>
          <cell r="AR119">
            <v>2228</v>
          </cell>
          <cell r="AS119">
            <v>810</v>
          </cell>
          <cell r="AT119">
            <v>883</v>
          </cell>
          <cell r="AU119">
            <v>882</v>
          </cell>
          <cell r="AV119">
            <v>2575</v>
          </cell>
          <cell r="AW119">
            <v>822</v>
          </cell>
          <cell r="AX119">
            <v>835</v>
          </cell>
          <cell r="AY119">
            <v>670</v>
          </cell>
          <cell r="AZ119">
            <v>2327</v>
          </cell>
          <cell r="BA119">
            <v>818</v>
          </cell>
          <cell r="BB119">
            <v>660</v>
          </cell>
          <cell r="BC119">
            <v>564</v>
          </cell>
          <cell r="BD119">
            <v>2042</v>
          </cell>
          <cell r="BE119">
            <v>642</v>
          </cell>
          <cell r="BF119">
            <v>577</v>
          </cell>
          <cell r="BG119">
            <v>567</v>
          </cell>
          <cell r="BH119">
            <v>1786</v>
          </cell>
          <cell r="BI119">
            <v>580</v>
          </cell>
          <cell r="BJ119">
            <v>665</v>
          </cell>
          <cell r="BK119">
            <v>487</v>
          </cell>
          <cell r="BL119">
            <v>1732</v>
          </cell>
          <cell r="BM119">
            <v>576</v>
          </cell>
          <cell r="BN119">
            <v>544</v>
          </cell>
          <cell r="BO119">
            <v>478</v>
          </cell>
          <cell r="BP119">
            <v>1598</v>
          </cell>
        </row>
        <row r="120">
          <cell r="A120" t="str">
            <v xml:space="preserve">  % Change</v>
          </cell>
          <cell r="R120">
            <v>0.20838971583220567</v>
          </cell>
          <cell r="S120">
            <v>7.3407202216066558E-2</v>
          </cell>
          <cell r="U120">
            <v>0.40122511485451762</v>
          </cell>
          <cell r="V120">
            <v>-0.17974683544303793</v>
          </cell>
          <cell r="W120">
            <v>-0.15173410404624277</v>
          </cell>
          <cell r="X120">
            <v>7.0257611241217877E-3</v>
          </cell>
          <cell r="Y120">
            <v>-1.2987012987012991E-2</v>
          </cell>
          <cell r="Z120">
            <v>-2.6610644257703098E-2</v>
          </cell>
          <cell r="AA120">
            <v>-0.10876132930513593</v>
          </cell>
          <cell r="AB120">
            <v>-5.6666666666666643E-2</v>
          </cell>
          <cell r="AC120">
            <v>-8.9813800657174148E-2</v>
          </cell>
          <cell r="AD120">
            <v>-0.10084033613445376</v>
          </cell>
          <cell r="AE120">
            <v>-0.16884661117717004</v>
          </cell>
          <cell r="AF120">
            <v>-0.1182557280118256</v>
          </cell>
          <cell r="AG120">
            <v>-0.16351501668520574</v>
          </cell>
          <cell r="AH120">
            <v>-2.2396416573348232E-2</v>
          </cell>
          <cell r="AI120">
            <v>-2.709677419354839E-2</v>
          </cell>
          <cell r="AJ120">
            <v>-7.3237241916634166E-2</v>
          </cell>
          <cell r="AK120">
            <v>-6.3387978142076529E-2</v>
          </cell>
          <cell r="AL120">
            <v>0.36882716049382713</v>
          </cell>
          <cell r="AM120">
            <v>5.7921635434412311E-2</v>
          </cell>
          <cell r="AN120">
            <v>0.1</v>
          </cell>
          <cell r="AO120">
            <v>8.0409356725146264E-2</v>
          </cell>
          <cell r="AP120">
            <v>6.6187050359712174E-2</v>
          </cell>
          <cell r="AQ120">
            <v>-0.15480225988700569</v>
          </cell>
          <cell r="AR120">
            <v>-1.590106007067138E-2</v>
          </cell>
          <cell r="AS120">
            <v>-2.5270758122743708E-2</v>
          </cell>
          <cell r="AT120">
            <v>3.1542056074766345E-2</v>
          </cell>
          <cell r="AU120">
            <v>0.2618025751072961</v>
          </cell>
          <cell r="AV120">
            <v>7.9212070410729307E-2</v>
          </cell>
          <cell r="AW120">
            <v>9.3085106382978733E-2</v>
          </cell>
          <cell r="AX120">
            <v>-4.3528064146620804E-2</v>
          </cell>
          <cell r="AY120">
            <v>-0.1114058355437666</v>
          </cell>
          <cell r="AZ120">
            <v>-2.1857923497267784E-2</v>
          </cell>
          <cell r="BA120">
            <v>-4.5507584597432871E-2</v>
          </cell>
          <cell r="BB120">
            <v>-0.25591882750845552</v>
          </cell>
          <cell r="BC120">
            <v>-9.1787439613526534E-2</v>
          </cell>
          <cell r="BD120">
            <v>-0.13657505285412264</v>
          </cell>
          <cell r="BE120">
            <v>-0.13125845737483088</v>
          </cell>
          <cell r="BF120">
            <v>-0.22132253711201078</v>
          </cell>
          <cell r="BG120">
            <v>-0.24197860962566842</v>
          </cell>
          <cell r="BH120">
            <v>-0.19838420107719923</v>
          </cell>
          <cell r="BI120">
            <v>-0.28395061728395066</v>
          </cell>
          <cell r="BJ120">
            <v>-0.24688561721404301</v>
          </cell>
          <cell r="BK120">
            <v>-0.44784580498866211</v>
          </cell>
          <cell r="BL120">
            <v>-0.32737864077669898</v>
          </cell>
          <cell r="BM120">
            <v>-0.2992700729927007</v>
          </cell>
          <cell r="BN120">
            <v>-0.34850299401197604</v>
          </cell>
          <cell r="BO120">
            <v>-0.28656716417910444</v>
          </cell>
          <cell r="BP120">
            <v>-0.3132788998710786</v>
          </cell>
        </row>
        <row r="121">
          <cell r="A121" t="str">
            <v>Sales (IMS)</v>
          </cell>
          <cell r="C121">
            <v>6.4992999999999995E-2</v>
          </cell>
          <cell r="D121">
            <v>7.2562000000000001E-2</v>
          </cell>
          <cell r="E121">
            <v>7.4036000000000005E-2</v>
          </cell>
          <cell r="F121">
            <v>7.0220000000000005E-2</v>
          </cell>
          <cell r="G121">
            <v>7.5853000000000004E-2</v>
          </cell>
          <cell r="H121">
            <v>0.220109</v>
          </cell>
          <cell r="I121">
            <v>6.5847000000000003E-2</v>
          </cell>
          <cell r="J121">
            <v>7.8407000000000004E-2</v>
          </cell>
          <cell r="K121">
            <v>9.7066E-2</v>
          </cell>
          <cell r="L121">
            <v>0.24131999999999998</v>
          </cell>
          <cell r="M121">
            <v>8.1992999999999996E-2</v>
          </cell>
          <cell r="N121">
            <v>8.4404000000000007E-2</v>
          </cell>
          <cell r="O121">
            <v>0.111889</v>
          </cell>
          <cell r="P121">
            <v>0.27828599999999998</v>
          </cell>
          <cell r="Q121">
            <v>7.7254000000000003E-2</v>
          </cell>
          <cell r="R121">
            <v>8.6222999999999994E-2</v>
          </cell>
          <cell r="S121">
            <v>9.7005999999999995E-2</v>
          </cell>
          <cell r="T121">
            <v>0.26048299999999996</v>
          </cell>
          <cell r="U121">
            <v>7.9489000000000004E-2</v>
          </cell>
          <cell r="V121">
            <v>0.100685</v>
          </cell>
          <cell r="W121">
            <v>7.7446000000000001E-2</v>
          </cell>
          <cell r="X121">
            <v>0.25761999999999996</v>
          </cell>
          <cell r="Y121">
            <v>8.3141000000000007E-2</v>
          </cell>
          <cell r="Z121">
            <v>8.0063999999999996E-2</v>
          </cell>
          <cell r="AA121">
            <v>0.106909</v>
          </cell>
          <cell r="AB121">
            <v>0.27011400000000002</v>
          </cell>
          <cell r="AC121">
            <v>8.3555000000000004E-2</v>
          </cell>
          <cell r="AD121">
            <v>8.3235000000000003E-2</v>
          </cell>
          <cell r="AE121">
            <v>0.10194599999999999</v>
          </cell>
          <cell r="AF121">
            <v>0.26873599999999997</v>
          </cell>
          <cell r="AG121">
            <v>8.0914E-2</v>
          </cell>
          <cell r="AH121">
            <v>8.2209000000000004E-2</v>
          </cell>
          <cell r="AI121">
            <v>0.107891</v>
          </cell>
          <cell r="AJ121">
            <v>0.27101399999999998</v>
          </cell>
          <cell r="AK121">
            <v>9.2160000000000006E-2</v>
          </cell>
          <cell r="AL121">
            <v>8.7422E-2</v>
          </cell>
          <cell r="AM121">
            <v>9.1373999999999997E-2</v>
          </cell>
          <cell r="AN121">
            <v>0.27095600000000003</v>
          </cell>
          <cell r="AO121">
            <v>8.1213999999999995E-2</v>
          </cell>
          <cell r="AP121">
            <v>8.6661000000000002E-2</v>
          </cell>
          <cell r="AQ121">
            <v>0.106282</v>
          </cell>
          <cell r="AR121">
            <v>0.27415699999999998</v>
          </cell>
          <cell r="AS121">
            <v>0.109795</v>
          </cell>
          <cell r="AT121">
            <v>0.103994</v>
          </cell>
          <cell r="AU121">
            <v>0.119683</v>
          </cell>
          <cell r="AV121">
            <v>0.33347199999999999</v>
          </cell>
          <cell r="AW121">
            <v>9.3297000000000005E-2</v>
          </cell>
          <cell r="AX121">
            <v>0.107999</v>
          </cell>
          <cell r="AY121">
            <v>0.135961</v>
          </cell>
          <cell r="AZ121">
            <v>0.33725700000000003</v>
          </cell>
          <cell r="BA121">
            <v>0.1172</v>
          </cell>
          <cell r="BB121">
            <v>0.112055</v>
          </cell>
          <cell r="BC121">
            <v>0.11574</v>
          </cell>
          <cell r="BD121">
            <v>0.344995</v>
          </cell>
          <cell r="BE121">
            <v>0.110385</v>
          </cell>
          <cell r="BF121">
            <v>0.103857</v>
          </cell>
          <cell r="BG121">
            <v>0.12242400000000001</v>
          </cell>
          <cell r="BH121">
            <v>0.33666600000000002</v>
          </cell>
          <cell r="BI121">
            <v>0.101132</v>
          </cell>
          <cell r="BJ121">
            <v>0.102618</v>
          </cell>
          <cell r="BK121">
            <v>0.12314899999999999</v>
          </cell>
          <cell r="BL121">
            <v>0.326899</v>
          </cell>
          <cell r="BM121">
            <v>8.9987999999999999E-2</v>
          </cell>
          <cell r="BN121">
            <v>9.9203E-2</v>
          </cell>
          <cell r="BO121">
            <v>0.11627899999999999</v>
          </cell>
          <cell r="BP121">
            <v>0.30547000000000002</v>
          </cell>
        </row>
        <row r="122">
          <cell r="A122" t="str">
            <v xml:space="preserve">  % Change</v>
          </cell>
          <cell r="R122">
            <v>0.32665056236825496</v>
          </cell>
          <cell r="S122">
            <v>0.33687053829828284</v>
          </cell>
          <cell r="U122">
            <v>7.3653357825922416E-2</v>
          </cell>
          <cell r="V122">
            <v>0.43385075477072044</v>
          </cell>
          <cell r="W122">
            <v>2.1001146955295091E-2</v>
          </cell>
          <cell r="X122">
            <v>0.1704201100363909</v>
          </cell>
          <cell r="Y122">
            <v>0.26263914832870139</v>
          </cell>
          <cell r="Z122">
            <v>2.1133317178313016E-2</v>
          </cell>
          <cell r="AA122">
            <v>0.10140522943152086</v>
          </cell>
          <cell r="AB122">
            <v>0.11931874689209376</v>
          </cell>
          <cell r="AC122">
            <v>1.905040674203895E-2</v>
          </cell>
          <cell r="AD122">
            <v>-1.3850054499786824E-2</v>
          </cell>
          <cell r="AE122">
            <v>-8.886485713519654E-2</v>
          </cell>
          <cell r="AF122">
            <v>-3.4317213226680465E-2</v>
          </cell>
          <cell r="AG122">
            <v>4.7376187640769452E-2</v>
          </cell>
          <cell r="AH122">
            <v>-4.6553703768135946E-2</v>
          </cell>
          <cell r="AI122">
            <v>0.11220955404820332</v>
          </cell>
          <cell r="AJ122">
            <v>4.0428741990840233E-2</v>
          </cell>
          <cell r="AK122">
            <v>0.15940570393387765</v>
          </cell>
          <cell r="AL122">
            <v>-0.13172766549138404</v>
          </cell>
          <cell r="AM122">
            <v>0.17984143790512097</v>
          </cell>
          <cell r="AN122">
            <v>5.1766167223042059E-2</v>
          </cell>
          <cell r="AO122">
            <v>-2.3177493655356707E-2</v>
          </cell>
          <cell r="AP122">
            <v>8.2396582733813117E-2</v>
          </cell>
          <cell r="AQ122">
            <v>-5.8648009054429462E-3</v>
          </cell>
          <cell r="AR122">
            <v>1.4967754355568186E-2</v>
          </cell>
          <cell r="AS122">
            <v>0.31404464125426368</v>
          </cell>
          <cell r="AT122">
            <v>0.24940229470775521</v>
          </cell>
          <cell r="AU122">
            <v>0.17398426618013452</v>
          </cell>
          <cell r="AV122">
            <v>0.24089068825910931</v>
          </cell>
          <cell r="AW122">
            <v>0.15303902909261691</v>
          </cell>
          <cell r="AX122">
            <v>0.31371261054142474</v>
          </cell>
          <cell r="AY122">
            <v>0.26016998637513788</v>
          </cell>
          <cell r="AZ122">
            <v>0.24442648719254367</v>
          </cell>
          <cell r="BA122">
            <v>0.27170138888888884</v>
          </cell>
          <cell r="BB122">
            <v>0.28177117887945835</v>
          </cell>
          <cell r="BC122">
            <v>0.26666228905377887</v>
          </cell>
          <cell r="BD122">
            <v>0.27325100754366005</v>
          </cell>
          <cell r="BE122">
            <v>0.35918683970743959</v>
          </cell>
          <cell r="BF122">
            <v>0.1984283587773048</v>
          </cell>
          <cell r="BG122">
            <v>0.15187896351216579</v>
          </cell>
          <cell r="BH122">
            <v>0.22800439164420405</v>
          </cell>
          <cell r="BI122">
            <v>-7.890158932556135E-2</v>
          </cell>
          <cell r="BJ122">
            <v>-1.3231532588418582E-2</v>
          </cell>
          <cell r="BK122">
            <v>2.8959835565619096E-2</v>
          </cell>
          <cell r="BL122">
            <v>-1.9710800307072285E-2</v>
          </cell>
          <cell r="BM122">
            <v>-3.5467378372294966E-2</v>
          </cell>
          <cell r="BN122">
            <v>-8.1445198566653332E-2</v>
          </cell>
          <cell r="BO122">
            <v>-0.1447621008965807</v>
          </cell>
          <cell r="BP122">
            <v>-9.4251564830381551E-2</v>
          </cell>
        </row>
        <row r="124">
          <cell r="A124" t="str">
            <v>ACULAR LS</v>
          </cell>
        </row>
        <row r="125">
          <cell r="A125" t="str">
            <v>TRx</v>
          </cell>
          <cell r="AX125">
            <v>53</v>
          </cell>
          <cell r="AY125">
            <v>1722</v>
          </cell>
          <cell r="AZ125">
            <v>1775</v>
          </cell>
          <cell r="BA125">
            <v>5686</v>
          </cell>
          <cell r="BB125">
            <v>8113</v>
          </cell>
          <cell r="BC125">
            <v>10359</v>
          </cell>
          <cell r="BD125">
            <v>24158</v>
          </cell>
          <cell r="BE125">
            <v>12380</v>
          </cell>
          <cell r="BF125">
            <v>14500</v>
          </cell>
          <cell r="BG125">
            <v>19554</v>
          </cell>
          <cell r="BH125">
            <v>46434</v>
          </cell>
          <cell r="BI125">
            <v>23164</v>
          </cell>
          <cell r="BJ125">
            <v>26220</v>
          </cell>
          <cell r="BK125">
            <v>28523</v>
          </cell>
          <cell r="BL125">
            <v>77907</v>
          </cell>
          <cell r="BM125">
            <v>30295</v>
          </cell>
          <cell r="BN125">
            <v>31301</v>
          </cell>
          <cell r="BO125">
            <v>32253</v>
          </cell>
          <cell r="BP125">
            <v>93849</v>
          </cell>
        </row>
        <row r="126">
          <cell r="A126" t="str">
            <v xml:space="preserve">  % Change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</row>
        <row r="127">
          <cell r="A127" t="str">
            <v>NRx</v>
          </cell>
          <cell r="AX127">
            <v>53</v>
          </cell>
          <cell r="AY127">
            <v>1664</v>
          </cell>
          <cell r="AZ127">
            <v>1717</v>
          </cell>
          <cell r="BA127">
            <v>5125</v>
          </cell>
          <cell r="BB127">
            <v>6883</v>
          </cell>
          <cell r="BC127">
            <v>8359</v>
          </cell>
          <cell r="BD127">
            <v>20367</v>
          </cell>
          <cell r="BE127">
            <v>9973</v>
          </cell>
          <cell r="BF127">
            <v>11457</v>
          </cell>
          <cell r="BG127">
            <v>15464</v>
          </cell>
          <cell r="BH127">
            <v>36894</v>
          </cell>
          <cell r="BI127">
            <v>18206</v>
          </cell>
          <cell r="BJ127">
            <v>20174</v>
          </cell>
          <cell r="BK127">
            <v>21434</v>
          </cell>
          <cell r="BL127">
            <v>59814</v>
          </cell>
          <cell r="BM127">
            <v>22791</v>
          </cell>
          <cell r="BN127">
            <v>22896</v>
          </cell>
          <cell r="BO127">
            <v>23716</v>
          </cell>
          <cell r="BP127">
            <v>69403</v>
          </cell>
        </row>
        <row r="128">
          <cell r="A128" t="str">
            <v xml:space="preserve">  % Change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 t="str">
            <v>Sales (IMS)</v>
          </cell>
          <cell r="AX129">
            <v>0.27893499999999999</v>
          </cell>
          <cell r="AY129">
            <v>0.71974099999999996</v>
          </cell>
          <cell r="AZ129">
            <v>0.9986759999999999</v>
          </cell>
          <cell r="BA129">
            <v>0.39130300000000001</v>
          </cell>
          <cell r="BB129">
            <v>0.56728100000000004</v>
          </cell>
          <cell r="BC129">
            <v>0.72663</v>
          </cell>
          <cell r="BD129">
            <v>1.685214</v>
          </cell>
          <cell r="BE129">
            <v>0.80943600000000004</v>
          </cell>
          <cell r="BF129">
            <v>0.98649200000000004</v>
          </cell>
          <cell r="BG129">
            <v>1.527072</v>
          </cell>
          <cell r="BH129">
            <v>3.3230000000000004</v>
          </cell>
          <cell r="BI129">
            <v>1.449851</v>
          </cell>
          <cell r="BJ129">
            <v>1.6769579999999999</v>
          </cell>
          <cell r="BK129">
            <v>2.074316</v>
          </cell>
          <cell r="BL129">
            <v>5.2011250000000002</v>
          </cell>
          <cell r="BM129">
            <v>1.7281599999999999</v>
          </cell>
          <cell r="BN129">
            <v>1.787947</v>
          </cell>
          <cell r="BO129">
            <v>2.2612239999999999</v>
          </cell>
          <cell r="BP129">
            <v>5.7773309999999993</v>
          </cell>
        </row>
        <row r="130">
          <cell r="A130" t="str">
            <v xml:space="preserve">  % Change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</row>
        <row r="132">
          <cell r="A132" t="str">
            <v xml:space="preserve">ALOCRIL </v>
          </cell>
        </row>
        <row r="133">
          <cell r="A133" t="str">
            <v>TRx</v>
          </cell>
          <cell r="C133">
            <v>21907</v>
          </cell>
          <cell r="D133">
            <v>21737</v>
          </cell>
          <cell r="E133">
            <v>20163</v>
          </cell>
          <cell r="F133">
            <v>16806</v>
          </cell>
          <cell r="G133">
            <v>16028</v>
          </cell>
          <cell r="H133">
            <v>52997</v>
          </cell>
          <cell r="I133">
            <v>15916</v>
          </cell>
          <cell r="J133">
            <v>16238</v>
          </cell>
          <cell r="K133">
            <v>22773</v>
          </cell>
          <cell r="L133">
            <v>54927</v>
          </cell>
          <cell r="M133">
            <v>31430</v>
          </cell>
          <cell r="N133">
            <v>47834</v>
          </cell>
          <cell r="O133">
            <v>30542</v>
          </cell>
          <cell r="P133">
            <v>109806</v>
          </cell>
          <cell r="Q133">
            <v>28095</v>
          </cell>
          <cell r="R133">
            <v>28695</v>
          </cell>
          <cell r="S133">
            <v>26573</v>
          </cell>
          <cell r="T133">
            <v>83363</v>
          </cell>
          <cell r="U133">
            <v>26561</v>
          </cell>
          <cell r="V133">
            <v>22078</v>
          </cell>
          <cell r="W133">
            <v>20761</v>
          </cell>
          <cell r="X133">
            <v>69400</v>
          </cell>
          <cell r="Y133">
            <v>20609</v>
          </cell>
          <cell r="Z133">
            <v>20101</v>
          </cell>
          <cell r="AA133">
            <v>26039</v>
          </cell>
          <cell r="AB133">
            <v>66749</v>
          </cell>
          <cell r="AC133">
            <v>41748</v>
          </cell>
          <cell r="AD133">
            <v>40586</v>
          </cell>
          <cell r="AE133">
            <v>33577</v>
          </cell>
          <cell r="AF133">
            <v>115911</v>
          </cell>
          <cell r="AG133">
            <v>29621</v>
          </cell>
          <cell r="AH133">
            <v>28112</v>
          </cell>
          <cell r="AI133">
            <v>26251</v>
          </cell>
          <cell r="AJ133">
            <v>83984</v>
          </cell>
          <cell r="AK133">
            <v>24228</v>
          </cell>
          <cell r="AL133">
            <v>20463</v>
          </cell>
          <cell r="AM133">
            <v>19255</v>
          </cell>
          <cell r="AN133">
            <v>63946</v>
          </cell>
          <cell r="AO133">
            <v>18501</v>
          </cell>
          <cell r="AP133">
            <v>17282</v>
          </cell>
          <cell r="AQ133">
            <v>26139</v>
          </cell>
          <cell r="AR133">
            <v>61922</v>
          </cell>
          <cell r="AS133">
            <v>36878</v>
          </cell>
          <cell r="AT133">
            <v>40736</v>
          </cell>
          <cell r="AU133">
            <v>27962</v>
          </cell>
          <cell r="AV133">
            <v>105576</v>
          </cell>
          <cell r="AW133">
            <v>24186</v>
          </cell>
          <cell r="AX133">
            <v>22390</v>
          </cell>
          <cell r="AY133">
            <v>21291</v>
          </cell>
          <cell r="AZ133">
            <v>67867</v>
          </cell>
          <cell r="BA133">
            <v>18981</v>
          </cell>
          <cell r="BB133">
            <v>14826</v>
          </cell>
          <cell r="BC133">
            <v>14984</v>
          </cell>
          <cell r="BD133">
            <v>48791</v>
          </cell>
          <cell r="BE133">
            <v>13374</v>
          </cell>
          <cell r="BF133">
            <v>12406</v>
          </cell>
          <cell r="BG133">
            <v>18398</v>
          </cell>
          <cell r="BH133">
            <v>44178</v>
          </cell>
          <cell r="BI133">
            <v>21963</v>
          </cell>
          <cell r="BJ133">
            <v>20600</v>
          </cell>
          <cell r="BK133">
            <v>15756</v>
          </cell>
          <cell r="BL133">
            <v>58319</v>
          </cell>
          <cell r="BM133">
            <v>13249</v>
          </cell>
          <cell r="BN133">
            <v>12711</v>
          </cell>
          <cell r="BO133">
            <v>11870</v>
          </cell>
          <cell r="BP133">
            <v>37830</v>
          </cell>
        </row>
        <row r="134">
          <cell r="A134" t="str">
            <v xml:space="preserve">  % Change</v>
          </cell>
          <cell r="R134">
            <v>0.30985529739352713</v>
          </cell>
          <cell r="S134">
            <v>0.22247780282467677</v>
          </cell>
          <cell r="U134">
            <v>0.31731389178197689</v>
          </cell>
          <cell r="V134">
            <v>0.31369748899202676</v>
          </cell>
          <cell r="W134">
            <v>0.29529573246818064</v>
          </cell>
          <cell r="X134">
            <v>0.30950808536332253</v>
          </cell>
          <cell r="Y134">
            <v>0.29486051771801969</v>
          </cell>
          <cell r="Z134">
            <v>0.23789875600443411</v>
          </cell>
          <cell r="AA134">
            <v>0.1434154481183858</v>
          </cell>
          <cell r="AB134">
            <v>0.21523112494765773</v>
          </cell>
          <cell r="AC134">
            <v>0.32828507795100226</v>
          </cell>
          <cell r="AD134">
            <v>-0.15152402057114189</v>
          </cell>
          <cell r="AE134">
            <v>9.9371357474952626E-2</v>
          </cell>
          <cell r="AF134">
            <v>5.5598054751106574E-2</v>
          </cell>
          <cell r="AG134">
            <v>5.4315714539953763E-2</v>
          </cell>
          <cell r="AH134">
            <v>-2.0317128419585329E-2</v>
          </cell>
          <cell r="AI134">
            <v>-1.2117562939826132E-2</v>
          </cell>
          <cell r="AJ134">
            <v>7.4493480321005112E-3</v>
          </cell>
          <cell r="AK134">
            <v>-8.7835548360377991E-2</v>
          </cell>
          <cell r="AL134">
            <v>-7.3149741824440673E-2</v>
          </cell>
          <cell r="AM134">
            <v>-7.2539858388324219E-2</v>
          </cell>
          <cell r="AN134">
            <v>-7.8587896253602296E-2</v>
          </cell>
          <cell r="AO134">
            <v>-0.10228540928720464</v>
          </cell>
          <cell r="AP134">
            <v>-0.14024177901596935</v>
          </cell>
          <cell r="AQ134">
            <v>3.8403932562693921E-3</v>
          </cell>
          <cell r="AR134">
            <v>-7.2315690122698451E-2</v>
          </cell>
          <cell r="AS134">
            <v>-0.11665229472070515</v>
          </cell>
          <cell r="AT134">
            <v>3.6958557137929393E-3</v>
          </cell>
          <cell r="AU134">
            <v>-0.16722756648896564</v>
          </cell>
          <cell r="AV134">
            <v>-8.9163237311385424E-2</v>
          </cell>
          <cell r="AW134">
            <v>-0.18348468991593803</v>
          </cell>
          <cell r="AX134">
            <v>-0.2035429709732498</v>
          </cell>
          <cell r="AY134">
            <v>-0.18894518304064611</v>
          </cell>
          <cell r="AZ134">
            <v>-0.19190560106686994</v>
          </cell>
          <cell r="BA134">
            <v>-0.21656760772659733</v>
          </cell>
          <cell r="BB134">
            <v>-0.27547280457410939</v>
          </cell>
          <cell r="BC134">
            <v>-0.22181251622955078</v>
          </cell>
          <cell r="BD134">
            <v>-0.23699684108466523</v>
          </cell>
          <cell r="BE134">
            <v>-0.27712015566726123</v>
          </cell>
          <cell r="BF134">
            <v>-0.28214327045480847</v>
          </cell>
          <cell r="BG134">
            <v>-0.29614751903286274</v>
          </cell>
          <cell r="BH134">
            <v>-0.28655405187170957</v>
          </cell>
          <cell r="BI134">
            <v>-0.40444167254189489</v>
          </cell>
          <cell r="BJ134">
            <v>-0.49430479183032205</v>
          </cell>
          <cell r="BK134">
            <v>-0.43652099277591017</v>
          </cell>
          <cell r="BL134">
            <v>-0.44761119951504125</v>
          </cell>
          <cell r="BM134">
            <v>-0.45220375423798886</v>
          </cell>
          <cell r="BN134">
            <v>-0.43229120142920952</v>
          </cell>
          <cell r="BO134">
            <v>-0.44248743600582408</v>
          </cell>
          <cell r="BP134">
            <v>-0.44258623484167559</v>
          </cell>
        </row>
        <row r="135">
          <cell r="A135" t="str">
            <v>NRx</v>
          </cell>
          <cell r="C135">
            <v>16880</v>
          </cell>
          <cell r="D135">
            <v>16134</v>
          </cell>
          <cell r="E135">
            <v>14344</v>
          </cell>
          <cell r="F135">
            <v>11500</v>
          </cell>
          <cell r="G135">
            <v>10193</v>
          </cell>
          <cell r="H135">
            <v>36037</v>
          </cell>
          <cell r="I135">
            <v>10559</v>
          </cell>
          <cell r="J135">
            <v>11134</v>
          </cell>
          <cell r="K135">
            <v>16148</v>
          </cell>
          <cell r="L135">
            <v>37841</v>
          </cell>
          <cell r="M135">
            <v>24138</v>
          </cell>
          <cell r="N135">
            <v>38584</v>
          </cell>
          <cell r="O135">
            <v>21713</v>
          </cell>
          <cell r="P135">
            <v>84435</v>
          </cell>
          <cell r="Q135">
            <v>18972</v>
          </cell>
          <cell r="R135">
            <v>19267</v>
          </cell>
          <cell r="S135">
            <v>17820</v>
          </cell>
          <cell r="T135">
            <v>56059</v>
          </cell>
          <cell r="U135">
            <v>17595</v>
          </cell>
          <cell r="V135">
            <v>13649</v>
          </cell>
          <cell r="W135">
            <v>12259</v>
          </cell>
          <cell r="X135">
            <v>43503</v>
          </cell>
          <cell r="Y135">
            <v>12635</v>
          </cell>
          <cell r="Z135">
            <v>12874</v>
          </cell>
          <cell r="AA135">
            <v>17568</v>
          </cell>
          <cell r="AB135">
            <v>43077</v>
          </cell>
          <cell r="AC135">
            <v>31305</v>
          </cell>
          <cell r="AD135">
            <v>29579</v>
          </cell>
          <cell r="AE135">
            <v>23079</v>
          </cell>
          <cell r="AF135">
            <v>83963</v>
          </cell>
          <cell r="AG135">
            <v>19128</v>
          </cell>
          <cell r="AH135">
            <v>17789</v>
          </cell>
          <cell r="AI135">
            <v>16312</v>
          </cell>
          <cell r="AJ135">
            <v>53229</v>
          </cell>
          <cell r="AK135">
            <v>14968</v>
          </cell>
          <cell r="AL135">
            <v>12058</v>
          </cell>
          <cell r="AM135">
            <v>10823</v>
          </cell>
          <cell r="AN135">
            <v>37849</v>
          </cell>
          <cell r="AO135">
            <v>10953</v>
          </cell>
          <cell r="AP135">
            <v>10500</v>
          </cell>
          <cell r="AQ135">
            <v>17821</v>
          </cell>
          <cell r="AR135">
            <v>39274</v>
          </cell>
          <cell r="AS135">
            <v>27623</v>
          </cell>
          <cell r="AT135">
            <v>30555</v>
          </cell>
          <cell r="AU135">
            <v>18208</v>
          </cell>
          <cell r="AV135">
            <v>76386</v>
          </cell>
          <cell r="AW135">
            <v>14947</v>
          </cell>
          <cell r="AX135">
            <v>13716</v>
          </cell>
          <cell r="AY135">
            <v>12882</v>
          </cell>
          <cell r="AZ135">
            <v>41545</v>
          </cell>
          <cell r="BA135">
            <v>11270</v>
          </cell>
          <cell r="BB135">
            <v>8466</v>
          </cell>
          <cell r="BC135">
            <v>7872</v>
          </cell>
          <cell r="BD135">
            <v>27608</v>
          </cell>
          <cell r="BE135">
            <v>7327</v>
          </cell>
          <cell r="BF135">
            <v>6921</v>
          </cell>
          <cell r="BG135">
            <v>11452</v>
          </cell>
          <cell r="BH135">
            <v>25700</v>
          </cell>
          <cell r="BI135">
            <v>14932</v>
          </cell>
          <cell r="BJ135">
            <v>13796</v>
          </cell>
          <cell r="BK135">
            <v>9497</v>
          </cell>
          <cell r="BL135">
            <v>38225</v>
          </cell>
          <cell r="BM135">
            <v>7397</v>
          </cell>
          <cell r="BN135">
            <v>7077</v>
          </cell>
          <cell r="BO135">
            <v>6909</v>
          </cell>
          <cell r="BP135">
            <v>21383</v>
          </cell>
        </row>
        <row r="136">
          <cell r="A136" t="str">
            <v xml:space="preserve">  % Change</v>
          </cell>
          <cell r="R136">
            <v>0.14140995260663503</v>
          </cell>
          <cell r="S136">
            <v>0.10449981405727038</v>
          </cell>
          <cell r="U136">
            <v>0.22664528722810928</v>
          </cell>
          <cell r="V136">
            <v>0.18686956521739129</v>
          </cell>
          <cell r="W136">
            <v>0.20268811929755715</v>
          </cell>
          <cell r="X136">
            <v>0.20717595804312228</v>
          </cell>
          <cell r="Y136">
            <v>0.19660952741736915</v>
          </cell>
          <cell r="Z136">
            <v>0.15627806718160597</v>
          </cell>
          <cell r="AA136">
            <v>8.7936586574188791E-2</v>
          </cell>
          <cell r="AB136">
            <v>0.13836843635210494</v>
          </cell>
          <cell r="AC136">
            <v>0.29691772309221975</v>
          </cell>
          <cell r="AD136">
            <v>-0.23338689612274521</v>
          </cell>
          <cell r="AE136">
            <v>6.2911619766959914E-2</v>
          </cell>
          <cell r="AF136">
            <v>-5.5900988926392836E-3</v>
          </cell>
          <cell r="AG136">
            <v>8.2226438962682558E-3</v>
          </cell>
          <cell r="AH136">
            <v>-7.6711475580007238E-2</v>
          </cell>
          <cell r="AI136">
            <v>-8.4624017957351305E-2</v>
          </cell>
          <cell r="AJ136">
            <v>-5.0482527337269656E-2</v>
          </cell>
          <cell r="AK136">
            <v>-0.1493037794828076</v>
          </cell>
          <cell r="AL136">
            <v>-0.11656531614037657</v>
          </cell>
          <cell r="AM136">
            <v>-0.11713842890937276</v>
          </cell>
          <cell r="AN136">
            <v>-0.12996804818058527</v>
          </cell>
          <cell r="AO136">
            <v>-0.13312227938266719</v>
          </cell>
          <cell r="AP136">
            <v>-0.18440267205219818</v>
          </cell>
          <cell r="AQ136">
            <v>1.4401183970856213E-2</v>
          </cell>
          <cell r="AR136">
            <v>-8.828377092183759E-2</v>
          </cell>
          <cell r="AS136">
            <v>-0.11761699409040094</v>
          </cell>
          <cell r="AT136">
            <v>3.2996382568714289E-2</v>
          </cell>
          <cell r="AU136">
            <v>-0.21105767147623378</v>
          </cell>
          <cell r="AV136">
            <v>-9.0242130462227399E-2</v>
          </cell>
          <cell r="AW136">
            <v>-0.21858009201171058</v>
          </cell>
          <cell r="AX136">
            <v>-0.22896171791556585</v>
          </cell>
          <cell r="AY136">
            <v>-0.21027464443354582</v>
          </cell>
          <cell r="AZ136">
            <v>-0.21950440549324612</v>
          </cell>
          <cell r="BA136">
            <v>-0.24706039551042225</v>
          </cell>
          <cell r="BB136">
            <v>-0.29789351467905123</v>
          </cell>
          <cell r="BC136">
            <v>-0.2726600757645754</v>
          </cell>
          <cell r="BD136">
            <v>-0.27057518032180505</v>
          </cell>
          <cell r="BE136">
            <v>-0.3310508536474025</v>
          </cell>
          <cell r="BF136">
            <v>-0.34085714285714286</v>
          </cell>
          <cell r="BG136">
            <v>-0.35738735200044891</v>
          </cell>
          <cell r="BH136">
            <v>-0.34562305851199271</v>
          </cell>
          <cell r="BI136">
            <v>-0.45943597726532237</v>
          </cell>
          <cell r="BJ136">
            <v>-0.54848633611520214</v>
          </cell>
          <cell r="BK136">
            <v>-0.47841608084358522</v>
          </cell>
          <cell r="BL136">
            <v>-0.4995810750661116</v>
          </cell>
          <cell r="BM136">
            <v>-0.50511808389643409</v>
          </cell>
          <cell r="BN136">
            <v>-0.48403324584426943</v>
          </cell>
          <cell r="BO136">
            <v>-0.46367023754075454</v>
          </cell>
          <cell r="BP136">
            <v>-0.4853050908653268</v>
          </cell>
        </row>
        <row r="137">
          <cell r="A137" t="str">
            <v>Sales (IMS)</v>
          </cell>
          <cell r="C137">
            <v>0.968171</v>
          </cell>
          <cell r="D137">
            <v>1.296772</v>
          </cell>
          <cell r="E137">
            <v>0.90785499999999997</v>
          </cell>
          <cell r="F137">
            <v>0.78720599999999996</v>
          </cell>
          <cell r="G137">
            <v>0.94082299999999996</v>
          </cell>
          <cell r="H137">
            <v>2.6358839999999999</v>
          </cell>
          <cell r="I137">
            <v>0.72919999999999996</v>
          </cell>
          <cell r="J137">
            <v>0.80804200000000004</v>
          </cell>
          <cell r="K137">
            <v>1.285839</v>
          </cell>
          <cell r="L137">
            <v>2.8230810000000002</v>
          </cell>
          <cell r="M137">
            <v>1.340325</v>
          </cell>
          <cell r="N137">
            <v>2.4636209999999998</v>
          </cell>
          <cell r="O137">
            <v>1.9837400000000001</v>
          </cell>
          <cell r="P137">
            <v>5.7876859999999999</v>
          </cell>
          <cell r="Q137">
            <v>1.2736749999999999</v>
          </cell>
          <cell r="R137">
            <v>1.319129</v>
          </cell>
          <cell r="S137">
            <v>1.6436740000000001</v>
          </cell>
          <cell r="T137">
            <v>4.236478</v>
          </cell>
          <cell r="U137">
            <v>1.2100839999999999</v>
          </cell>
          <cell r="V137">
            <v>1.3747879999999999</v>
          </cell>
          <cell r="W137">
            <v>1.146074</v>
          </cell>
          <cell r="X137">
            <v>3.7309460000000003</v>
          </cell>
          <cell r="Y137">
            <v>0.993398</v>
          </cell>
          <cell r="Z137">
            <v>1.0869949999999999</v>
          </cell>
          <cell r="AA137">
            <v>2.007339</v>
          </cell>
          <cell r="AB137">
            <v>4.0877319999999999</v>
          </cell>
          <cell r="AC137">
            <v>2.2237559999999998</v>
          </cell>
          <cell r="AD137">
            <v>2.975749</v>
          </cell>
          <cell r="AE137">
            <v>2.081439</v>
          </cell>
          <cell r="AF137">
            <v>7.2809439999999999</v>
          </cell>
          <cell r="AG137">
            <v>1.386123</v>
          </cell>
          <cell r="AH137">
            <v>1.370126</v>
          </cell>
          <cell r="AI137">
            <v>1.7581739999999999</v>
          </cell>
          <cell r="AJ137">
            <v>4.5144229999999999</v>
          </cell>
          <cell r="AK137">
            <v>1.2078199999999999</v>
          </cell>
          <cell r="AL137">
            <v>1.0994170000000001</v>
          </cell>
          <cell r="AM137">
            <v>1.256264</v>
          </cell>
          <cell r="AN137">
            <v>3.563501</v>
          </cell>
          <cell r="AO137">
            <v>0.93885700000000005</v>
          </cell>
          <cell r="AP137">
            <v>0.97078799999999998</v>
          </cell>
          <cell r="AQ137">
            <v>1.764168</v>
          </cell>
          <cell r="AR137">
            <v>3.673813</v>
          </cell>
          <cell r="AS137">
            <v>2.2373810000000001</v>
          </cell>
          <cell r="AT137">
            <v>2.483247</v>
          </cell>
          <cell r="AU137">
            <v>2.0429979999999999</v>
          </cell>
          <cell r="AV137">
            <v>6.7636259999999995</v>
          </cell>
          <cell r="AW137">
            <v>1.3435760000000001</v>
          </cell>
          <cell r="AX137">
            <v>1.29434</v>
          </cell>
          <cell r="AY137">
            <v>1.5133920000000001</v>
          </cell>
          <cell r="AZ137">
            <v>4.1513080000000002</v>
          </cell>
          <cell r="BA137">
            <v>1.0704039999999999</v>
          </cell>
          <cell r="BB137">
            <v>0.98106400000000005</v>
          </cell>
          <cell r="BC137">
            <v>1.1163110000000001</v>
          </cell>
          <cell r="BD137">
            <v>3.1677789999999999</v>
          </cell>
          <cell r="BE137">
            <v>0.83785900000000002</v>
          </cell>
          <cell r="BF137">
            <v>0.89789399999999997</v>
          </cell>
          <cell r="BG137">
            <v>3.3503189999999998</v>
          </cell>
          <cell r="BH137">
            <v>5.0860719999999997</v>
          </cell>
          <cell r="BI137">
            <v>1.6478360000000001</v>
          </cell>
          <cell r="BJ137">
            <v>1.6240289999999999</v>
          </cell>
          <cell r="BK137">
            <v>1.3822319999999999</v>
          </cell>
          <cell r="BL137">
            <v>4.6540970000000002</v>
          </cell>
          <cell r="BM137">
            <v>0.99072700000000002</v>
          </cell>
          <cell r="BN137">
            <v>0.90108200000000005</v>
          </cell>
          <cell r="BO137">
            <v>0.97261799999999998</v>
          </cell>
          <cell r="BP137">
            <v>2.8644270000000001</v>
          </cell>
        </row>
        <row r="138">
          <cell r="A138" t="str">
            <v xml:space="preserve">  % Change</v>
          </cell>
          <cell r="R138">
            <v>0.36249588140937905</v>
          </cell>
          <cell r="S138">
            <v>0.26751194504508113</v>
          </cell>
          <cell r="U138">
            <v>0.33290448364551595</v>
          </cell>
          <cell r="V138">
            <v>0.74641453444206474</v>
          </cell>
          <cell r="W138">
            <v>0.2181611206358689</v>
          </cell>
          <cell r="X138">
            <v>0.41544392697098975</v>
          </cell>
          <cell r="Y138">
            <v>0.36231212287438286</v>
          </cell>
          <cell r="Z138">
            <v>0.34522091673452593</v>
          </cell>
          <cell r="AA138">
            <v>0.56111223877950511</v>
          </cell>
          <cell r="AB138">
            <v>0.44796837214376772</v>
          </cell>
          <cell r="AC138">
            <v>0.65911700520396166</v>
          </cell>
          <cell r="AD138">
            <v>0.20787613029763929</v>
          </cell>
          <cell r="AE138">
            <v>4.9249901700827659E-2</v>
          </cell>
          <cell r="AF138">
            <v>0.25800604939521588</v>
          </cell>
          <cell r="AG138">
            <v>8.8286258268396756E-2</v>
          </cell>
          <cell r="AH138">
            <v>3.8659600387831672E-2</v>
          </cell>
          <cell r="AI138">
            <v>6.966101550550774E-2</v>
          </cell>
          <cell r="AJ138">
            <v>6.5607563641307598E-2</v>
          </cell>
          <cell r="AK138">
            <v>-1.8709444964151167E-3</v>
          </cell>
          <cell r="AL138">
            <v>-0.20030070090806718</v>
          </cell>
          <cell r="AM138">
            <v>9.6145624104551741E-2</v>
          </cell>
          <cell r="AN138">
            <v>-4.4880038467455807E-2</v>
          </cell>
          <cell r="AO138">
            <v>-5.4903472726943181E-2</v>
          </cell>
          <cell r="AP138">
            <v>-0.10690665550439515</v>
          </cell>
          <cell r="AQ138">
            <v>-0.12114097319884687</v>
          </cell>
          <cell r="AR138">
            <v>-0.10125883986523576</v>
          </cell>
          <cell r="AS138">
            <v>6.1270211300161748E-3</v>
          </cell>
          <cell r="AT138">
            <v>-0.16550522238266741</v>
          </cell>
          <cell r="AU138">
            <v>-1.8468473013141473E-2</v>
          </cell>
          <cell r="AV138">
            <v>-7.1050951634842985E-2</v>
          </cell>
          <cell r="AW138">
            <v>-3.0694967185451727E-2</v>
          </cell>
          <cell r="AX138">
            <v>-5.5313160979355125E-2</v>
          </cell>
          <cell r="AY138">
            <v>-0.13922512788836594</v>
          </cell>
          <cell r="AZ138">
            <v>-8.0434420965868614E-2</v>
          </cell>
          <cell r="BA138">
            <v>-0.11377191965690248</v>
          </cell>
          <cell r="BB138">
            <v>-0.10765069122998827</v>
          </cell>
          <cell r="BC138">
            <v>-0.11140413161564766</v>
          </cell>
          <cell r="BD138">
            <v>-0.11104865692474908</v>
          </cell>
          <cell r="BE138">
            <v>-0.10757548806687278</v>
          </cell>
          <cell r="BF138">
            <v>-7.5087454727499781E-2</v>
          </cell>
          <cell r="BG138">
            <v>0.89909294352918767</v>
          </cell>
          <cell r="BH138">
            <v>0.38441232583149976</v>
          </cell>
          <cell r="BI138">
            <v>-0.26349781284457141</v>
          </cell>
          <cell r="BJ138">
            <v>-0.34600585443171783</v>
          </cell>
          <cell r="BK138">
            <v>-0.32342958730258176</v>
          </cell>
          <cell r="BL138">
            <v>-0.31189320639550433</v>
          </cell>
          <cell r="BM138">
            <v>-0.26261930847231574</v>
          </cell>
          <cell r="BN138">
            <v>-0.30382897847551649</v>
          </cell>
          <cell r="BO138">
            <v>-0.35732579529956554</v>
          </cell>
          <cell r="BP138">
            <v>-0.30999410306342001</v>
          </cell>
        </row>
        <row r="140">
          <cell r="A140" t="str">
            <v>ELESTAT</v>
          </cell>
        </row>
        <row r="141">
          <cell r="A141" t="str">
            <v>TRx</v>
          </cell>
          <cell r="BE141">
            <v>0</v>
          </cell>
          <cell r="BF141">
            <v>1597</v>
          </cell>
          <cell r="BG141">
            <v>8458</v>
          </cell>
          <cell r="BH141">
            <v>10055</v>
          </cell>
          <cell r="BI141">
            <v>16077</v>
          </cell>
          <cell r="BJ141">
            <v>22827</v>
          </cell>
          <cell r="BK141">
            <v>23827</v>
          </cell>
          <cell r="BL141">
            <v>62731</v>
          </cell>
          <cell r="BM141">
            <v>24100</v>
          </cell>
          <cell r="BN141">
            <v>26557</v>
          </cell>
          <cell r="BO141">
            <v>27539</v>
          </cell>
          <cell r="BP141">
            <v>78196</v>
          </cell>
        </row>
        <row r="142">
          <cell r="A142" t="str">
            <v xml:space="preserve">  % Change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0</v>
          </cell>
          <cell r="BJ142">
            <v>0</v>
          </cell>
          <cell r="BK142">
            <v>0</v>
          </cell>
          <cell r="BL142">
            <v>0</v>
          </cell>
          <cell r="BP142">
            <v>0</v>
          </cell>
        </row>
        <row r="143">
          <cell r="A143" t="str">
            <v>NRx</v>
          </cell>
          <cell r="BE143">
            <v>0</v>
          </cell>
          <cell r="BF143">
            <v>1587</v>
          </cell>
          <cell r="BG143">
            <v>8108</v>
          </cell>
          <cell r="BH143">
            <v>9695</v>
          </cell>
          <cell r="BI143">
            <v>14666</v>
          </cell>
          <cell r="BJ143">
            <v>19712</v>
          </cell>
          <cell r="BK143">
            <v>18816</v>
          </cell>
          <cell r="BL143">
            <v>53194</v>
          </cell>
          <cell r="BM143">
            <v>17993</v>
          </cell>
          <cell r="BN143">
            <v>19150</v>
          </cell>
          <cell r="BO143">
            <v>19639</v>
          </cell>
          <cell r="BP143">
            <v>56782</v>
          </cell>
        </row>
        <row r="144">
          <cell r="A144" t="str">
            <v xml:space="preserve">  % Change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 t="str">
            <v>Sales (IMS)</v>
          </cell>
          <cell r="BE145">
            <v>1.1969999999999999E-3</v>
          </cell>
          <cell r="BF145">
            <v>0.51217999999999997</v>
          </cell>
          <cell r="BG145">
            <v>0.82004299999999997</v>
          </cell>
          <cell r="BH145">
            <v>1.3334199999999998</v>
          </cell>
          <cell r="BI145">
            <v>1.2156419999999999</v>
          </cell>
          <cell r="BJ145">
            <v>1.6982489999999999</v>
          </cell>
          <cell r="BK145">
            <v>2.033563</v>
          </cell>
          <cell r="BL145">
            <v>4.9474539999999996</v>
          </cell>
          <cell r="BM145">
            <v>1.6123240000000001</v>
          </cell>
          <cell r="BN145">
            <v>1.7349209999999999</v>
          </cell>
          <cell r="BO145">
            <v>2.2476859999999999</v>
          </cell>
          <cell r="BP145">
            <v>5.5949309999999999</v>
          </cell>
        </row>
        <row r="146">
          <cell r="A146" t="str">
            <v xml:space="preserve">  % Change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</row>
        <row r="148">
          <cell r="A148" t="str">
            <v>TOTAL OTHER EYE CARE PHARMA1</v>
          </cell>
        </row>
        <row r="149">
          <cell r="A149" t="str">
            <v>TOTAL OTHER EYE CARE TRx</v>
          </cell>
          <cell r="AJ149">
            <v>1236763</v>
          </cell>
          <cell r="AK149">
            <v>415298</v>
          </cell>
          <cell r="AL149">
            <v>398708</v>
          </cell>
          <cell r="AM149">
            <v>394287</v>
          </cell>
          <cell r="AN149">
            <v>1208293</v>
          </cell>
          <cell r="AO149">
            <v>417007</v>
          </cell>
          <cell r="AP149">
            <v>383809</v>
          </cell>
          <cell r="AQ149">
            <v>435828</v>
          </cell>
          <cell r="AR149">
            <v>1236644</v>
          </cell>
          <cell r="AS149">
            <v>452148</v>
          </cell>
          <cell r="AT149">
            <v>477273</v>
          </cell>
          <cell r="AU149">
            <v>429937</v>
          </cell>
          <cell r="AV149">
            <v>1359358</v>
          </cell>
          <cell r="AW149">
            <v>419587</v>
          </cell>
          <cell r="AX149">
            <v>392344</v>
          </cell>
          <cell r="AY149">
            <v>387191</v>
          </cell>
          <cell r="AZ149">
            <v>1199122</v>
          </cell>
          <cell r="BA149">
            <v>403229</v>
          </cell>
          <cell r="BB149">
            <v>360248</v>
          </cell>
          <cell r="BC149">
            <v>381919</v>
          </cell>
          <cell r="BD149">
            <v>1145396</v>
          </cell>
          <cell r="BE149">
            <v>379956</v>
          </cell>
          <cell r="BF149">
            <v>365480</v>
          </cell>
          <cell r="BG149">
            <v>436342</v>
          </cell>
          <cell r="BH149">
            <v>1181778</v>
          </cell>
          <cell r="BI149">
            <v>435061</v>
          </cell>
          <cell r="BJ149">
            <v>430058</v>
          </cell>
          <cell r="BK149">
            <v>389499</v>
          </cell>
          <cell r="BL149">
            <v>1254618</v>
          </cell>
          <cell r="BM149">
            <v>374236</v>
          </cell>
          <cell r="BN149">
            <v>375337</v>
          </cell>
          <cell r="BO149">
            <v>368504</v>
          </cell>
          <cell r="BP149">
            <v>1118077</v>
          </cell>
        </row>
        <row r="150">
          <cell r="A150" t="str">
            <v xml:space="preserve">  % Change</v>
          </cell>
          <cell r="AJ150" t="e">
            <v>#DIV/0!</v>
          </cell>
          <cell r="AZ150">
            <v>-3.0435095487170938E-2</v>
          </cell>
          <cell r="BA150">
            <v>-2.9061059769129649E-2</v>
          </cell>
          <cell r="BB150">
            <v>-9.6461570873922819E-2</v>
          </cell>
          <cell r="BC150">
            <v>-3.1368013655027949E-2</v>
          </cell>
          <cell r="BD150">
            <v>-5.2054427196052577E-2</v>
          </cell>
          <cell r="BE150">
            <v>-8.8849827460929953E-2</v>
          </cell>
          <cell r="BF150">
            <v>-4.7755524232105051E-2</v>
          </cell>
          <cell r="BG150">
            <v>1.1793643363895434E-3</v>
          </cell>
          <cell r="BH150">
            <v>-4.4366850928804102E-2</v>
          </cell>
          <cell r="BI150">
            <v>-3.7790723391455949E-2</v>
          </cell>
          <cell r="BJ150">
            <v>-9.8926610137175186E-2</v>
          </cell>
          <cell r="BK150">
            <v>-9.4055640710150601E-2</v>
          </cell>
          <cell r="BL150">
            <v>-7.7051078523832528E-2</v>
          </cell>
          <cell r="BM150">
            <v>-0.10808485486919284</v>
          </cell>
          <cell r="BN150">
            <v>-4.3347164732989385E-2</v>
          </cell>
          <cell r="BO150">
            <v>-4.8263001980934472E-2</v>
          </cell>
          <cell r="BP150">
            <v>-6.7586951119235628E-2</v>
          </cell>
        </row>
        <row r="152">
          <cell r="A152" t="str">
            <v xml:space="preserve">TOTAL OTHER EYE CARE REPORTED SALES </v>
          </cell>
          <cell r="L152">
            <v>122.2</v>
          </cell>
          <cell r="P152">
            <v>117</v>
          </cell>
          <cell r="T152">
            <v>114.4</v>
          </cell>
          <cell r="X152">
            <v>113.9</v>
          </cell>
          <cell r="AB152">
            <v>111.8</v>
          </cell>
          <cell r="AF152">
            <v>114.4</v>
          </cell>
          <cell r="AJ152">
            <v>118.3</v>
          </cell>
          <cell r="AN152">
            <v>111</v>
          </cell>
          <cell r="AR152">
            <v>105.7</v>
          </cell>
          <cell r="AV152">
            <v>131.69999999999999</v>
          </cell>
          <cell r="AZ152">
            <v>123.9</v>
          </cell>
          <cell r="BD152">
            <v>131.6</v>
          </cell>
          <cell r="BH152">
            <v>128</v>
          </cell>
          <cell r="BL152">
            <v>137.80000000000001</v>
          </cell>
          <cell r="BP152">
            <v>128</v>
          </cell>
        </row>
        <row r="153">
          <cell r="A153" t="str">
            <v xml:space="preserve">  % Change</v>
          </cell>
          <cell r="AB153">
            <v>-8.5106382978723416E-2</v>
          </cell>
          <cell r="AF153">
            <v>-2.2222222222222143E-2</v>
          </cell>
          <cell r="AJ153">
            <v>3.409090909090895E-2</v>
          </cell>
          <cell r="AN153">
            <v>-2.5460930640913149E-2</v>
          </cell>
          <cell r="AR153">
            <v>-5.4561717352414996E-2</v>
          </cell>
          <cell r="AV153">
            <v>0.15122377622377603</v>
          </cell>
          <cell r="AZ153">
            <v>4.7337278106508895E-2</v>
          </cell>
          <cell r="BD153">
            <v>0.18558558558558547</v>
          </cell>
          <cell r="BH153">
            <v>0.21097445600756859</v>
          </cell>
          <cell r="BL153">
            <v>4.6317388003037419E-2</v>
          </cell>
          <cell r="BP153">
            <v>3.3091202582727908E-2</v>
          </cell>
        </row>
        <row r="155">
          <cell r="A155" t="str">
            <v xml:space="preserve">TOTAL OTHER EYE CARE SALES (IMS) </v>
          </cell>
          <cell r="AJ155">
            <v>57.628064999999992</v>
          </cell>
          <cell r="AK155">
            <v>17.78708</v>
          </cell>
          <cell r="AL155">
            <v>18.276696999999999</v>
          </cell>
          <cell r="AM155">
            <v>20.892889</v>
          </cell>
          <cell r="AN155">
            <v>56.956666000000013</v>
          </cell>
          <cell r="AO155">
            <v>17.733456</v>
          </cell>
          <cell r="AP155">
            <v>18.262401999999994</v>
          </cell>
          <cell r="AQ155">
            <v>23.829996000000001</v>
          </cell>
          <cell r="AR155">
            <v>59.855519000000022</v>
          </cell>
          <cell r="AS155">
            <v>23.489739</v>
          </cell>
          <cell r="AT155">
            <v>23.67407600000001</v>
          </cell>
          <cell r="AU155">
            <v>27.401074999999995</v>
          </cell>
          <cell r="AV155">
            <v>74.564889999999991</v>
          </cell>
          <cell r="AW155">
            <v>20.536933999999999</v>
          </cell>
          <cell r="AX155">
            <v>20.553125000000001</v>
          </cell>
          <cell r="AY155">
            <v>24.819456000000006</v>
          </cell>
          <cell r="AZ155">
            <v>65.909514999999985</v>
          </cell>
          <cell r="BA155">
            <v>20.168967999999992</v>
          </cell>
          <cell r="BB155">
            <v>19.673906000000002</v>
          </cell>
          <cell r="BC155">
            <v>21.904703999999995</v>
          </cell>
          <cell r="BD155">
            <v>61.747577999999983</v>
          </cell>
          <cell r="BE155">
            <v>20.016018000000003</v>
          </cell>
          <cell r="BF155">
            <v>21.051765000000003</v>
          </cell>
          <cell r="BG155">
            <v>30.275024999999999</v>
          </cell>
          <cell r="BH155">
            <v>71.342808000000034</v>
          </cell>
          <cell r="BI155">
            <v>24.537791999999996</v>
          </cell>
          <cell r="BJ155">
            <v>25.228280000000002</v>
          </cell>
          <cell r="BK155">
            <v>26.707920999999999</v>
          </cell>
          <cell r="BL155">
            <v>76.47399300000005</v>
          </cell>
          <cell r="BM155">
            <v>20.439278000000009</v>
          </cell>
          <cell r="BN155">
            <v>20.566645999999995</v>
          </cell>
          <cell r="BO155">
            <v>24.953477999999993</v>
          </cell>
          <cell r="BP155">
            <v>65.959401999999997</v>
          </cell>
        </row>
        <row r="156">
          <cell r="A156" t="str">
            <v xml:space="preserve">  % Change</v>
          </cell>
          <cell r="AZ156">
            <v>0.14370515477137724</v>
          </cell>
          <cell r="BA156">
            <v>0.13391113100070351</v>
          </cell>
          <cell r="BB156">
            <v>7.6447565990725996E-2</v>
          </cell>
          <cell r="BC156">
            <v>4.8428678293365612E-2</v>
          </cell>
          <cell r="BD156">
            <v>8.411503580634383E-2</v>
          </cell>
          <cell r="BE156">
            <v>0.12871501189615842</v>
          </cell>
          <cell r="BF156">
            <v>0.15273801332376813</v>
          </cell>
          <cell r="BG156">
            <v>0.2704586689817321</v>
          </cell>
          <cell r="BH156">
            <v>0.19191695589507796</v>
          </cell>
          <cell r="BI156">
            <v>4.4617481701265227E-2</v>
          </cell>
          <cell r="BJ156">
            <v>6.565003846401396E-2</v>
          </cell>
          <cell r="BK156">
            <v>-2.529659876482937E-2</v>
          </cell>
          <cell r="BL156">
            <v>2.5603243027650935E-2</v>
          </cell>
          <cell r="BM156">
            <v>-4.7551401781780189E-3</v>
          </cell>
          <cell r="BN156">
            <v>6.5785616542513026E-4</v>
          </cell>
          <cell r="BO156">
            <v>5.3998766129277342E-3</v>
          </cell>
          <cell r="BP156">
            <v>7.569013366282018E-4</v>
          </cell>
        </row>
        <row r="158">
          <cell r="A158" t="str">
            <v>REPORTED SALES/TRx OTHER EYE CARE</v>
          </cell>
          <cell r="AJ158">
            <v>95.65292622757957</v>
          </cell>
          <cell r="AN158">
            <v>91.865135360380307</v>
          </cell>
          <cell r="AR158">
            <v>85.473264739084172</v>
          </cell>
          <cell r="AV158">
            <v>96.883970227121907</v>
          </cell>
          <cell r="AZ158">
            <v>103.32559989725816</v>
          </cell>
          <cell r="BD158">
            <v>114.89476128779916</v>
          </cell>
          <cell r="BH158">
            <v>108.31137489443871</v>
          </cell>
          <cell r="BL158">
            <v>109.83422842650113</v>
          </cell>
          <cell r="BP158">
            <v>114.48227626540927</v>
          </cell>
        </row>
        <row r="159">
          <cell r="A159" t="str">
            <v>IMS SALES/REPORTED SALES</v>
          </cell>
          <cell r="AJ159">
            <v>0.48713495350803038</v>
          </cell>
          <cell r="AN159">
            <v>0.51312311711711722</v>
          </cell>
          <cell r="AR159">
            <v>0.56627737937559153</v>
          </cell>
          <cell r="AV159">
            <v>0.56617228549734244</v>
          </cell>
          <cell r="AZ159">
            <v>0.53195734463276823</v>
          </cell>
          <cell r="BD159">
            <v>0.4692065197568388</v>
          </cell>
          <cell r="BH159">
            <v>0.55736568750000026</v>
          </cell>
          <cell r="BL159">
            <v>0.55496366473149528</v>
          </cell>
          <cell r="BP159">
            <v>0.51530782812499998</v>
          </cell>
        </row>
        <row r="161">
          <cell r="A161" t="str">
            <v>TOTAL EYE CARE PHARMA2</v>
          </cell>
        </row>
        <row r="162">
          <cell r="A162" t="str">
            <v>TOTAL EYE CARE TRx</v>
          </cell>
          <cell r="AJ162">
            <v>2592286</v>
          </cell>
          <cell r="AK162">
            <v>876005</v>
          </cell>
          <cell r="AL162">
            <v>846736</v>
          </cell>
          <cell r="AM162">
            <v>877685</v>
          </cell>
          <cell r="AN162">
            <v>2600426</v>
          </cell>
          <cell r="AO162">
            <v>889180</v>
          </cell>
          <cell r="AP162">
            <v>812327</v>
          </cell>
          <cell r="AQ162">
            <v>903311</v>
          </cell>
          <cell r="AR162">
            <v>2604818</v>
          </cell>
          <cell r="AS162">
            <v>925242</v>
          </cell>
          <cell r="AT162">
            <v>973888</v>
          </cell>
          <cell r="AU162">
            <v>919788</v>
          </cell>
          <cell r="AV162">
            <v>2818918</v>
          </cell>
          <cell r="AW162">
            <v>927280</v>
          </cell>
          <cell r="AX162">
            <v>885901</v>
          </cell>
          <cell r="AY162">
            <v>883699</v>
          </cell>
          <cell r="AZ162">
            <v>2696880</v>
          </cell>
          <cell r="BA162">
            <v>920263</v>
          </cell>
          <cell r="BB162">
            <v>837186</v>
          </cell>
          <cell r="BC162">
            <v>920799</v>
          </cell>
          <cell r="BD162">
            <v>2678248</v>
          </cell>
          <cell r="BE162">
            <v>896337</v>
          </cell>
          <cell r="BF162">
            <v>847429</v>
          </cell>
          <cell r="BG162">
            <v>982087</v>
          </cell>
          <cell r="BH162">
            <v>2725853</v>
          </cell>
          <cell r="BI162">
            <v>958091</v>
          </cell>
          <cell r="BJ162">
            <v>951089</v>
          </cell>
          <cell r="BK162">
            <v>929233</v>
          </cell>
          <cell r="BL162">
            <v>2838413</v>
          </cell>
          <cell r="BM162">
            <v>916763</v>
          </cell>
          <cell r="BN162">
            <v>928882</v>
          </cell>
          <cell r="BO162">
            <v>920370</v>
          </cell>
          <cell r="BP162">
            <v>2766015</v>
          </cell>
        </row>
        <row r="163">
          <cell r="A163" t="str">
            <v xml:space="preserve">  % Change</v>
          </cell>
          <cell r="AZ163">
            <v>4.0348171459476223E-2</v>
          </cell>
          <cell r="BD163">
            <v>2.9926635097480281E-2</v>
          </cell>
          <cell r="BH163">
            <v>4.646581834124297E-2</v>
          </cell>
        </row>
        <row r="165">
          <cell r="A165" t="str">
            <v xml:space="preserve">TOTAL EYE CARE REPORTED SALES </v>
          </cell>
          <cell r="L165">
            <v>189.7</v>
          </cell>
          <cell r="P165">
            <v>182.9</v>
          </cell>
          <cell r="T165">
            <v>186.5</v>
          </cell>
          <cell r="X165">
            <v>194.7</v>
          </cell>
          <cell r="AB165">
            <v>207.7</v>
          </cell>
          <cell r="AF165">
            <v>206.2</v>
          </cell>
          <cell r="AJ165">
            <v>202.5</v>
          </cell>
          <cell r="AN165">
            <v>210.8</v>
          </cell>
          <cell r="AR165">
            <v>221</v>
          </cell>
          <cell r="AV165">
            <v>253.3</v>
          </cell>
          <cell r="AZ165">
            <v>252.8</v>
          </cell>
          <cell r="BD165">
            <v>272.39999999999998</v>
          </cell>
          <cell r="BH165">
            <v>272.10000000000002</v>
          </cell>
          <cell r="BL165">
            <v>277.60000000000002</v>
          </cell>
          <cell r="BP165">
            <v>285.39999999999998</v>
          </cell>
        </row>
        <row r="166">
          <cell r="A166" t="str">
            <v xml:space="preserve">  % Change</v>
          </cell>
          <cell r="AB166">
            <v>9.4886663152345729E-2</v>
          </cell>
          <cell r="AF166">
            <v>0.12739201749589935</v>
          </cell>
          <cell r="AJ166">
            <v>8.5790884718498717E-2</v>
          </cell>
          <cell r="AN166">
            <v>8.2691319979455669E-2</v>
          </cell>
          <cell r="AR166">
            <v>6.40346653827637E-2</v>
          </cell>
          <cell r="AV166">
            <v>0.22841901066925319</v>
          </cell>
          <cell r="AZ166">
            <v>0.24839506172839521</v>
          </cell>
          <cell r="BD166">
            <v>0.2922201138519922</v>
          </cell>
          <cell r="BH166">
            <v>0.23122171945701364</v>
          </cell>
          <cell r="BL166">
            <v>9.5933675483616199E-2</v>
          </cell>
          <cell r="BP166">
            <v>0.12895569620253156</v>
          </cell>
        </row>
        <row r="168">
          <cell r="A168" t="str">
            <v xml:space="preserve">TOTAL EYE CARE SALES (IMS) </v>
          </cell>
          <cell r="X168">
            <v>84.118426999999997</v>
          </cell>
          <cell r="Y168">
            <v>26.908002</v>
          </cell>
          <cell r="Z168">
            <v>26.244761</v>
          </cell>
          <cell r="AA168">
            <v>46.204625</v>
          </cell>
          <cell r="AB168">
            <v>99.357388</v>
          </cell>
          <cell r="AC168">
            <v>27.796861</v>
          </cell>
          <cell r="AD168">
            <v>28.133368000000001</v>
          </cell>
          <cell r="AE168">
            <v>35.697344000000001</v>
          </cell>
          <cell r="AF168">
            <v>91.627573000000012</v>
          </cell>
          <cell r="AG168">
            <v>28.274236999999999</v>
          </cell>
          <cell r="AH168">
            <v>27.263259000000001</v>
          </cell>
          <cell r="AI168">
            <v>36.082690999999997</v>
          </cell>
          <cell r="AJ168">
            <v>149.24825199999998</v>
          </cell>
          <cell r="AK168">
            <v>48.018166000000001</v>
          </cell>
          <cell r="AL168">
            <v>48.695751000000001</v>
          </cell>
          <cell r="AM168">
            <v>60.547448000000003</v>
          </cell>
          <cell r="AN168">
            <v>157.26136500000001</v>
          </cell>
          <cell r="AO168">
            <v>50.451157000000002</v>
          </cell>
          <cell r="AP168">
            <v>50.724004999999991</v>
          </cell>
          <cell r="AQ168">
            <v>70.044492000000005</v>
          </cell>
          <cell r="AR168">
            <v>171.21965400000002</v>
          </cell>
          <cell r="AS168">
            <v>60.404252999999997</v>
          </cell>
          <cell r="AT168">
            <v>61.62499900000001</v>
          </cell>
          <cell r="AU168">
            <v>76.308643999999987</v>
          </cell>
          <cell r="AV168">
            <v>198.337896</v>
          </cell>
          <cell r="AW168">
            <v>60.03176599999999</v>
          </cell>
          <cell r="AX168">
            <v>60.374126999999987</v>
          </cell>
          <cell r="AY168">
            <v>73.370480000000001</v>
          </cell>
          <cell r="AZ168">
            <v>193.77637300000001</v>
          </cell>
          <cell r="BA168">
            <v>59.716076999999999</v>
          </cell>
          <cell r="BB168">
            <v>59.035275000000006</v>
          </cell>
          <cell r="BC168">
            <v>70.766413</v>
          </cell>
          <cell r="BD168">
            <v>189.51776499999997</v>
          </cell>
          <cell r="BE168">
            <v>61.596969999999999</v>
          </cell>
          <cell r="BF168">
            <v>62.687152999999995</v>
          </cell>
          <cell r="BG168">
            <v>89.943695000000019</v>
          </cell>
          <cell r="BH168">
            <v>214.22781800000004</v>
          </cell>
          <cell r="BI168">
            <v>67.564566999999997</v>
          </cell>
          <cell r="BJ168">
            <v>69.675747000000001</v>
          </cell>
          <cell r="BK168">
            <v>81.991186999999996</v>
          </cell>
          <cell r="BL168">
            <v>219.23150100000004</v>
          </cell>
          <cell r="BM168">
            <v>64.600569000000007</v>
          </cell>
          <cell r="BN168">
            <v>65.545242000000002</v>
          </cell>
          <cell r="BO168">
            <v>81.463973999999993</v>
          </cell>
          <cell r="BP168">
            <v>211.60978499999999</v>
          </cell>
        </row>
        <row r="169">
          <cell r="A169" t="str">
            <v xml:space="preserve">  % Change</v>
          </cell>
          <cell r="AN169">
            <v>0.86952336852423562</v>
          </cell>
          <cell r="AO169">
            <v>0.8749499498327673</v>
          </cell>
          <cell r="AP169">
            <v>0.93272878347034638</v>
          </cell>
          <cell r="AQ169">
            <v>0.51596278511079796</v>
          </cell>
          <cell r="AR169">
            <v>0.7232704829156742</v>
          </cell>
          <cell r="AS169">
            <v>1.1730602243181343</v>
          </cell>
          <cell r="AT169">
            <v>1.1904593506188101</v>
          </cell>
          <cell r="AU169">
            <v>1.1376560676334906</v>
          </cell>
          <cell r="AV169">
            <v>1.1646092928817398</v>
          </cell>
          <cell r="AW169">
            <v>1.1231966754752745</v>
          </cell>
          <cell r="AX169">
            <v>1.2144867933800572</v>
          </cell>
          <cell r="AY169">
            <v>1.033398229638693</v>
          </cell>
          <cell r="AZ169">
            <v>0.29834936358249631</v>
          </cell>
          <cell r="BA169">
            <v>0.2436142813117852</v>
          </cell>
          <cell r="BB169">
            <v>0.21232907980000149</v>
          </cell>
          <cell r="BC169">
            <v>0.16877614726222645</v>
          </cell>
          <cell r="BD169">
            <v>0.205113315657663</v>
          </cell>
          <cell r="BE169">
            <v>0.22092284226504444</v>
          </cell>
          <cell r="BF169">
            <v>0.23584785941094366</v>
          </cell>
          <cell r="BG169">
            <v>0.28409375857847619</v>
          </cell>
          <cell r="BH169">
            <v>0.25118707458665934</v>
          </cell>
          <cell r="BI169">
            <v>0.11853989817571287</v>
          </cell>
          <cell r="BJ169">
            <v>0.13064094329640463</v>
          </cell>
          <cell r="BK169">
            <v>7.4467880729213398E-2</v>
          </cell>
          <cell r="BL169">
            <v>0.10534348413174666</v>
          </cell>
          <cell r="BM169">
            <v>7.6106423389243893E-2</v>
          </cell>
          <cell r="BN169">
            <v>8.5651176372289584E-2</v>
          </cell>
          <cell r="BO169">
            <v>0.11030995026882739</v>
          </cell>
          <cell r="BP169">
            <v>9.2030889648244019E-2</v>
          </cell>
        </row>
        <row r="171">
          <cell r="A171" t="str">
            <v>REPORTED SALES/TRx EYE CARE</v>
          </cell>
          <cell r="AJ171">
            <v>78.116380677132071</v>
          </cell>
          <cell r="AN171">
            <v>81.063641111110257</v>
          </cell>
          <cell r="AR171">
            <v>84.842779802658001</v>
          </cell>
          <cell r="AV171">
            <v>89.857172149030234</v>
          </cell>
          <cell r="AZ171">
            <v>93.737949037406182</v>
          </cell>
          <cell r="BD171">
            <v>101.7082809358954</v>
          </cell>
          <cell r="BH171">
            <v>99.821963987052854</v>
          </cell>
          <cell r="BL171">
            <v>97.801130420414509</v>
          </cell>
          <cell r="BP171">
            <v>103.18092996603417</v>
          </cell>
        </row>
        <row r="172">
          <cell r="A172" t="str">
            <v>IMS SALES/REPORTED SALES</v>
          </cell>
          <cell r="AJ172">
            <v>0.73702840493827149</v>
          </cell>
          <cell r="AN172">
            <v>0.74602165559772293</v>
          </cell>
          <cell r="AR172">
            <v>0.77474956561085984</v>
          </cell>
          <cell r="AV172">
            <v>0.78301577575996839</v>
          </cell>
          <cell r="AZ172">
            <v>0.76652046281645569</v>
          </cell>
          <cell r="BD172">
            <v>0.69573335168869299</v>
          </cell>
          <cell r="BH172">
            <v>0.78731281881661164</v>
          </cell>
          <cell r="BL172">
            <v>0.78973883645533149</v>
          </cell>
          <cell r="BP172">
            <v>0.74144984232655919</v>
          </cell>
        </row>
        <row r="173">
          <cell r="A173" t="str">
            <v>Product</v>
          </cell>
          <cell r="C173">
            <v>36739</v>
          </cell>
          <cell r="D173">
            <v>36770</v>
          </cell>
          <cell r="E173">
            <v>36800</v>
          </cell>
          <cell r="F173">
            <v>36831</v>
          </cell>
          <cell r="G173">
            <v>36861</v>
          </cell>
          <cell r="H173" t="str">
            <v>Q4:00</v>
          </cell>
          <cell r="I173">
            <v>36892</v>
          </cell>
          <cell r="J173">
            <v>36923</v>
          </cell>
          <cell r="K173">
            <v>36951</v>
          </cell>
          <cell r="L173" t="str">
            <v>Q1:01</v>
          </cell>
          <cell r="M173">
            <v>36982</v>
          </cell>
          <cell r="N173">
            <v>37012</v>
          </cell>
          <cell r="O173">
            <v>37043</v>
          </cell>
          <cell r="P173" t="str">
            <v>Q2:01</v>
          </cell>
          <cell r="Q173">
            <v>37073</v>
          </cell>
          <cell r="R173">
            <v>37104</v>
          </cell>
          <cell r="S173">
            <v>37135</v>
          </cell>
          <cell r="T173" t="str">
            <v>Q3:01</v>
          </cell>
          <cell r="U173">
            <v>37165</v>
          </cell>
          <cell r="V173">
            <v>37196</v>
          </cell>
          <cell r="W173">
            <v>37226</v>
          </cell>
          <cell r="X173" t="str">
            <v>Q4:01</v>
          </cell>
          <cell r="Y173">
            <v>37257</v>
          </cell>
          <cell r="Z173">
            <v>37288</v>
          </cell>
          <cell r="AA173">
            <v>37316</v>
          </cell>
          <cell r="AB173" t="str">
            <v>Q1:02</v>
          </cell>
          <cell r="AC173">
            <v>37347</v>
          </cell>
          <cell r="AD173">
            <v>37377</v>
          </cell>
          <cell r="AE173">
            <v>37408</v>
          </cell>
          <cell r="AF173" t="str">
            <v>Q2:02</v>
          </cell>
          <cell r="AG173">
            <v>37438</v>
          </cell>
          <cell r="AH173">
            <v>37469</v>
          </cell>
          <cell r="AI173">
            <v>37500</v>
          </cell>
          <cell r="AJ173" t="str">
            <v>Q3:02</v>
          </cell>
          <cell r="AK173">
            <v>37530</v>
          </cell>
          <cell r="AL173">
            <v>37561</v>
          </cell>
          <cell r="AM173">
            <v>37591</v>
          </cell>
          <cell r="AN173" t="str">
            <v>Q4:02</v>
          </cell>
          <cell r="AO173">
            <v>37622</v>
          </cell>
          <cell r="AP173">
            <v>37653</v>
          </cell>
          <cell r="AQ173">
            <v>37681</v>
          </cell>
          <cell r="AR173" t="str">
            <v>Q1:03</v>
          </cell>
          <cell r="AS173">
            <v>37712</v>
          </cell>
          <cell r="AT173">
            <v>37742</v>
          </cell>
          <cell r="AU173">
            <v>37773</v>
          </cell>
          <cell r="AV173" t="str">
            <v>Q2:03</v>
          </cell>
          <cell r="AW173">
            <v>37803</v>
          </cell>
          <cell r="AX173">
            <v>37834</v>
          </cell>
          <cell r="AY173">
            <v>37865</v>
          </cell>
          <cell r="AZ173" t="str">
            <v>Q3:03</v>
          </cell>
          <cell r="BA173">
            <v>37895</v>
          </cell>
          <cell r="BB173">
            <v>37926</v>
          </cell>
          <cell r="BC173">
            <v>37956</v>
          </cell>
          <cell r="BD173" t="str">
            <v>Q4:03</v>
          </cell>
          <cell r="BE173">
            <v>37987</v>
          </cell>
          <cell r="BF173">
            <v>38018</v>
          </cell>
          <cell r="BG173">
            <v>38047</v>
          </cell>
          <cell r="BH173" t="str">
            <v>Q1:04</v>
          </cell>
          <cell r="BI173">
            <v>38078</v>
          </cell>
          <cell r="BJ173">
            <v>38108</v>
          </cell>
          <cell r="BK173">
            <v>38139</v>
          </cell>
          <cell r="BL173" t="str">
            <v>Q2:04</v>
          </cell>
          <cell r="BM173">
            <v>38169</v>
          </cell>
          <cell r="BN173">
            <v>38200</v>
          </cell>
          <cell r="BO173">
            <v>38231</v>
          </cell>
          <cell r="BP173" t="str">
            <v>Q3:04A</v>
          </cell>
        </row>
        <row r="174">
          <cell r="A174" t="str">
            <v xml:space="preserve">TAZORAC </v>
          </cell>
        </row>
        <row r="175">
          <cell r="A175" t="str">
            <v>TRx</v>
          </cell>
          <cell r="C175">
            <v>36124</v>
          </cell>
          <cell r="D175">
            <v>32551</v>
          </cell>
          <cell r="E175">
            <v>35067</v>
          </cell>
          <cell r="F175">
            <v>34057</v>
          </cell>
          <cell r="G175">
            <v>34960</v>
          </cell>
          <cell r="H175">
            <v>104084</v>
          </cell>
          <cell r="I175">
            <v>39498</v>
          </cell>
          <cell r="J175">
            <v>36980</v>
          </cell>
          <cell r="K175">
            <v>43415</v>
          </cell>
          <cell r="L175">
            <v>119893</v>
          </cell>
          <cell r="M175">
            <v>41032</v>
          </cell>
          <cell r="N175">
            <v>45734</v>
          </cell>
          <cell r="O175">
            <v>46925</v>
          </cell>
          <cell r="P175">
            <v>133691</v>
          </cell>
          <cell r="Q175">
            <v>49949</v>
          </cell>
          <cell r="R175">
            <v>61872</v>
          </cell>
          <cell r="S175">
            <v>51195</v>
          </cell>
          <cell r="T175">
            <v>163016</v>
          </cell>
          <cell r="U175">
            <v>59062</v>
          </cell>
          <cell r="V175">
            <v>57542</v>
          </cell>
          <cell r="W175">
            <v>56646</v>
          </cell>
          <cell r="X175">
            <v>173250</v>
          </cell>
          <cell r="Y175">
            <v>61112</v>
          </cell>
          <cell r="Z175">
            <v>55083</v>
          </cell>
          <cell r="AA175">
            <v>63996</v>
          </cell>
          <cell r="AB175">
            <v>180191</v>
          </cell>
          <cell r="AC175">
            <v>65992</v>
          </cell>
          <cell r="AD175">
            <v>68992</v>
          </cell>
          <cell r="AE175">
            <v>70219</v>
          </cell>
          <cell r="AF175">
            <v>205203</v>
          </cell>
          <cell r="AG175">
            <v>73874</v>
          </cell>
          <cell r="AH175">
            <v>83105</v>
          </cell>
          <cell r="AI175">
            <v>74525</v>
          </cell>
          <cell r="AJ175">
            <v>231504</v>
          </cell>
          <cell r="AK175">
            <v>79396</v>
          </cell>
          <cell r="AL175">
            <v>73893</v>
          </cell>
          <cell r="AM175">
            <v>74343</v>
          </cell>
          <cell r="AN175">
            <v>227632</v>
          </cell>
          <cell r="AO175">
            <v>76242</v>
          </cell>
          <cell r="AP175">
            <v>63800</v>
          </cell>
          <cell r="AQ175">
            <v>71187</v>
          </cell>
          <cell r="AR175">
            <v>211229</v>
          </cell>
          <cell r="AS175">
            <v>72637</v>
          </cell>
          <cell r="AT175">
            <v>76351</v>
          </cell>
          <cell r="AU175">
            <v>77749</v>
          </cell>
          <cell r="AV175">
            <v>226737</v>
          </cell>
          <cell r="AW175">
            <v>80861</v>
          </cell>
          <cell r="AX175">
            <v>88447</v>
          </cell>
          <cell r="AY175">
            <v>80757</v>
          </cell>
          <cell r="AZ175">
            <v>250065</v>
          </cell>
          <cell r="BA175">
            <v>82665</v>
          </cell>
          <cell r="BB175">
            <v>72959</v>
          </cell>
          <cell r="BC175">
            <v>76272</v>
          </cell>
          <cell r="BD175">
            <v>231896</v>
          </cell>
          <cell r="BE175">
            <v>73822</v>
          </cell>
          <cell r="BF175">
            <v>65953</v>
          </cell>
          <cell r="BG175">
            <v>79355</v>
          </cell>
          <cell r="BH175">
            <v>219130</v>
          </cell>
          <cell r="BI175">
            <v>70530</v>
          </cell>
          <cell r="BJ175">
            <v>72376</v>
          </cell>
          <cell r="BK175">
            <v>78785</v>
          </cell>
          <cell r="BL175">
            <v>221691</v>
          </cell>
          <cell r="BM175">
            <v>77599</v>
          </cell>
          <cell r="BN175">
            <v>88053</v>
          </cell>
          <cell r="BO175">
            <v>76699</v>
          </cell>
          <cell r="BP175">
            <v>242351</v>
          </cell>
        </row>
        <row r="176">
          <cell r="A176" t="str">
            <v xml:space="preserve">  % Change</v>
          </cell>
          <cell r="R176">
            <v>0.71276713542243386</v>
          </cell>
          <cell r="S176">
            <v>0.57276274154403861</v>
          </cell>
          <cell r="U176">
            <v>0.68426155644908326</v>
          </cell>
          <cell r="V176">
            <v>0.68957923481222649</v>
          </cell>
          <cell r="W176">
            <v>0.62030892448512587</v>
          </cell>
          <cell r="X176">
            <v>0.66452096383690096</v>
          </cell>
          <cell r="Y176">
            <v>0.54721758063699433</v>
          </cell>
          <cell r="Z176">
            <v>0.48953488372093013</v>
          </cell>
          <cell r="AA176">
            <v>0.4740527467465161</v>
          </cell>
          <cell r="AB176">
            <v>0.5029317808379139</v>
          </cell>
          <cell r="AC176">
            <v>0.6083057126145448</v>
          </cell>
          <cell r="AD176">
            <v>0.50854943805483876</v>
          </cell>
          <cell r="AE176">
            <v>0.49640916355887055</v>
          </cell>
          <cell r="AF176">
            <v>0.53490511702358434</v>
          </cell>
          <cell r="AG176">
            <v>0.4789885683397066</v>
          </cell>
          <cell r="AH176">
            <v>0.34317623480734416</v>
          </cell>
          <cell r="AI176">
            <v>0.45570856528957915</v>
          </cell>
          <cell r="AJ176">
            <v>0.42013053933356237</v>
          </cell>
          <cell r="AK176">
            <v>0.34428227963834623</v>
          </cell>
          <cell r="AL176">
            <v>0.2841576587536061</v>
          </cell>
          <cell r="AM176">
            <v>0.31241393920135585</v>
          </cell>
          <cell r="AN176">
            <v>0.31389321789321789</v>
          </cell>
          <cell r="AO176">
            <v>0.24757821704411564</v>
          </cell>
          <cell r="AP176">
            <v>0.15825209229707893</v>
          </cell>
          <cell r="AQ176">
            <v>0.1123663978998688</v>
          </cell>
          <cell r="AR176">
            <v>0.17225055635409103</v>
          </cell>
          <cell r="AS176">
            <v>0.10069402351800227</v>
          </cell>
          <cell r="AT176">
            <v>0.10666454081632648</v>
          </cell>
          <cell r="AU176">
            <v>0.1072359332944075</v>
          </cell>
          <cell r="AV176">
            <v>0.10493998625751089</v>
          </cell>
          <cell r="AW176">
            <v>9.4579960473238245E-2</v>
          </cell>
          <cell r="AX176">
            <v>6.4280127549485533E-2</v>
          </cell>
          <cell r="AY176">
            <v>8.3622945320362296E-2</v>
          </cell>
          <cell r="AZ176">
            <v>8.0175720505909265E-2</v>
          </cell>
          <cell r="BA176">
            <v>4.1173358859388332E-2</v>
          </cell>
          <cell r="BB176">
            <v>-1.2639898231226243E-2</v>
          </cell>
          <cell r="BC176">
            <v>2.5947298333400592E-2</v>
          </cell>
          <cell r="BD176">
            <v>1.8731988472622474E-2</v>
          </cell>
          <cell r="BE176">
            <v>-3.1741035124996708E-2</v>
          </cell>
          <cell r="BF176">
            <v>3.3746081504702152E-2</v>
          </cell>
          <cell r="BG176">
            <v>0.11474005085198136</v>
          </cell>
          <cell r="BH176">
            <v>3.7404901789053646E-2</v>
          </cell>
          <cell r="BI176">
            <v>-2.9007255255586006E-2</v>
          </cell>
          <cell r="BJ176">
            <v>-5.2062186480858141E-2</v>
          </cell>
          <cell r="BK176">
            <v>1.3324930224182907E-2</v>
          </cell>
          <cell r="BL176">
            <v>-2.225485915399783E-2</v>
          </cell>
          <cell r="BM176">
            <v>-4.0340831797776477E-2</v>
          </cell>
          <cell r="BN176">
            <v>-4.4546451547253785E-3</v>
          </cell>
          <cell r="BO176">
            <v>-5.0249513974020776E-2</v>
          </cell>
          <cell r="BP176">
            <v>-3.0847979525323366E-2</v>
          </cell>
        </row>
        <row r="177">
          <cell r="A177" t="str">
            <v>NRx</v>
          </cell>
          <cell r="C177">
            <v>27375</v>
          </cell>
          <cell r="D177">
            <v>24240</v>
          </cell>
          <cell r="E177">
            <v>26596</v>
          </cell>
          <cell r="F177">
            <v>25454</v>
          </cell>
          <cell r="G177">
            <v>26046</v>
          </cell>
          <cell r="H177">
            <v>78096</v>
          </cell>
          <cell r="I177">
            <v>30558</v>
          </cell>
          <cell r="J177">
            <v>28870</v>
          </cell>
          <cell r="K177">
            <v>33654</v>
          </cell>
          <cell r="L177">
            <v>93082</v>
          </cell>
          <cell r="M177">
            <v>31313</v>
          </cell>
          <cell r="N177">
            <v>34854</v>
          </cell>
          <cell r="O177">
            <v>35877</v>
          </cell>
          <cell r="P177">
            <v>102044</v>
          </cell>
          <cell r="Q177">
            <v>37957</v>
          </cell>
          <cell r="R177">
            <v>48072</v>
          </cell>
          <cell r="S177">
            <v>38223</v>
          </cell>
          <cell r="T177">
            <v>124252</v>
          </cell>
          <cell r="U177">
            <v>45079</v>
          </cell>
          <cell r="V177">
            <v>43245</v>
          </cell>
          <cell r="W177">
            <v>41546</v>
          </cell>
          <cell r="X177">
            <v>129870</v>
          </cell>
          <cell r="Y177">
            <v>45944</v>
          </cell>
          <cell r="Z177">
            <v>41501</v>
          </cell>
          <cell r="AA177">
            <v>48535</v>
          </cell>
          <cell r="AB177">
            <v>135980</v>
          </cell>
          <cell r="AC177">
            <v>49676</v>
          </cell>
          <cell r="AD177">
            <v>51652</v>
          </cell>
          <cell r="AE177">
            <v>52570</v>
          </cell>
          <cell r="AF177">
            <v>153898</v>
          </cell>
          <cell r="AG177">
            <v>54868</v>
          </cell>
          <cell r="AH177">
            <v>62407</v>
          </cell>
          <cell r="AI177">
            <v>54762</v>
          </cell>
          <cell r="AJ177">
            <v>172037</v>
          </cell>
          <cell r="AK177">
            <v>59329</v>
          </cell>
          <cell r="AL177">
            <v>54584</v>
          </cell>
          <cell r="AM177">
            <v>52812</v>
          </cell>
          <cell r="AN177">
            <v>166725</v>
          </cell>
          <cell r="AO177">
            <v>56071</v>
          </cell>
          <cell r="AP177">
            <v>46485</v>
          </cell>
          <cell r="AQ177">
            <v>51619</v>
          </cell>
          <cell r="AR177">
            <v>154175</v>
          </cell>
          <cell r="AS177">
            <v>53261</v>
          </cell>
          <cell r="AT177">
            <v>55962</v>
          </cell>
          <cell r="AU177">
            <v>57309</v>
          </cell>
          <cell r="AV177">
            <v>166532</v>
          </cell>
          <cell r="AW177">
            <v>60074</v>
          </cell>
          <cell r="AX177">
            <v>66299</v>
          </cell>
          <cell r="AY177">
            <v>60270</v>
          </cell>
          <cell r="AZ177">
            <v>186643</v>
          </cell>
          <cell r="BA177">
            <v>62345</v>
          </cell>
          <cell r="BB177">
            <v>53951</v>
          </cell>
          <cell r="BC177">
            <v>55226</v>
          </cell>
          <cell r="BD177">
            <v>171522</v>
          </cell>
          <cell r="BE177">
            <v>54748</v>
          </cell>
          <cell r="BF177">
            <v>49026</v>
          </cell>
          <cell r="BG177">
            <v>59680</v>
          </cell>
          <cell r="BH177">
            <v>163454</v>
          </cell>
          <cell r="BI177">
            <v>52404</v>
          </cell>
          <cell r="BJ177">
            <v>53617</v>
          </cell>
          <cell r="BK177">
            <v>58475</v>
          </cell>
          <cell r="BL177">
            <v>164496</v>
          </cell>
          <cell r="BM177">
            <v>57903</v>
          </cell>
          <cell r="BN177">
            <v>66577</v>
          </cell>
          <cell r="BO177">
            <v>57477</v>
          </cell>
          <cell r="BP177">
            <v>181957</v>
          </cell>
        </row>
        <row r="178">
          <cell r="A178" t="str">
            <v xml:space="preserve">  % Change</v>
          </cell>
          <cell r="R178">
            <v>0.75605479452054802</v>
          </cell>
          <cell r="S178">
            <v>0.57685643564356437</v>
          </cell>
          <cell r="U178">
            <v>0.69495412844036708</v>
          </cell>
          <cell r="V178">
            <v>0.69894712029543493</v>
          </cell>
          <cell r="W178">
            <v>0.5951009751977272</v>
          </cell>
          <cell r="X178">
            <v>0.6629532882606024</v>
          </cell>
          <cell r="Y178">
            <v>0.50350153805877351</v>
          </cell>
          <cell r="Z178">
            <v>0.43751298926220983</v>
          </cell>
          <cell r="AA178">
            <v>0.44217626433707724</v>
          </cell>
          <cell r="AB178">
            <v>0.46086246535312947</v>
          </cell>
          <cell r="AC178">
            <v>0.58643374956088534</v>
          </cell>
          <cell r="AD178">
            <v>0.48195329087048822</v>
          </cell>
          <cell r="AE178">
            <v>0.46528416534269867</v>
          </cell>
          <cell r="AF178">
            <v>0.50815334561561687</v>
          </cell>
          <cell r="AG178">
            <v>0.44553046868825241</v>
          </cell>
          <cell r="AH178">
            <v>0.29819853553003828</v>
          </cell>
          <cell r="AI178">
            <v>0.4326975904560082</v>
          </cell>
          <cell r="AJ178">
            <v>0.38458133470688605</v>
          </cell>
          <cell r="AK178">
            <v>0.31611171498924118</v>
          </cell>
          <cell r="AL178">
            <v>0.26220372297375416</v>
          </cell>
          <cell r="AM178">
            <v>0.27116930631107694</v>
          </cell>
          <cell r="AN178">
            <v>0.28378378378378377</v>
          </cell>
          <cell r="AO178">
            <v>0.22042051192756396</v>
          </cell>
          <cell r="AP178">
            <v>0.12009349172309092</v>
          </cell>
          <cell r="AQ178">
            <v>6.3541773977541904E-2</v>
          </cell>
          <cell r="AR178">
            <v>0.13380644212384185</v>
          </cell>
          <cell r="AS178">
            <v>7.2167646348337167E-2</v>
          </cell>
          <cell r="AT178">
            <v>8.3443041895763903E-2</v>
          </cell>
          <cell r="AU178">
            <v>9.0146471371504555E-2</v>
          </cell>
          <cell r="AV178">
            <v>8.2093334546258001E-2</v>
          </cell>
          <cell r="AW178">
            <v>9.4882262885470636E-2</v>
          </cell>
          <cell r="AX178">
            <v>6.2364798820645051E-2</v>
          </cell>
          <cell r="AY178">
            <v>0.10058069464227026</v>
          </cell>
          <cell r="AZ178">
            <v>8.4900341205670804E-2</v>
          </cell>
          <cell r="BA178">
            <v>5.0835173355357366E-2</v>
          </cell>
          <cell r="BB178">
            <v>-1.1596804924519977E-2</v>
          </cell>
          <cell r="BC178">
            <v>4.5709308490494482E-2</v>
          </cell>
          <cell r="BD178">
            <v>2.8771929824561449E-2</v>
          </cell>
          <cell r="BE178">
            <v>-2.3595084803195943E-2</v>
          </cell>
          <cell r="BF178">
            <v>5.4662794449822583E-2</v>
          </cell>
          <cell r="BG178">
            <v>0.15616342819504436</v>
          </cell>
          <cell r="BH178">
            <v>6.0184854872709526E-2</v>
          </cell>
          <cell r="BI178">
            <v>-1.6090572839413508E-2</v>
          </cell>
          <cell r="BJ178">
            <v>-4.190343447339262E-2</v>
          </cell>
          <cell r="BK178">
            <v>2.0345844457240636E-2</v>
          </cell>
          <cell r="BL178">
            <v>-1.2225878509835919E-2</v>
          </cell>
          <cell r="BM178">
            <v>-3.6138762193294927E-2</v>
          </cell>
          <cell r="BN178">
            <v>4.1931250848428192E-3</v>
          </cell>
          <cell r="BO178">
            <v>-4.6341463414634188E-2</v>
          </cell>
          <cell r="BP178">
            <v>-2.510675460638756E-2</v>
          </cell>
        </row>
        <row r="179">
          <cell r="A179" t="str">
            <v>DERMATOLOGICAL PREP,OTH : 37800 TRx</v>
          </cell>
          <cell r="V179">
            <v>554150</v>
          </cell>
          <cell r="W179">
            <v>539397</v>
          </cell>
          <cell r="X179">
            <v>1093547</v>
          </cell>
          <cell r="Y179">
            <v>592562</v>
          </cell>
          <cell r="Z179">
            <v>547297</v>
          </cell>
          <cell r="AA179">
            <v>647179</v>
          </cell>
          <cell r="AB179">
            <v>1787038</v>
          </cell>
          <cell r="AC179">
            <v>712811</v>
          </cell>
          <cell r="AD179">
            <v>760675</v>
          </cell>
          <cell r="AE179">
            <v>723927</v>
          </cell>
          <cell r="AF179">
            <v>2197413</v>
          </cell>
          <cell r="AG179">
            <v>753730</v>
          </cell>
          <cell r="AH179">
            <v>783376</v>
          </cell>
          <cell r="AI179">
            <v>727429</v>
          </cell>
          <cell r="AJ179">
            <v>2264535</v>
          </cell>
          <cell r="AK179">
            <v>783094</v>
          </cell>
          <cell r="AL179">
            <v>749976</v>
          </cell>
          <cell r="AM179">
            <v>767099</v>
          </cell>
          <cell r="AN179">
            <v>2300169</v>
          </cell>
          <cell r="AO179">
            <v>839093</v>
          </cell>
          <cell r="AP179">
            <v>761413</v>
          </cell>
          <cell r="AQ179">
            <v>872673</v>
          </cell>
          <cell r="AR179">
            <v>2473179</v>
          </cell>
          <cell r="AS179">
            <v>907295</v>
          </cell>
          <cell r="AT179">
            <v>913334</v>
          </cell>
          <cell r="AU179">
            <v>900413</v>
          </cell>
          <cell r="AV179">
            <v>2721042</v>
          </cell>
          <cell r="AW179">
            <v>900323</v>
          </cell>
          <cell r="AX179">
            <v>877651</v>
          </cell>
          <cell r="AY179">
            <v>855911</v>
          </cell>
          <cell r="AZ179">
            <v>2633885</v>
          </cell>
          <cell r="BA179">
            <v>901537</v>
          </cell>
          <cell r="BB179">
            <v>811207</v>
          </cell>
          <cell r="BC179">
            <v>890990</v>
          </cell>
          <cell r="BD179">
            <v>2603734</v>
          </cell>
          <cell r="BE179">
            <v>887124</v>
          </cell>
          <cell r="BF179">
            <v>886208</v>
          </cell>
          <cell r="BG179">
            <v>1038962</v>
          </cell>
          <cell r="BH179">
            <v>2812294</v>
          </cell>
          <cell r="BI179">
            <v>972858</v>
          </cell>
          <cell r="BJ179">
            <v>917675</v>
          </cell>
          <cell r="BK179">
            <v>942140</v>
          </cell>
          <cell r="BL179">
            <v>2832673</v>
          </cell>
          <cell r="BM179">
            <v>893589</v>
          </cell>
          <cell r="BN179">
            <v>918965</v>
          </cell>
          <cell r="BO179">
            <v>888785</v>
          </cell>
          <cell r="BP179">
            <v>2701339</v>
          </cell>
        </row>
        <row r="180">
          <cell r="A180" t="str">
            <v>DERMATOLOGICAL PREP,OTH: 37800 NRx</v>
          </cell>
          <cell r="V180">
            <v>368837</v>
          </cell>
          <cell r="W180">
            <v>346575</v>
          </cell>
          <cell r="X180">
            <v>715412</v>
          </cell>
          <cell r="Y180">
            <v>395586</v>
          </cell>
          <cell r="Z180">
            <v>369503</v>
          </cell>
          <cell r="AA180">
            <v>445957</v>
          </cell>
          <cell r="AB180">
            <v>1211046</v>
          </cell>
          <cell r="AC180">
            <v>502493</v>
          </cell>
          <cell r="AD180">
            <v>539182</v>
          </cell>
          <cell r="AE180">
            <v>509555</v>
          </cell>
          <cell r="AF180">
            <v>1551230</v>
          </cell>
          <cell r="AG180">
            <v>527724</v>
          </cell>
          <cell r="AH180">
            <v>554875</v>
          </cell>
          <cell r="AI180">
            <v>506751</v>
          </cell>
          <cell r="AJ180">
            <v>1589350</v>
          </cell>
          <cell r="AK180">
            <v>551221</v>
          </cell>
          <cell r="AL180">
            <v>524997</v>
          </cell>
          <cell r="AM180">
            <v>517467</v>
          </cell>
          <cell r="AN180">
            <v>1593685</v>
          </cell>
          <cell r="AO180">
            <v>591509</v>
          </cell>
          <cell r="AP180">
            <v>535298</v>
          </cell>
          <cell r="AQ180">
            <v>611538</v>
          </cell>
          <cell r="AR180">
            <v>1738345</v>
          </cell>
          <cell r="AS180">
            <v>642937</v>
          </cell>
          <cell r="AT180">
            <v>641345</v>
          </cell>
          <cell r="AU180">
            <v>628875</v>
          </cell>
          <cell r="AV180">
            <v>1913157</v>
          </cell>
          <cell r="AW180">
            <v>627716</v>
          </cell>
          <cell r="AX180">
            <v>612874</v>
          </cell>
          <cell r="AY180">
            <v>597727</v>
          </cell>
          <cell r="AZ180">
            <v>1838317</v>
          </cell>
          <cell r="BA180">
            <v>634718</v>
          </cell>
          <cell r="BB180">
            <v>562217</v>
          </cell>
          <cell r="BC180">
            <v>605724</v>
          </cell>
          <cell r="BD180">
            <v>1802659</v>
          </cell>
          <cell r="BE180">
            <v>618841</v>
          </cell>
          <cell r="BF180">
            <v>630682</v>
          </cell>
          <cell r="BG180">
            <v>743318</v>
          </cell>
          <cell r="BH180">
            <v>1992841</v>
          </cell>
          <cell r="BI180">
            <v>692352</v>
          </cell>
          <cell r="BJ180">
            <v>645570</v>
          </cell>
          <cell r="BK180">
            <v>657867</v>
          </cell>
          <cell r="BL180">
            <v>1995789</v>
          </cell>
          <cell r="BM180">
            <v>622398</v>
          </cell>
          <cell r="BN180">
            <v>648535</v>
          </cell>
          <cell r="BO180">
            <v>627083</v>
          </cell>
          <cell r="BP180">
            <v>1898016</v>
          </cell>
        </row>
        <row r="181">
          <cell r="A181" t="str">
            <v>TRx Market Growth</v>
          </cell>
          <cell r="AL181">
            <v>0.35338085355950555</v>
          </cell>
          <cell r="AM181">
            <v>0.42214176200460884</v>
          </cell>
          <cell r="AN181">
            <v>1.1034020485630704</v>
          </cell>
          <cell r="AO181">
            <v>0.41604254069616342</v>
          </cell>
          <cell r="AP181">
            <v>0.3912245088133135</v>
          </cell>
          <cell r="AQ181">
            <v>0.34842601505920312</v>
          </cell>
          <cell r="AR181">
            <v>0.38395434232512127</v>
          </cell>
          <cell r="AS181">
            <v>0.27284090733728861</v>
          </cell>
          <cell r="AT181">
            <v>0.20068886186610579</v>
          </cell>
          <cell r="AU181">
            <v>0.24378977438332861</v>
          </cell>
          <cell r="AV181">
            <v>0.23829339318553222</v>
          </cell>
          <cell r="AW181">
            <v>0.19449006938824254</v>
          </cell>
          <cell r="AX181">
            <v>0.12034450889483472</v>
          </cell>
          <cell r="AY181">
            <v>0.17662479774658424</v>
          </cell>
          <cell r="AZ181">
            <v>0.16310191717063316</v>
          </cell>
          <cell r="BA181">
            <v>0.15125004150204191</v>
          </cell>
          <cell r="BB181">
            <v>8.1643945939603446E-2</v>
          </cell>
          <cell r="BC181">
            <v>0.16150588124870446</v>
          </cell>
          <cell r="BD181">
            <v>0.13197508530894897</v>
          </cell>
          <cell r="BE181">
            <v>5.7241569170521034E-2</v>
          </cell>
          <cell r="BF181">
            <v>0.16389922420552305</v>
          </cell>
          <cell r="BG181">
            <v>0.19055132907744365</v>
          </cell>
          <cell r="BH181">
            <v>0.13711704652190559</v>
          </cell>
          <cell r="BI181">
            <v>7.2262053687058847E-2</v>
          </cell>
          <cell r="BJ181">
            <v>4.7529162387471846E-3</v>
          </cell>
          <cell r="BK181">
            <v>4.6342067473481574E-2</v>
          </cell>
          <cell r="BL181">
            <v>4.1025092593205192E-2</v>
          </cell>
          <cell r="BM181">
            <v>-7.479537899176214E-3</v>
          </cell>
          <cell r="BN181">
            <v>4.7073381104789869E-2</v>
          </cell>
          <cell r="BO181">
            <v>3.8408198983305608E-2</v>
          </cell>
          <cell r="BP181">
            <v>2.561007788874603E-2</v>
          </cell>
        </row>
        <row r="182">
          <cell r="A182" t="str">
            <v>NRx Market Growth</v>
          </cell>
          <cell r="AL182">
            <v>0.42338485564083861</v>
          </cell>
          <cell r="AM182">
            <v>0.49308807617398842</v>
          </cell>
          <cell r="AN182">
            <v>1.2276464470822406</v>
          </cell>
          <cell r="AO182">
            <v>0.49527283574241765</v>
          </cell>
          <cell r="AP182">
            <v>0.44869730421674525</v>
          </cell>
          <cell r="AQ182">
            <v>0.371293644902984</v>
          </cell>
          <cell r="AR182">
            <v>0.43540790358087134</v>
          </cell>
          <cell r="AS182">
            <v>0.2794944407185771</v>
          </cell>
          <cell r="AT182">
            <v>0.18947776446543108</v>
          </cell>
          <cell r="AU182">
            <v>0.23416510484638553</v>
          </cell>
          <cell r="AV182">
            <v>0.23331614267387812</v>
          </cell>
          <cell r="AW182">
            <v>0.18947783310973154</v>
          </cell>
          <cell r="AX182">
            <v>0.10452624464969595</v>
          </cell>
          <cell r="AY182">
            <v>0.17952801277155839</v>
          </cell>
          <cell r="AZ182">
            <v>0.15664705697297632</v>
          </cell>
          <cell r="BA182">
            <v>0.15147644955471584</v>
          </cell>
          <cell r="BB182">
            <v>7.08956432131993E-2</v>
          </cell>
          <cell r="BC182">
            <v>0.17055580355848776</v>
          </cell>
          <cell r="BD182">
            <v>0.13112628907218182</v>
          </cell>
          <cell r="BE182">
            <v>4.620724283146993E-2</v>
          </cell>
          <cell r="BF182">
            <v>0.17818859775302731</v>
          </cell>
          <cell r="BG182">
            <v>0.21548947080966352</v>
          </cell>
          <cell r="BH182">
            <v>0.14640131849546556</v>
          </cell>
          <cell r="BI182">
            <v>7.6858230277616624E-2</v>
          </cell>
          <cell r="BJ182">
            <v>6.5877179988929058E-3</v>
          </cell>
          <cell r="BK182">
            <v>4.6101371496720445E-2</v>
          </cell>
          <cell r="BL182">
            <v>4.3191436980864584E-2</v>
          </cell>
          <cell r="BM182">
            <v>-8.4719841456964984E-3</v>
          </cell>
          <cell r="BN182">
            <v>5.8186511419965559E-2</v>
          </cell>
          <cell r="BO182">
            <v>4.9112722028618494E-2</v>
          </cell>
          <cell r="BP182">
            <v>3.247481255953133E-2</v>
          </cell>
        </row>
        <row r="183">
          <cell r="A183" t="str">
            <v>TRx Market Share</v>
          </cell>
          <cell r="V183">
            <v>0.10383831092664442</v>
          </cell>
          <cell r="W183">
            <v>0.10501726928403383</v>
          </cell>
          <cell r="X183">
            <v>0.15842940449747472</v>
          </cell>
          <cell r="Y183">
            <v>0.10313182418042331</v>
          </cell>
          <cell r="Z183">
            <v>0.10064553615313075</v>
          </cell>
          <cell r="AA183">
            <v>9.8884543534323577E-2</v>
          </cell>
          <cell r="AB183">
            <v>0.10083221509559394</v>
          </cell>
          <cell r="AC183">
            <v>9.257994054524972E-2</v>
          </cell>
          <cell r="AD183">
            <v>9.0698392874749401E-2</v>
          </cell>
          <cell r="AE183">
            <v>9.6997349180235018E-2</v>
          </cell>
          <cell r="AF183">
            <v>9.3383901888265883E-2</v>
          </cell>
          <cell r="AG183">
            <v>9.8011224178419329E-2</v>
          </cell>
          <cell r="AH183">
            <v>0.10608571107616266</v>
          </cell>
          <cell r="AI183">
            <v>0.10244986108609913</v>
          </cell>
          <cell r="AJ183">
            <v>0.10223025919228451</v>
          </cell>
          <cell r="AK183">
            <v>0.1013875728839705</v>
          </cell>
          <cell r="AL183">
            <v>9.8527152868891799E-2</v>
          </cell>
          <cell r="AM183">
            <v>9.6914479095918521E-2</v>
          </cell>
          <cell r="AN183">
            <v>9.8963163141490909E-2</v>
          </cell>
          <cell r="AO183">
            <v>9.0862395467486923E-2</v>
          </cell>
          <cell r="AP183">
            <v>8.3791582229355163E-2</v>
          </cell>
          <cell r="AQ183">
            <v>8.1573510352675058E-2</v>
          </cell>
          <cell r="AR183">
            <v>8.5407890007152737E-2</v>
          </cell>
          <cell r="AS183">
            <v>8.0058856270562501E-2</v>
          </cell>
          <cell r="AT183">
            <v>8.3595924382536949E-2</v>
          </cell>
          <cell r="AU183">
            <v>8.6348153569528643E-2</v>
          </cell>
          <cell r="AV183">
            <v>8.332726947985368E-2</v>
          </cell>
          <cell r="AW183">
            <v>8.9813322552017447E-2</v>
          </cell>
          <cell r="AX183">
            <v>0.10077696031793959</v>
          </cell>
          <cell r="AY183">
            <v>9.4352099692608229E-2</v>
          </cell>
          <cell r="AZ183">
            <v>9.494150276113042E-2</v>
          </cell>
          <cell r="BA183">
            <v>9.169340803538846E-2</v>
          </cell>
          <cell r="BB183">
            <v>8.9938819561468278E-2</v>
          </cell>
          <cell r="BC183">
            <v>8.5603654362001819E-2</v>
          </cell>
          <cell r="BD183">
            <v>8.9062861260021178E-2</v>
          </cell>
          <cell r="BE183">
            <v>8.3214973329545819E-2</v>
          </cell>
          <cell r="BF183">
            <v>7.4421580486748032E-2</v>
          </cell>
          <cell r="BG183">
            <v>7.6379116849316919E-2</v>
          </cell>
          <cell r="BH183">
            <v>7.7918595993164294E-2</v>
          </cell>
          <cell r="BI183">
            <v>7.2497733482173143E-2</v>
          </cell>
          <cell r="BJ183">
            <v>7.8868880594981886E-2</v>
          </cell>
          <cell r="BK183">
            <v>8.3623452990001484E-2</v>
          </cell>
          <cell r="BL183">
            <v>7.8262122031028641E-2</v>
          </cell>
          <cell r="BM183">
            <v>8.6839699235330789E-2</v>
          </cell>
          <cell r="BN183">
            <v>9.5817577383251806E-2</v>
          </cell>
          <cell r="BO183">
            <v>8.6296460898867555E-2</v>
          </cell>
          <cell r="BP183">
            <v>8.9715137566962158E-2</v>
          </cell>
        </row>
        <row r="184">
          <cell r="A184" t="str">
            <v>NRx Market Share</v>
          </cell>
          <cell r="V184">
            <v>0.11724691394843793</v>
          </cell>
          <cell r="W184">
            <v>0.11987592873115488</v>
          </cell>
          <cell r="X184">
            <v>0.18153176071969718</v>
          </cell>
          <cell r="Y184">
            <v>0.11614162280768278</v>
          </cell>
          <cell r="Z184">
            <v>0.11231573221327026</v>
          </cell>
          <cell r="AA184">
            <v>0.10883336285785401</v>
          </cell>
          <cell r="AB184">
            <v>0.11228310072449767</v>
          </cell>
          <cell r="AC184">
            <v>9.8859088584318591E-2</v>
          </cell>
          <cell r="AD184">
            <v>9.5796966515944521E-2</v>
          </cell>
          <cell r="AE184">
            <v>0.1031684509032391</v>
          </cell>
          <cell r="AF184">
            <v>9.9210304081277442E-2</v>
          </cell>
          <cell r="AG184">
            <v>0.10397101515185968</v>
          </cell>
          <cell r="AH184">
            <v>0.1124703762108583</v>
          </cell>
          <cell r="AI184">
            <v>0.10806490761735053</v>
          </cell>
          <cell r="AJ184">
            <v>0.10824362160631705</v>
          </cell>
          <cell r="AK184">
            <v>0.10763196612610913</v>
          </cell>
          <cell r="AL184">
            <v>0.10397011792448338</v>
          </cell>
          <cell r="AM184">
            <v>0.10205868200291034</v>
          </cell>
          <cell r="AN184">
            <v>0.10461603139892764</v>
          </cell>
          <cell r="AO184">
            <v>9.4793147695132279E-2</v>
          </cell>
          <cell r="AP184">
            <v>8.6839480065309421E-2</v>
          </cell>
          <cell r="AQ184">
            <v>8.4408491377477773E-2</v>
          </cell>
          <cell r="AR184">
            <v>8.8690679928322635E-2</v>
          </cell>
          <cell r="AS184">
            <v>8.2840153856443166E-2</v>
          </cell>
          <cell r="AT184">
            <v>8.7257248438827775E-2</v>
          </cell>
          <cell r="AU184">
            <v>9.1129397734048892E-2</v>
          </cell>
          <cell r="AV184">
            <v>8.7045652813647803E-2</v>
          </cell>
          <cell r="AW184">
            <v>9.5702515150163453E-2</v>
          </cell>
          <cell r="AX184">
            <v>0.10817721097648129</v>
          </cell>
          <cell r="AY184">
            <v>0.10083198517048753</v>
          </cell>
          <cell r="AZ184">
            <v>0.10152927922659694</v>
          </cell>
          <cell r="BA184">
            <v>9.8224723420479651E-2</v>
          </cell>
          <cell r="BB184">
            <v>9.5961168018754331E-2</v>
          </cell>
          <cell r="BC184">
            <v>9.1173537782884617E-2</v>
          </cell>
          <cell r="BD184">
            <v>9.5149443128178982E-2</v>
          </cell>
          <cell r="BE184">
            <v>8.8468605021322116E-2</v>
          </cell>
          <cell r="BF184">
            <v>7.7734896508858661E-2</v>
          </cell>
          <cell r="BG184">
            <v>8.0288651694160509E-2</v>
          </cell>
          <cell r="BH184">
            <v>8.2020592711611218E-2</v>
          </cell>
          <cell r="BI184">
            <v>7.5689822518025515E-2</v>
          </cell>
          <cell r="BJ184">
            <v>8.3053735458586991E-2</v>
          </cell>
          <cell r="BK184">
            <v>8.8885747423111353E-2</v>
          </cell>
          <cell r="BL184">
            <v>8.2421538549415793E-2</v>
          </cell>
          <cell r="BM184">
            <v>9.3032111285704641E-2</v>
          </cell>
          <cell r="BN184">
            <v>0.10265752812107289</v>
          </cell>
          <cell r="BO184">
            <v>9.1657723140317948E-2</v>
          </cell>
          <cell r="BP184">
            <v>9.5866947380844003E-2</v>
          </cell>
        </row>
        <row r="185">
          <cell r="A185" t="str">
            <v>Price Change (YoY)</v>
          </cell>
          <cell r="H185">
            <v>0</v>
          </cell>
          <cell r="L185">
            <v>0</v>
          </cell>
          <cell r="P185">
            <v>0</v>
          </cell>
          <cell r="T185">
            <v>0</v>
          </cell>
          <cell r="X185">
            <v>0</v>
          </cell>
          <cell r="AB185">
            <v>0</v>
          </cell>
          <cell r="AF185">
            <v>0</v>
          </cell>
          <cell r="AI185">
            <v>0.05</v>
          </cell>
          <cell r="AJ185">
            <v>0.05</v>
          </cell>
          <cell r="AN185">
            <v>0.05</v>
          </cell>
          <cell r="AR185">
            <v>0.05</v>
          </cell>
          <cell r="AS185">
            <v>0.09</v>
          </cell>
          <cell r="AV185">
            <v>0.14000000000000001</v>
          </cell>
          <cell r="AZ185">
            <v>0.09</v>
          </cell>
          <cell r="BD185">
            <v>0.09</v>
          </cell>
          <cell r="BH185">
            <v>0.09</v>
          </cell>
          <cell r="BL185">
            <v>0</v>
          </cell>
          <cell r="BM185">
            <v>8.9996883764412505E-2</v>
          </cell>
          <cell r="BP185">
            <v>8.9996883764412505E-2</v>
          </cell>
        </row>
        <row r="186">
          <cell r="A186" t="str">
            <v>Sales (IMS)</v>
          </cell>
          <cell r="C186">
            <v>2.7116470000000001</v>
          </cell>
          <cell r="D186">
            <v>3.2221359999999999</v>
          </cell>
          <cell r="E186">
            <v>2.6332420000000001</v>
          </cell>
          <cell r="F186">
            <v>2.586392</v>
          </cell>
          <cell r="G186">
            <v>3.4827699999999999</v>
          </cell>
          <cell r="H186">
            <v>8.7024040000000014</v>
          </cell>
          <cell r="I186">
            <v>3.305345</v>
          </cell>
          <cell r="J186">
            <v>3.4360029999999999</v>
          </cell>
          <cell r="K186">
            <v>4.3856489999999999</v>
          </cell>
          <cell r="L186">
            <v>11.126996999999999</v>
          </cell>
          <cell r="M186">
            <v>3.454574</v>
          </cell>
          <cell r="N186">
            <v>3.6753840000000002</v>
          </cell>
          <cell r="O186">
            <v>4.6664580000000004</v>
          </cell>
          <cell r="P186">
            <v>11.796416000000001</v>
          </cell>
          <cell r="Q186">
            <v>3.8762110000000001</v>
          </cell>
          <cell r="R186">
            <v>4.4947850000000003</v>
          </cell>
          <cell r="S186">
            <v>5.2508280000000003</v>
          </cell>
          <cell r="T186">
            <v>13.621824</v>
          </cell>
          <cell r="U186">
            <v>4.428744</v>
          </cell>
          <cell r="V186">
            <v>5.4429509999999999</v>
          </cell>
          <cell r="W186">
            <v>5.1624340000000002</v>
          </cell>
          <cell r="X186">
            <v>15.034129</v>
          </cell>
          <cell r="Y186">
            <v>4.3701720000000002</v>
          </cell>
          <cell r="Z186">
            <v>4.4189080000000001</v>
          </cell>
          <cell r="AA186">
            <v>5.9576969999999996</v>
          </cell>
          <cell r="AB186">
            <v>14.746777</v>
          </cell>
          <cell r="AC186">
            <v>4.8385990000000003</v>
          </cell>
          <cell r="AD186">
            <v>5.0209770000000002</v>
          </cell>
          <cell r="AE186">
            <v>6.8166900000000004</v>
          </cell>
          <cell r="AF186">
            <v>16.676265999999998</v>
          </cell>
          <cell r="AG186">
            <v>5.4642470000000003</v>
          </cell>
          <cell r="AH186">
            <v>6.2900280000000004</v>
          </cell>
          <cell r="AI186">
            <v>7.333399</v>
          </cell>
          <cell r="AJ186">
            <v>19.087674</v>
          </cell>
          <cell r="AK186">
            <v>6.0378999999999996</v>
          </cell>
          <cell r="AL186">
            <v>5.8365809999999998</v>
          </cell>
          <cell r="AM186">
            <v>6.8752399999999998</v>
          </cell>
          <cell r="AN186">
            <v>18.749721000000001</v>
          </cell>
          <cell r="AO186">
            <v>5.7939569999999998</v>
          </cell>
          <cell r="AP186">
            <v>5.4963790000000001</v>
          </cell>
          <cell r="AQ186">
            <v>7.0218100000000003</v>
          </cell>
          <cell r="AR186">
            <v>18.312145999999998</v>
          </cell>
          <cell r="AS186">
            <v>6.167815</v>
          </cell>
          <cell r="AT186">
            <v>6.2744819999999999</v>
          </cell>
          <cell r="AU186">
            <v>8.5998970000000003</v>
          </cell>
          <cell r="AV186">
            <v>21.042194000000002</v>
          </cell>
          <cell r="AW186">
            <v>7.0371300000000003</v>
          </cell>
          <cell r="AX186">
            <v>7.9485700000000001</v>
          </cell>
          <cell r="AY186">
            <v>9.1735889999999998</v>
          </cell>
          <cell r="AZ186">
            <v>24.159289000000001</v>
          </cell>
          <cell r="BA186">
            <v>7.5830169999999999</v>
          </cell>
          <cell r="BB186">
            <v>7.07897</v>
          </cell>
          <cell r="BC186">
            <v>7.9429670000000003</v>
          </cell>
          <cell r="BD186">
            <v>22.604953999999999</v>
          </cell>
          <cell r="BE186">
            <v>7.3987100000000003</v>
          </cell>
          <cell r="BF186">
            <v>6.6420360000000001</v>
          </cell>
          <cell r="BG186">
            <v>8.9547310000000007</v>
          </cell>
          <cell r="BH186">
            <v>22.995477000000001</v>
          </cell>
          <cell r="BI186">
            <v>7.2406110000000004</v>
          </cell>
          <cell r="BJ186">
            <v>7.7411919999999999</v>
          </cell>
          <cell r="BK186">
            <v>10.123042</v>
          </cell>
          <cell r="BL186">
            <v>25.104845000000001</v>
          </cell>
          <cell r="BM186">
            <v>7.6752799999999999</v>
          </cell>
          <cell r="BN186">
            <v>8.8540259999999993</v>
          </cell>
          <cell r="BO186">
            <v>10.067076</v>
          </cell>
          <cell r="BP186">
            <v>26.596381999999998</v>
          </cell>
        </row>
        <row r="187">
          <cell r="A187" t="str">
            <v xml:space="preserve">  % Change</v>
          </cell>
          <cell r="R187">
            <v>0.65758485525586474</v>
          </cell>
          <cell r="S187">
            <v>0.62961091648521372</v>
          </cell>
          <cell r="U187">
            <v>0.68185985184802611</v>
          </cell>
          <cell r="V187">
            <v>1.1044570969907115</v>
          </cell>
          <cell r="W187">
            <v>0.48227818661582589</v>
          </cell>
          <cell r="X187">
            <v>0.72758343556562055</v>
          </cell>
          <cell r="Y187">
            <v>0.32215305815277984</v>
          </cell>
          <cell r="Z187">
            <v>0.28606057678063723</v>
          </cell>
          <cell r="AA187">
            <v>0.35845276263558712</v>
          </cell>
          <cell r="AB187">
            <v>0.32531508726029146</v>
          </cell>
          <cell r="AC187">
            <v>0.40063550527503544</v>
          </cell>
          <cell r="AD187">
            <v>0.36610950039506074</v>
          </cell>
          <cell r="AE187">
            <v>0.46078460365442053</v>
          </cell>
          <cell r="AF187">
            <v>0.41367225435250821</v>
          </cell>
          <cell r="AG187">
            <v>0.40968770791889297</v>
          </cell>
          <cell r="AH187">
            <v>0.39940575578142234</v>
          </cell>
          <cell r="AI187">
            <v>0.39661763820867857</v>
          </cell>
          <cell r="AJ187">
            <v>0.40125683608891149</v>
          </cell>
          <cell r="AK187">
            <v>0.36334364777011263</v>
          </cell>
          <cell r="AL187">
            <v>7.231922536138935E-2</v>
          </cell>
          <cell r="AM187">
            <v>0.33178264361345811</v>
          </cell>
          <cell r="AN187">
            <v>0.24714381524862539</v>
          </cell>
          <cell r="AO187">
            <v>0.32579610138914439</v>
          </cell>
          <cell r="AP187">
            <v>0.24383196029426268</v>
          </cell>
          <cell r="AQ187">
            <v>0.17861146681343487</v>
          </cell>
          <cell r="AR187">
            <v>0.24177276160072125</v>
          </cell>
          <cell r="AS187">
            <v>0.27471092355452464</v>
          </cell>
          <cell r="AT187">
            <v>0.24965360327282915</v>
          </cell>
          <cell r="AU187">
            <v>0.26159426349151849</v>
          </cell>
          <cell r="AV187">
            <v>0.26180489085506342</v>
          </cell>
          <cell r="AW187">
            <v>0.28784990868824201</v>
          </cell>
          <cell r="AX187">
            <v>0.26367799952559823</v>
          </cell>
          <cell r="AY187">
            <v>0.25093275301125706</v>
          </cell>
          <cell r="AZ187">
            <v>0.26570104875009926</v>
          </cell>
          <cell r="BA187">
            <v>0.25590304576094347</v>
          </cell>
          <cell r="BB187">
            <v>0.21286246177342516</v>
          </cell>
          <cell r="BC187">
            <v>0.15530032406141459</v>
          </cell>
          <cell r="BD187">
            <v>0.20561548622510162</v>
          </cell>
          <cell r="BE187">
            <v>0.27697012594328885</v>
          </cell>
          <cell r="BF187">
            <v>0.20843850105678663</v>
          </cell>
          <cell r="BG187">
            <v>0.27527389661639945</v>
          </cell>
          <cell r="BH187">
            <v>0.25574998146039252</v>
          </cell>
          <cell r="BI187">
            <v>0.17393452948896826</v>
          </cell>
          <cell r="BJ187">
            <v>0.23375794208988099</v>
          </cell>
          <cell r="BK187">
            <v>0.17711200494610568</v>
          </cell>
          <cell r="BL187">
            <v>0.19307164452528092</v>
          </cell>
          <cell r="BM187">
            <v>9.0683275710410349E-2</v>
          </cell>
          <cell r="BN187">
            <v>0.11391432672795232</v>
          </cell>
          <cell r="BO187">
            <v>9.7397757845920641E-2</v>
          </cell>
          <cell r="BP187">
            <v>0.1008760232968775</v>
          </cell>
        </row>
        <row r="189">
          <cell r="A189" t="str">
            <v>AVAGE</v>
          </cell>
        </row>
        <row r="190">
          <cell r="A190" t="str">
            <v>TRx</v>
          </cell>
          <cell r="AM190">
            <v>9</v>
          </cell>
          <cell r="AN190">
            <v>9</v>
          </cell>
          <cell r="AO190">
            <v>41</v>
          </cell>
          <cell r="AP190">
            <v>302</v>
          </cell>
          <cell r="AQ190">
            <v>764</v>
          </cell>
          <cell r="AR190">
            <v>1107</v>
          </cell>
          <cell r="AS190">
            <v>1277</v>
          </cell>
          <cell r="AT190">
            <v>1662</v>
          </cell>
          <cell r="AU190">
            <v>1765</v>
          </cell>
          <cell r="AV190">
            <v>4704</v>
          </cell>
          <cell r="AW190">
            <v>1631</v>
          </cell>
          <cell r="AX190">
            <v>1813</v>
          </cell>
          <cell r="AY190">
            <v>2126</v>
          </cell>
          <cell r="AZ190">
            <v>5570</v>
          </cell>
          <cell r="BA190">
            <v>2147</v>
          </cell>
          <cell r="BB190">
            <v>1872</v>
          </cell>
          <cell r="BC190">
            <v>1801</v>
          </cell>
          <cell r="BD190">
            <v>5820</v>
          </cell>
          <cell r="BE190">
            <v>1808</v>
          </cell>
          <cell r="BF190">
            <v>1902</v>
          </cell>
          <cell r="BG190">
            <v>2173</v>
          </cell>
          <cell r="BH190">
            <v>5883</v>
          </cell>
          <cell r="BI190">
            <v>2002</v>
          </cell>
          <cell r="BJ190">
            <v>1978</v>
          </cell>
          <cell r="BK190">
            <v>2129</v>
          </cell>
          <cell r="BL190">
            <v>6109</v>
          </cell>
          <cell r="BM190">
            <v>1985</v>
          </cell>
          <cell r="BN190">
            <v>2044</v>
          </cell>
          <cell r="BO190">
            <v>2048</v>
          </cell>
          <cell r="BP190">
            <v>6077</v>
          </cell>
        </row>
        <row r="191">
          <cell r="A191" t="str">
            <v xml:space="preserve">  % Change</v>
          </cell>
          <cell r="AV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1.8442408376963351</v>
          </cell>
          <cell r="BH191">
            <v>0</v>
          </cell>
          <cell r="BI191">
            <v>0.56773688332028183</v>
          </cell>
          <cell r="BJ191">
            <v>0.19013237063778576</v>
          </cell>
          <cell r="BK191">
            <v>0.20623229461756365</v>
          </cell>
          <cell r="BL191">
            <v>0.29868197278911568</v>
          </cell>
          <cell r="BM191">
            <v>0.21704475781729005</v>
          </cell>
          <cell r="BN191">
            <v>0.12741312741312738</v>
          </cell>
          <cell r="BO191">
            <v>-3.6688617121354627E-2</v>
          </cell>
          <cell r="BP191">
            <v>9.1023339317773733E-2</v>
          </cell>
        </row>
        <row r="192">
          <cell r="A192" t="str">
            <v>NRx</v>
          </cell>
          <cell r="AM192">
            <v>9</v>
          </cell>
          <cell r="AN192">
            <v>9</v>
          </cell>
          <cell r="AO192">
            <v>41</v>
          </cell>
          <cell r="AP192">
            <v>289</v>
          </cell>
          <cell r="AQ192">
            <v>749</v>
          </cell>
          <cell r="AR192">
            <v>1079</v>
          </cell>
          <cell r="AS192">
            <v>1221</v>
          </cell>
          <cell r="AT192">
            <v>1560</v>
          </cell>
          <cell r="AU192">
            <v>1635</v>
          </cell>
          <cell r="AV192">
            <v>4416</v>
          </cell>
          <cell r="AW192">
            <v>1513</v>
          </cell>
          <cell r="AX192">
            <v>1657</v>
          </cell>
          <cell r="AY192">
            <v>1928</v>
          </cell>
          <cell r="AZ192">
            <v>5098</v>
          </cell>
          <cell r="BA192">
            <v>1893</v>
          </cell>
          <cell r="BB192">
            <v>1659</v>
          </cell>
          <cell r="BC192">
            <v>1471</v>
          </cell>
          <cell r="BD192">
            <v>5023</v>
          </cell>
          <cell r="BE192">
            <v>1506</v>
          </cell>
          <cell r="BF192">
            <v>1545</v>
          </cell>
          <cell r="BG192">
            <v>1814</v>
          </cell>
          <cell r="BH192">
            <v>4865</v>
          </cell>
          <cell r="BI192">
            <v>1617</v>
          </cell>
          <cell r="BJ192">
            <v>1643</v>
          </cell>
          <cell r="BK192">
            <v>1739</v>
          </cell>
          <cell r="BL192">
            <v>4999</v>
          </cell>
          <cell r="BM192">
            <v>1599</v>
          </cell>
          <cell r="BN192">
            <v>1584</v>
          </cell>
          <cell r="BO192">
            <v>1614</v>
          </cell>
          <cell r="BP192">
            <v>4797</v>
          </cell>
        </row>
        <row r="193">
          <cell r="A193" t="str">
            <v xml:space="preserve">  % Change</v>
          </cell>
          <cell r="AV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1.4218958611481978</v>
          </cell>
          <cell r="BH193">
            <v>3.5088044485634846</v>
          </cell>
          <cell r="BI193">
            <v>0.32432432432432434</v>
          </cell>
          <cell r="BJ193">
            <v>5.3205128205128238E-2</v>
          </cell>
          <cell r="BK193">
            <v>6.3608562691131576E-2</v>
          </cell>
          <cell r="BL193">
            <v>0.13201992753623193</v>
          </cell>
          <cell r="BM193">
            <v>5.6840713813615329E-2</v>
          </cell>
          <cell r="BN193">
            <v>-4.4055522027760974E-2</v>
          </cell>
          <cell r="BO193">
            <v>-0.16286307053941906</v>
          </cell>
          <cell r="BP193">
            <v>-5.9042761867398985E-2</v>
          </cell>
        </row>
        <row r="194">
          <cell r="A194" t="str">
            <v>Sales (IMS)</v>
          </cell>
          <cell r="AO194">
            <v>1.5233E-2</v>
          </cell>
          <cell r="AP194">
            <v>3.2535000000000001E-2</v>
          </cell>
          <cell r="AQ194">
            <v>8.3616999999999997E-2</v>
          </cell>
          <cell r="AR194">
            <v>0.131385</v>
          </cell>
          <cell r="AS194">
            <v>0.112279</v>
          </cell>
          <cell r="AT194">
            <v>0.14780199999999999</v>
          </cell>
          <cell r="AU194">
            <v>0.195604</v>
          </cell>
          <cell r="AV194">
            <v>0.45568500000000001</v>
          </cell>
          <cell r="AW194">
            <v>0.153228</v>
          </cell>
          <cell r="AX194">
            <v>0.15698300000000001</v>
          </cell>
          <cell r="AY194">
            <v>0.223776</v>
          </cell>
          <cell r="AZ194">
            <v>0.53398699999999999</v>
          </cell>
          <cell r="BA194">
            <v>0.18545500000000001</v>
          </cell>
          <cell r="BB194">
            <v>0.19026199999999999</v>
          </cell>
          <cell r="BC194">
            <v>0.181421</v>
          </cell>
          <cell r="BD194">
            <v>0.55713800000000002</v>
          </cell>
          <cell r="BE194">
            <v>0.15301899999999999</v>
          </cell>
          <cell r="BF194">
            <v>0.16161900000000001</v>
          </cell>
          <cell r="BG194">
            <v>0.243341</v>
          </cell>
          <cell r="BH194">
            <v>0.557979</v>
          </cell>
          <cell r="BI194">
            <v>0.21360199999999999</v>
          </cell>
          <cell r="BJ194">
            <v>0.19899900000000001</v>
          </cell>
          <cell r="BK194">
            <v>0.25467099999999998</v>
          </cell>
          <cell r="BL194">
            <v>0.66727199999999998</v>
          </cell>
          <cell r="BM194">
            <v>0.187307</v>
          </cell>
          <cell r="BN194">
            <v>0.21532899999999999</v>
          </cell>
          <cell r="BO194">
            <v>0.23472999999999999</v>
          </cell>
          <cell r="BP194">
            <v>0.63736599999999999</v>
          </cell>
        </row>
        <row r="195">
          <cell r="A195" t="str">
            <v xml:space="preserve">  % Change</v>
          </cell>
          <cell r="AV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3.9675426463808208</v>
          </cell>
          <cell r="BG195">
            <v>1.9101857277826282</v>
          </cell>
          <cell r="BH195">
            <v>3.2469003310880238</v>
          </cell>
          <cell r="BI195">
            <v>0.90242164607807318</v>
          </cell>
          <cell r="BJ195">
            <v>0.34638908810435609</v>
          </cell>
          <cell r="BK195">
            <v>0.30197235230363373</v>
          </cell>
          <cell r="BL195">
            <v>0.46432733138022964</v>
          </cell>
          <cell r="BM195">
            <v>0.22240713185579652</v>
          </cell>
          <cell r="BN195">
            <v>0.37167081785925848</v>
          </cell>
          <cell r="BO195">
            <v>4.8950736450736443E-2</v>
          </cell>
          <cell r="BP195">
            <v>0.19359834602715043</v>
          </cell>
        </row>
        <row r="196">
          <cell r="A196" t="str">
            <v>Price Change (YoY)</v>
          </cell>
          <cell r="H196">
            <v>0</v>
          </cell>
          <cell r="L196">
            <v>0</v>
          </cell>
          <cell r="P196">
            <v>0</v>
          </cell>
          <cell r="T196">
            <v>0</v>
          </cell>
          <cell r="X196">
            <v>0</v>
          </cell>
          <cell r="AB196">
            <v>0</v>
          </cell>
          <cell r="AF196">
            <v>0</v>
          </cell>
          <cell r="AJ196">
            <v>0</v>
          </cell>
          <cell r="AN196">
            <v>0</v>
          </cell>
          <cell r="AR196">
            <v>0</v>
          </cell>
          <cell r="AV196">
            <v>0</v>
          </cell>
          <cell r="AZ196">
            <v>0</v>
          </cell>
          <cell r="BD196">
            <v>0</v>
          </cell>
          <cell r="BH196">
            <v>0</v>
          </cell>
          <cell r="BL196">
            <v>0</v>
          </cell>
          <cell r="BP196">
            <v>0</v>
          </cell>
        </row>
        <row r="198">
          <cell r="A198" t="str">
            <v>TRx TAZORAC/AVAGE</v>
          </cell>
          <cell r="Y198">
            <v>61112</v>
          </cell>
          <cell r="Z198">
            <v>55083</v>
          </cell>
          <cell r="AA198">
            <v>63996</v>
          </cell>
          <cell r="AB198">
            <v>180191</v>
          </cell>
          <cell r="AC198">
            <v>65992</v>
          </cell>
          <cell r="AD198">
            <v>68992</v>
          </cell>
          <cell r="AE198">
            <v>70219</v>
          </cell>
          <cell r="AF198">
            <v>205203</v>
          </cell>
          <cell r="AG198">
            <v>73874</v>
          </cell>
          <cell r="AH198">
            <v>83105</v>
          </cell>
          <cell r="AI198">
            <v>74525</v>
          </cell>
          <cell r="AJ198">
            <v>231504</v>
          </cell>
          <cell r="AK198">
            <v>79396</v>
          </cell>
          <cell r="AL198">
            <v>73893</v>
          </cell>
          <cell r="AM198">
            <v>74352</v>
          </cell>
          <cell r="AN198">
            <v>227641</v>
          </cell>
          <cell r="AO198">
            <v>76283</v>
          </cell>
          <cell r="AP198">
            <v>64102</v>
          </cell>
          <cell r="AQ198">
            <v>71951</v>
          </cell>
          <cell r="AR198">
            <v>212336</v>
          </cell>
          <cell r="AS198">
            <v>73914</v>
          </cell>
          <cell r="AT198">
            <v>78013</v>
          </cell>
          <cell r="AU198">
            <v>79514</v>
          </cell>
          <cell r="AV198">
            <v>231441</v>
          </cell>
          <cell r="AW198">
            <v>82492</v>
          </cell>
          <cell r="AX198">
            <v>90260</v>
          </cell>
          <cell r="AY198">
            <v>82883</v>
          </cell>
          <cell r="AZ198">
            <v>255635</v>
          </cell>
          <cell r="BA198">
            <v>84812</v>
          </cell>
          <cell r="BB198">
            <v>74831</v>
          </cell>
          <cell r="BC198">
            <v>78073</v>
          </cell>
          <cell r="BD198">
            <v>237716</v>
          </cell>
          <cell r="BE198">
            <v>75630</v>
          </cell>
          <cell r="BF198">
            <v>67855</v>
          </cell>
          <cell r="BG198">
            <v>81528</v>
          </cell>
          <cell r="BH198">
            <v>225013</v>
          </cell>
          <cell r="BI198">
            <v>72532</v>
          </cell>
          <cell r="BJ198">
            <v>74354</v>
          </cell>
          <cell r="BK198">
            <v>80914</v>
          </cell>
          <cell r="BL198">
            <v>227800</v>
          </cell>
          <cell r="BM198">
            <v>79584</v>
          </cell>
          <cell r="BN198">
            <v>90097</v>
          </cell>
          <cell r="BO198">
            <v>78747</v>
          </cell>
          <cell r="BP198">
            <v>248428</v>
          </cell>
        </row>
        <row r="199">
          <cell r="A199" t="str">
            <v xml:space="preserve">  % Change</v>
          </cell>
          <cell r="AO199">
            <v>0.24824911637648905</v>
          </cell>
          <cell r="AP199">
            <v>0.1637347275929053</v>
          </cell>
          <cell r="AQ199">
            <v>0.12430464404025243</v>
          </cell>
          <cell r="AR199">
            <v>0.17839403743805193</v>
          </cell>
          <cell r="AS199">
            <v>0.1200448539216874</v>
          </cell>
          <cell r="AT199">
            <v>0.13075429035250474</v>
          </cell>
          <cell r="AU199">
            <v>0.13237158034150309</v>
          </cell>
          <cell r="AV199">
            <v>0.12786362772474091</v>
          </cell>
          <cell r="AW199">
            <v>0.1166580935105721</v>
          </cell>
          <cell r="AX199">
            <v>8.6095902773599686E-2</v>
          </cell>
          <cell r="AY199">
            <v>0.1121502851392151</v>
          </cell>
          <cell r="AZ199">
            <v>0.10423577994332711</v>
          </cell>
          <cell r="BA199">
            <v>6.8215023426872801E-2</v>
          </cell>
          <cell r="BB199">
            <v>1.2694030557698355E-2</v>
          </cell>
          <cell r="BC199">
            <v>5.0045728426942215E-2</v>
          </cell>
          <cell r="BD199">
            <v>4.4258283876805971E-2</v>
          </cell>
          <cell r="BE199">
            <v>-8.5602296710931558E-3</v>
          </cell>
          <cell r="BF199">
            <v>5.8547315216373796E-2</v>
          </cell>
          <cell r="BG199">
            <v>0.1331044738780558</v>
          </cell>
          <cell r="BH199">
            <v>5.9702546906789333E-2</v>
          </cell>
          <cell r="BI199">
            <v>-1.8697405092404695E-2</v>
          </cell>
          <cell r="BJ199">
            <v>-4.690243933703353E-2</v>
          </cell>
          <cell r="BK199">
            <v>1.7606962295947826E-2</v>
          </cell>
          <cell r="BL199">
            <v>-1.5731871189633595E-2</v>
          </cell>
          <cell r="BM199">
            <v>-3.5251903214857161E-2</v>
          </cell>
          <cell r="BN199">
            <v>-1.8058940837580861E-3</v>
          </cell>
          <cell r="BO199">
            <v>-4.9901668617207351E-2</v>
          </cell>
          <cell r="BP199">
            <v>-2.8192540145128842E-2</v>
          </cell>
        </row>
        <row r="201">
          <cell r="A201" t="str">
            <v>Franchise Price Change (YoY)</v>
          </cell>
          <cell r="L201">
            <v>0</v>
          </cell>
          <cell r="P201">
            <v>0</v>
          </cell>
          <cell r="T201">
            <v>0</v>
          </cell>
          <cell r="X201">
            <v>0</v>
          </cell>
          <cell r="AB201">
            <v>0</v>
          </cell>
          <cell r="AF201">
            <v>0</v>
          </cell>
          <cell r="AJ201">
            <v>0.05</v>
          </cell>
          <cell r="AN201">
            <v>0.05</v>
          </cell>
          <cell r="AR201">
            <v>0.05</v>
          </cell>
          <cell r="AV201">
            <v>0.14000000000000001</v>
          </cell>
          <cell r="AZ201">
            <v>0.09</v>
          </cell>
          <cell r="BD201">
            <v>0.09</v>
          </cell>
          <cell r="BH201">
            <v>0.09</v>
          </cell>
          <cell r="BL201">
            <v>0</v>
          </cell>
          <cell r="BP201">
            <v>8.9996883764412505E-2</v>
          </cell>
        </row>
        <row r="202">
          <cell r="A202" t="str">
            <v xml:space="preserve">TRx + Franchise Price Change </v>
          </cell>
          <cell r="AR202">
            <v>0.22839403743805192</v>
          </cell>
          <cell r="AV202">
            <v>0.26786362772474093</v>
          </cell>
          <cell r="AZ202">
            <v>0.19423577994332711</v>
          </cell>
          <cell r="BD202">
            <v>0.13425828387680597</v>
          </cell>
          <cell r="BH202">
            <v>0.14970254690678933</v>
          </cell>
          <cell r="BL202">
            <v>-1.5731871189633595E-2</v>
          </cell>
          <cell r="BP202">
            <v>6.1804343619283664E-2</v>
          </cell>
        </row>
        <row r="204">
          <cell r="A204" t="str">
            <v xml:space="preserve">TOTAL TAZORAC/AVAGE REPORTED SALES </v>
          </cell>
          <cell r="L204">
            <v>8.4</v>
          </cell>
          <cell r="P204">
            <v>10.1</v>
          </cell>
          <cell r="T204">
            <v>11.2</v>
          </cell>
          <cell r="X204">
            <v>15.7</v>
          </cell>
          <cell r="AB204">
            <v>12.2</v>
          </cell>
          <cell r="AF204">
            <v>14.5</v>
          </cell>
          <cell r="AJ204">
            <v>20.2</v>
          </cell>
          <cell r="AN204">
            <v>15.2</v>
          </cell>
          <cell r="AR204">
            <v>19.7</v>
          </cell>
          <cell r="AV204">
            <v>16.8</v>
          </cell>
          <cell r="AZ204">
            <v>22.3</v>
          </cell>
          <cell r="BD204">
            <v>21.4</v>
          </cell>
          <cell r="BH204">
            <v>18</v>
          </cell>
          <cell r="BL204">
            <v>17.2</v>
          </cell>
          <cell r="BP204">
            <v>18.8</v>
          </cell>
        </row>
        <row r="205">
          <cell r="A205" t="str">
            <v xml:space="preserve">  % Change</v>
          </cell>
          <cell r="AB205">
            <v>0.45238095238095233</v>
          </cell>
          <cell r="AF205">
            <v>0.43564356435643559</v>
          </cell>
          <cell r="AJ205">
            <v>0.8035714285714286</v>
          </cell>
          <cell r="AN205">
            <v>-3.1847133757961776E-2</v>
          </cell>
          <cell r="AR205">
            <v>0.61475409836065587</v>
          </cell>
          <cell r="AV205">
            <v>0.15862068965517251</v>
          </cell>
          <cell r="AZ205">
            <v>0.10396039603960405</v>
          </cell>
          <cell r="BD205">
            <v>0.40789473684210531</v>
          </cell>
          <cell r="BH205">
            <v>-8.6294416243654748E-2</v>
          </cell>
          <cell r="BL205">
            <v>2.3809523809523725E-2</v>
          </cell>
          <cell r="BP205">
            <v>-0.15695067264573992</v>
          </cell>
        </row>
        <row r="207">
          <cell r="A207" t="str">
            <v>TOTAL TAZORAC/AVAGE SALES (IMS)</v>
          </cell>
          <cell r="T207">
            <v>13.621824</v>
          </cell>
          <cell r="X207">
            <v>15.034129</v>
          </cell>
          <cell r="AB207">
            <v>14.746777</v>
          </cell>
          <cell r="AC207">
            <v>4.8385990000000003</v>
          </cell>
          <cell r="AD207">
            <v>5.0209770000000002</v>
          </cell>
          <cell r="AE207">
            <v>6.8166900000000004</v>
          </cell>
          <cell r="AF207">
            <v>16.676265999999998</v>
          </cell>
          <cell r="AG207">
            <v>5.4642470000000003</v>
          </cell>
          <cell r="AH207">
            <v>6.2900280000000004</v>
          </cell>
          <cell r="AI207">
            <v>7.333399</v>
          </cell>
          <cell r="AJ207">
            <v>19.087674</v>
          </cell>
          <cell r="AK207">
            <v>6.0378999999999996</v>
          </cell>
          <cell r="AL207">
            <v>5.8365809999999998</v>
          </cell>
          <cell r="AM207">
            <v>6.8752399999999998</v>
          </cell>
          <cell r="AN207">
            <v>18.749721000000001</v>
          </cell>
          <cell r="AO207">
            <v>5.8091900000000001</v>
          </cell>
          <cell r="AP207">
            <v>5.5289140000000003</v>
          </cell>
          <cell r="AQ207">
            <v>7.1054270000000006</v>
          </cell>
          <cell r="AR207">
            <v>18.443531</v>
          </cell>
          <cell r="AS207">
            <v>6.2800940000000001</v>
          </cell>
          <cell r="AT207">
            <v>6.4222839999999994</v>
          </cell>
          <cell r="AU207">
            <v>8.7955009999999998</v>
          </cell>
          <cell r="AV207">
            <v>21.497879000000001</v>
          </cell>
          <cell r="AW207">
            <v>7.1903580000000007</v>
          </cell>
          <cell r="AX207">
            <v>8.1055530000000005</v>
          </cell>
          <cell r="AY207">
            <v>9.3973650000000006</v>
          </cell>
          <cell r="AZ207">
            <v>24.693276000000001</v>
          </cell>
          <cell r="BA207">
            <v>7.768472</v>
          </cell>
          <cell r="BB207">
            <v>7.2692319999999997</v>
          </cell>
          <cell r="BC207">
            <v>8.1243879999999997</v>
          </cell>
          <cell r="BD207">
            <v>23.162091999999998</v>
          </cell>
          <cell r="BE207">
            <v>7.5517289999999999</v>
          </cell>
          <cell r="BF207">
            <v>6.803655</v>
          </cell>
          <cell r="BG207">
            <v>9.1980719999999998</v>
          </cell>
          <cell r="BH207">
            <v>23.553456000000001</v>
          </cell>
          <cell r="BI207">
            <v>7.4542130000000002</v>
          </cell>
          <cell r="BJ207">
            <v>7.9401909999999996</v>
          </cell>
          <cell r="BK207">
            <v>10.377713</v>
          </cell>
          <cell r="BL207">
            <v>25.772117000000001</v>
          </cell>
          <cell r="BM207">
            <v>7.8625869999999995</v>
          </cell>
          <cell r="BN207">
            <v>9.0693549999999998</v>
          </cell>
          <cell r="BO207">
            <v>10.301806000000001</v>
          </cell>
          <cell r="BP207">
            <v>27.233747999999999</v>
          </cell>
        </row>
        <row r="208">
          <cell r="A208" t="str">
            <v xml:space="preserve">  % Change</v>
          </cell>
          <cell r="AR208">
            <v>0.25068216600820636</v>
          </cell>
          <cell r="AS208">
            <v>0.29791578099363059</v>
          </cell>
          <cell r="AT208">
            <v>0.2790905037007736</v>
          </cell>
          <cell r="AU208">
            <v>0.29028912859466982</v>
          </cell>
          <cell r="AV208">
            <v>0.28913025253974745</v>
          </cell>
          <cell r="AW208">
            <v>0.31589183285455436</v>
          </cell>
          <cell r="AX208">
            <v>0.28863544009661002</v>
          </cell>
          <cell r="AY208">
            <v>0.28144738885747267</v>
          </cell>
          <cell r="AZ208">
            <v>0.29367653701545837</v>
          </cell>
          <cell r="BA208">
            <v>0.28661819506782171</v>
          </cell>
          <cell r="BB208">
            <v>0.24546065581887744</v>
          </cell>
          <cell r="BC208">
            <v>0.18168791198561784</v>
          </cell>
          <cell r="BD208">
            <v>0.23532995504306409</v>
          </cell>
          <cell r="BE208">
            <v>0.29996247325358616</v>
          </cell>
          <cell r="BF208">
            <v>0.2305590211748636</v>
          </cell>
          <cell r="BG208">
            <v>0.29451361614157734</v>
          </cell>
          <cell r="BH208">
            <v>0.27705784754557028</v>
          </cell>
          <cell r="BI208">
            <v>0.18695882577553768</v>
          </cell>
          <cell r="BJ208">
            <v>0.23635002749800549</v>
          </cell>
          <cell r="BK208">
            <v>0.17988878632382632</v>
          </cell>
          <cell r="BL208">
            <v>0.19882138140232342</v>
          </cell>
          <cell r="BM208">
            <v>9.3490338033238141E-2</v>
          </cell>
          <cell r="BN208">
            <v>0.11890638430221845</v>
          </cell>
          <cell r="BO208">
            <v>9.624410672566186E-2</v>
          </cell>
          <cell r="BP208">
            <v>0.10288112440001873</v>
          </cell>
        </row>
        <row r="210">
          <cell r="A210" t="str">
            <v>REPORTED SALES/TRx TAZORAC</v>
          </cell>
          <cell r="L210">
            <v>70.062472371197657</v>
          </cell>
          <cell r="P210">
            <v>75.547344249051918</v>
          </cell>
          <cell r="T210">
            <v>68.704912401236683</v>
          </cell>
          <cell r="X210">
            <v>90.620490620490614</v>
          </cell>
          <cell r="AB210">
            <v>67.705934258647773</v>
          </cell>
          <cell r="AF210">
            <v>70.661734964888424</v>
          </cell>
          <cell r="AJ210">
            <v>87.255511783813674</v>
          </cell>
          <cell r="AN210">
            <v>66.774442960567939</v>
          </cell>
          <cell r="AR210">
            <v>93.26370905510133</v>
          </cell>
          <cell r="AV210">
            <v>74.094655922941556</v>
          </cell>
          <cell r="AZ210">
            <v>89.176814028352624</v>
          </cell>
          <cell r="BD210">
            <v>92.282747438506917</v>
          </cell>
          <cell r="BH210">
            <v>82.143020125039925</v>
          </cell>
          <cell r="BL210">
            <v>77.585468061400775</v>
          </cell>
          <cell r="BP210">
            <v>77.573436874615737</v>
          </cell>
        </row>
        <row r="211">
          <cell r="A211" t="str">
            <v>IMS SALES/REPORTED SALES</v>
          </cell>
          <cell r="L211">
            <v>1.3246424999999999</v>
          </cell>
          <cell r="P211">
            <v>1.1679619801980199</v>
          </cell>
          <cell r="T211">
            <v>1.2162342857142858</v>
          </cell>
          <cell r="X211">
            <v>0.95758783439490447</v>
          </cell>
          <cell r="AB211">
            <v>1.2087522131147541</v>
          </cell>
          <cell r="AF211">
            <v>1.1500873103448275</v>
          </cell>
          <cell r="AJ211">
            <v>0.94493435643564361</v>
          </cell>
          <cell r="AN211">
            <v>1.2335342763157895</v>
          </cell>
          <cell r="AR211">
            <v>0.92955055837563449</v>
          </cell>
          <cell r="AV211">
            <v>1.2525115476190476</v>
          </cell>
          <cell r="AZ211">
            <v>1.0833761883408073</v>
          </cell>
          <cell r="BD211">
            <v>1.056306261682243</v>
          </cell>
          <cell r="BH211">
            <v>1.2775265</v>
          </cell>
          <cell r="BL211">
            <v>1.4595840116279071</v>
          </cell>
          <cell r="BP211">
            <v>1.4147011702127659</v>
          </cell>
        </row>
        <row r="213">
          <cell r="A213" t="str">
            <v xml:space="preserve">AZELEX </v>
          </cell>
        </row>
        <row r="214">
          <cell r="A214" t="str">
            <v>TRx</v>
          </cell>
          <cell r="C214">
            <v>53230</v>
          </cell>
          <cell r="D214">
            <v>45392</v>
          </cell>
          <cell r="E214">
            <v>46363</v>
          </cell>
          <cell r="F214">
            <v>44651</v>
          </cell>
          <cell r="G214">
            <v>44691</v>
          </cell>
          <cell r="H214">
            <v>135705</v>
          </cell>
          <cell r="I214">
            <v>49328</v>
          </cell>
          <cell r="J214">
            <v>42528</v>
          </cell>
          <cell r="K214">
            <v>47076</v>
          </cell>
          <cell r="L214">
            <v>138932</v>
          </cell>
          <cell r="M214">
            <v>43782</v>
          </cell>
          <cell r="N214">
            <v>45960</v>
          </cell>
          <cell r="O214">
            <v>40047</v>
          </cell>
          <cell r="P214">
            <v>129789</v>
          </cell>
          <cell r="Q214">
            <v>34491</v>
          </cell>
          <cell r="R214">
            <v>36210</v>
          </cell>
          <cell r="S214">
            <v>29372</v>
          </cell>
          <cell r="T214">
            <v>100073</v>
          </cell>
          <cell r="U214">
            <v>31382</v>
          </cell>
          <cell r="V214">
            <v>29963</v>
          </cell>
          <cell r="W214">
            <v>29203</v>
          </cell>
          <cell r="X214">
            <v>90548</v>
          </cell>
          <cell r="Y214">
            <v>30800</v>
          </cell>
          <cell r="Z214">
            <v>26300</v>
          </cell>
          <cell r="AA214">
            <v>28052</v>
          </cell>
          <cell r="AB214">
            <v>85152</v>
          </cell>
          <cell r="AC214">
            <v>27156</v>
          </cell>
          <cell r="AD214">
            <v>26869</v>
          </cell>
          <cell r="AE214">
            <v>24633</v>
          </cell>
          <cell r="AF214">
            <v>78658</v>
          </cell>
          <cell r="AG214">
            <v>23661</v>
          </cell>
          <cell r="AH214">
            <v>23339</v>
          </cell>
          <cell r="AI214">
            <v>19418</v>
          </cell>
          <cell r="AJ214">
            <v>66418</v>
          </cell>
          <cell r="AK214">
            <v>20526</v>
          </cell>
          <cell r="AL214">
            <v>17996</v>
          </cell>
          <cell r="AM214">
            <v>17989</v>
          </cell>
          <cell r="AN214">
            <v>56511</v>
          </cell>
          <cell r="AO214">
            <v>18024</v>
          </cell>
          <cell r="AP214">
            <v>14843</v>
          </cell>
          <cell r="AQ214">
            <v>17129</v>
          </cell>
          <cell r="AR214">
            <v>49996</v>
          </cell>
          <cell r="AS214">
            <v>17698</v>
          </cell>
          <cell r="AT214">
            <v>19030</v>
          </cell>
          <cell r="AU214">
            <v>19714</v>
          </cell>
          <cell r="AV214">
            <v>56442</v>
          </cell>
          <cell r="AW214">
            <v>20282</v>
          </cell>
          <cell r="AX214">
            <v>20786</v>
          </cell>
          <cell r="AY214">
            <v>19597</v>
          </cell>
          <cell r="AZ214">
            <v>60665</v>
          </cell>
          <cell r="BA214">
            <v>20650</v>
          </cell>
          <cell r="BB214">
            <v>19297</v>
          </cell>
          <cell r="BC214">
            <v>23048</v>
          </cell>
          <cell r="BD214">
            <v>62995</v>
          </cell>
          <cell r="BE214">
            <v>24649</v>
          </cell>
          <cell r="BF214">
            <v>22457</v>
          </cell>
          <cell r="BG214">
            <v>25712</v>
          </cell>
          <cell r="BH214">
            <v>72818</v>
          </cell>
          <cell r="BI214">
            <v>23185</v>
          </cell>
          <cell r="BJ214">
            <v>22402</v>
          </cell>
          <cell r="BK214">
            <v>23133</v>
          </cell>
          <cell r="BL214">
            <v>68720</v>
          </cell>
          <cell r="BM214">
            <v>21719</v>
          </cell>
          <cell r="BN214">
            <v>22839</v>
          </cell>
          <cell r="BO214">
            <v>19749</v>
          </cell>
          <cell r="BP214">
            <v>64307</v>
          </cell>
        </row>
        <row r="215">
          <cell r="A215" t="str">
            <v xml:space="preserve">  % Change</v>
          </cell>
          <cell r="R215">
            <v>-0.31974450497839568</v>
          </cell>
          <cell r="S215">
            <v>-0.35292562566090946</v>
          </cell>
          <cell r="U215">
            <v>-0.32312404287901986</v>
          </cell>
          <cell r="V215">
            <v>-0.3289511993012475</v>
          </cell>
          <cell r="W215">
            <v>-0.3465574724217404</v>
          </cell>
          <cell r="X215">
            <v>-0.33275855716443759</v>
          </cell>
          <cell r="Y215">
            <v>-0.37560817385663314</v>
          </cell>
          <cell r="Z215">
            <v>-0.38158389766741907</v>
          </cell>
          <cell r="AA215">
            <v>-0.4041124989378877</v>
          </cell>
          <cell r="AB215">
            <v>-0.38709584544957243</v>
          </cell>
          <cell r="AC215">
            <v>-0.37974510072632583</v>
          </cell>
          <cell r="AD215">
            <v>-0.41538294168842471</v>
          </cell>
          <cell r="AE215">
            <v>-0.38489774514944941</v>
          </cell>
          <cell r="AF215">
            <v>-0.39395480356578749</v>
          </cell>
          <cell r="AG215">
            <v>-0.31399495520570586</v>
          </cell>
          <cell r="AH215">
            <v>-0.35545429439381382</v>
          </cell>
          <cell r="AI215">
            <v>-0.33889418493803625</v>
          </cell>
          <cell r="AJ215">
            <v>-0.33630449771666682</v>
          </cell>
          <cell r="AK215">
            <v>-0.34593078835000957</v>
          </cell>
          <cell r="AL215">
            <v>-0.39939258418716417</v>
          </cell>
          <cell r="AM215">
            <v>-0.38400164366674661</v>
          </cell>
          <cell r="AN215">
            <v>-0.37590007509829038</v>
          </cell>
          <cell r="AO215">
            <v>-0.41480519480519484</v>
          </cell>
          <cell r="AP215">
            <v>-0.43562737642585547</v>
          </cell>
          <cell r="AQ215">
            <v>-0.38938400114073868</v>
          </cell>
          <cell r="AR215">
            <v>-0.41286170612551676</v>
          </cell>
          <cell r="AS215">
            <v>-0.34828398880542055</v>
          </cell>
          <cell r="AT215">
            <v>-0.2917488555584502</v>
          </cell>
          <cell r="AU215">
            <v>-0.19969147079121508</v>
          </cell>
          <cell r="AV215">
            <v>-0.28243789570037381</v>
          </cell>
          <cell r="AW215">
            <v>-0.1428088415536114</v>
          </cell>
          <cell r="AX215">
            <v>-0.10938772012511244</v>
          </cell>
          <cell r="AY215">
            <v>9.2182511072200768E-3</v>
          </cell>
          <cell r="AZ215">
            <v>-8.6618085458761152E-2</v>
          </cell>
          <cell r="BA215">
            <v>6.0411185813113999E-3</v>
          </cell>
          <cell r="BB215">
            <v>7.2293843076239206E-2</v>
          </cell>
          <cell r="BC215">
            <v>0.28122741675468332</v>
          </cell>
          <cell r="BD215">
            <v>0.11473872343437552</v>
          </cell>
          <cell r="BE215">
            <v>0.36756546826453618</v>
          </cell>
          <cell r="BF215">
            <v>0.51296907633227784</v>
          </cell>
          <cell r="BG215">
            <v>0.50108003969875647</v>
          </cell>
          <cell r="BH215">
            <v>0.45647651812144963</v>
          </cell>
          <cell r="BI215">
            <v>0.3100350322070291</v>
          </cell>
          <cell r="BJ215">
            <v>0.17719390436153448</v>
          </cell>
          <cell r="BK215">
            <v>0.1734300497108654</v>
          </cell>
          <cell r="BL215">
            <v>0.21753304276956875</v>
          </cell>
          <cell r="BM215">
            <v>7.0851000887486526E-2</v>
          </cell>
          <cell r="BN215">
            <v>9.8768401808909889E-2</v>
          </cell>
          <cell r="BO215">
            <v>7.7562892279430251E-3</v>
          </cell>
          <cell r="BP215">
            <v>6.0034616335613578E-2</v>
          </cell>
        </row>
        <row r="216">
          <cell r="A216" t="str">
            <v>NRx</v>
          </cell>
          <cell r="C216">
            <v>35212</v>
          </cell>
          <cell r="D216">
            <v>29003</v>
          </cell>
          <cell r="E216">
            <v>30594</v>
          </cell>
          <cell r="F216">
            <v>29024</v>
          </cell>
          <cell r="G216">
            <v>28366</v>
          </cell>
          <cell r="H216">
            <v>87984</v>
          </cell>
          <cell r="I216">
            <v>32615</v>
          </cell>
          <cell r="J216">
            <v>28064</v>
          </cell>
          <cell r="K216">
            <v>30542</v>
          </cell>
          <cell r="L216">
            <v>91221</v>
          </cell>
          <cell r="M216">
            <v>28627</v>
          </cell>
          <cell r="N216">
            <v>29943</v>
          </cell>
          <cell r="O216">
            <v>26338</v>
          </cell>
          <cell r="P216">
            <v>84908</v>
          </cell>
          <cell r="Q216">
            <v>21990</v>
          </cell>
          <cell r="R216">
            <v>23235</v>
          </cell>
          <cell r="S216">
            <v>18078</v>
          </cell>
          <cell r="T216">
            <v>63303</v>
          </cell>
          <cell r="U216">
            <v>19834</v>
          </cell>
          <cell r="V216">
            <v>18943</v>
          </cell>
          <cell r="W216">
            <v>17954</v>
          </cell>
          <cell r="X216">
            <v>56731</v>
          </cell>
          <cell r="Y216">
            <v>20381</v>
          </cell>
          <cell r="Z216">
            <v>17129</v>
          </cell>
          <cell r="AA216">
            <v>18216</v>
          </cell>
          <cell r="AB216">
            <v>55726</v>
          </cell>
          <cell r="AC216">
            <v>17743</v>
          </cell>
          <cell r="AD216">
            <v>17194</v>
          </cell>
          <cell r="AE216">
            <v>15716</v>
          </cell>
          <cell r="AF216">
            <v>50653</v>
          </cell>
          <cell r="AG216">
            <v>14732</v>
          </cell>
          <cell r="AH216">
            <v>14782</v>
          </cell>
          <cell r="AI216">
            <v>11882</v>
          </cell>
          <cell r="AJ216">
            <v>41396</v>
          </cell>
          <cell r="AK216">
            <v>12686</v>
          </cell>
          <cell r="AL216">
            <v>11060</v>
          </cell>
          <cell r="AM216">
            <v>10578</v>
          </cell>
          <cell r="AN216">
            <v>34324</v>
          </cell>
          <cell r="AO216">
            <v>11243</v>
          </cell>
          <cell r="AP216">
            <v>9279</v>
          </cell>
          <cell r="AQ216">
            <v>11016</v>
          </cell>
          <cell r="AR216">
            <v>31538</v>
          </cell>
          <cell r="AS216">
            <v>11842</v>
          </cell>
          <cell r="AT216">
            <v>12554</v>
          </cell>
          <cell r="AU216">
            <v>13277</v>
          </cell>
          <cell r="AV216">
            <v>37673</v>
          </cell>
          <cell r="AW216">
            <v>13563</v>
          </cell>
          <cell r="AX216">
            <v>13852</v>
          </cell>
          <cell r="AY216">
            <v>12833</v>
          </cell>
          <cell r="AZ216">
            <v>40248</v>
          </cell>
          <cell r="BA216">
            <v>13918</v>
          </cell>
          <cell r="BB216">
            <v>12950</v>
          </cell>
          <cell r="BC216">
            <v>15303</v>
          </cell>
          <cell r="BD216">
            <v>42171</v>
          </cell>
          <cell r="BE216">
            <v>17126</v>
          </cell>
          <cell r="BF216">
            <v>15696</v>
          </cell>
          <cell r="BG216">
            <v>17722</v>
          </cell>
          <cell r="BH216">
            <v>50544</v>
          </cell>
          <cell r="BI216">
            <v>15432</v>
          </cell>
          <cell r="BJ216">
            <v>14868</v>
          </cell>
          <cell r="BK216">
            <v>15060</v>
          </cell>
          <cell r="BL216">
            <v>45360</v>
          </cell>
          <cell r="BM216">
            <v>14350</v>
          </cell>
          <cell r="BN216">
            <v>15108</v>
          </cell>
          <cell r="BO216">
            <v>12822</v>
          </cell>
          <cell r="BP216">
            <v>42280</v>
          </cell>
        </row>
        <row r="217">
          <cell r="A217" t="str">
            <v xml:space="preserve">  % Change</v>
          </cell>
          <cell r="R217">
            <v>-0.34013972509371804</v>
          </cell>
          <cell r="S217">
            <v>-0.37668517049960348</v>
          </cell>
          <cell r="U217">
            <v>-0.35170294829051452</v>
          </cell>
          <cell r="V217">
            <v>-0.34733324145534727</v>
          </cell>
          <cell r="W217">
            <v>-0.36705915532679967</v>
          </cell>
          <cell r="X217">
            <v>-0.35521231132933262</v>
          </cell>
          <cell r="Y217">
            <v>-0.37510347999386784</v>
          </cell>
          <cell r="Z217">
            <v>-0.38964509692132265</v>
          </cell>
          <cell r="AA217">
            <v>-0.40357540436120753</v>
          </cell>
          <cell r="AB217">
            <v>-0.38910996371449558</v>
          </cell>
          <cell r="AC217">
            <v>-0.38020051000803434</v>
          </cell>
          <cell r="AD217">
            <v>-0.4257756403833951</v>
          </cell>
          <cell r="AE217">
            <v>-0.40329561849798767</v>
          </cell>
          <cell r="AF217">
            <v>-0.40343666085645635</v>
          </cell>
          <cell r="AG217">
            <v>-0.33005911778080943</v>
          </cell>
          <cell r="AH217">
            <v>-0.36380460512158386</v>
          </cell>
          <cell r="AI217">
            <v>-0.34273702843234866</v>
          </cell>
          <cell r="AJ217">
            <v>-0.34606574727895989</v>
          </cell>
          <cell r="AK217">
            <v>-0.36039124735303019</v>
          </cell>
          <cell r="AL217">
            <v>-0.41614316634112869</v>
          </cell>
          <cell r="AM217">
            <v>-0.41082767071404702</v>
          </cell>
          <cell r="AN217">
            <v>-0.39496924080308826</v>
          </cell>
          <cell r="AO217">
            <v>-0.44835876551690301</v>
          </cell>
          <cell r="AP217">
            <v>-0.45828711541829648</v>
          </cell>
          <cell r="AQ217">
            <v>-0.39525691699604748</v>
          </cell>
          <cell r="AR217">
            <v>-0.43405232745935474</v>
          </cell>
          <cell r="AS217">
            <v>-0.33258186327002193</v>
          </cell>
          <cell r="AT217">
            <v>-0.26986157962079793</v>
          </cell>
          <cell r="AU217">
            <v>-0.1551921608551794</v>
          </cell>
          <cell r="AV217">
            <v>-0.25625333149073104</v>
          </cell>
          <cell r="AW217">
            <v>-7.935107249524842E-2</v>
          </cell>
          <cell r="AX217">
            <v>-6.291435529698286E-2</v>
          </cell>
          <cell r="AY217">
            <v>8.0037030802895037E-2</v>
          </cell>
          <cell r="AZ217">
            <v>-2.7732148033626447E-2</v>
          </cell>
          <cell r="BA217">
            <v>9.7114929843922448E-2</v>
          </cell>
          <cell r="BB217">
            <v>0.17088607594936711</v>
          </cell>
          <cell r="BC217">
            <v>0.44668179239931938</v>
          </cell>
          <cell r="BD217">
            <v>0.22861554597366274</v>
          </cell>
          <cell r="BE217">
            <v>0.52325891665925472</v>
          </cell>
          <cell r="BF217">
            <v>0.69156159068865186</v>
          </cell>
          <cell r="BG217">
            <v>0.60875090777051555</v>
          </cell>
          <cell r="BH217">
            <v>0.60263808738664459</v>
          </cell>
          <cell r="BI217">
            <v>0.3031582502955581</v>
          </cell>
          <cell r="BJ217">
            <v>0.18432372152302046</v>
          </cell>
          <cell r="BK217">
            <v>0.13429238532801091</v>
          </cell>
          <cell r="BL217">
            <v>0.20404533750962228</v>
          </cell>
          <cell r="BM217">
            <v>5.802551058025518E-2</v>
          </cell>
          <cell r="BN217">
            <v>9.0672827028587921E-2</v>
          </cell>
          <cell r="BO217">
            <v>-8.5716512117195442E-4</v>
          </cell>
          <cell r="BP217">
            <v>5.0486980719538943E-2</v>
          </cell>
        </row>
        <row r="218">
          <cell r="A218" t="str">
            <v>Sales (IMS)</v>
          </cell>
          <cell r="C218">
            <v>2</v>
          </cell>
          <cell r="D218">
            <v>1.6777519999999999</v>
          </cell>
          <cell r="E218">
            <v>1.7771680000000001</v>
          </cell>
          <cell r="F218">
            <v>1.4045669999999999</v>
          </cell>
          <cell r="G218">
            <v>2.04297</v>
          </cell>
          <cell r="H218">
            <v>5.2247050000000002</v>
          </cell>
          <cell r="I218">
            <v>1.6979059999999999</v>
          </cell>
          <cell r="J218">
            <v>1.6533409999999999</v>
          </cell>
          <cell r="K218">
            <v>2.0953729999999999</v>
          </cell>
          <cell r="L218">
            <v>5.4466199999999994</v>
          </cell>
          <cell r="M218">
            <v>1.525512</v>
          </cell>
          <cell r="N218">
            <v>1.6460600000000001</v>
          </cell>
          <cell r="O218">
            <v>1.8616170000000001</v>
          </cell>
          <cell r="P218">
            <v>5.0331890000000001</v>
          </cell>
          <cell r="Q218">
            <v>1.231106</v>
          </cell>
          <cell r="R218">
            <v>1.3262929999999999</v>
          </cell>
          <cell r="S218">
            <v>1.4062490000000001</v>
          </cell>
          <cell r="T218">
            <v>3.9636480000000001</v>
          </cell>
          <cell r="U218">
            <v>1.06856</v>
          </cell>
          <cell r="V218">
            <v>1.2093590000000001</v>
          </cell>
          <cell r="W218">
            <v>1.3407389999999999</v>
          </cell>
          <cell r="X218">
            <v>3.6186579999999999</v>
          </cell>
          <cell r="Y218">
            <v>1.091626</v>
          </cell>
          <cell r="Z218">
            <v>1.192698</v>
          </cell>
          <cell r="AA218">
            <v>1.5312049999999999</v>
          </cell>
          <cell r="AB218">
            <v>3.8155289999999997</v>
          </cell>
          <cell r="AC218">
            <v>1.151632</v>
          </cell>
          <cell r="AD218">
            <v>1.0993219999999999</v>
          </cell>
          <cell r="AE218">
            <v>1.3767119999999999</v>
          </cell>
          <cell r="AF218">
            <v>3.6276659999999996</v>
          </cell>
          <cell r="AG218">
            <v>1.0129600000000001</v>
          </cell>
          <cell r="AH218">
            <v>1.027047</v>
          </cell>
          <cell r="AI218">
            <v>1.1588080000000001</v>
          </cell>
          <cell r="AJ218">
            <v>3.1988150000000002</v>
          </cell>
          <cell r="AK218">
            <v>0.93232400000000004</v>
          </cell>
          <cell r="AL218">
            <v>0.88494600000000001</v>
          </cell>
          <cell r="AM218">
            <v>1.1589590000000001</v>
          </cell>
          <cell r="AN218">
            <v>2.976229</v>
          </cell>
          <cell r="AO218">
            <v>0.912246</v>
          </cell>
          <cell r="AP218">
            <v>0.80219099999999999</v>
          </cell>
          <cell r="AQ218">
            <v>1.014902</v>
          </cell>
          <cell r="AR218">
            <v>2.729339</v>
          </cell>
          <cell r="AS218">
            <v>0.92091699999999999</v>
          </cell>
          <cell r="AT218">
            <v>0.91664999999999996</v>
          </cell>
          <cell r="AU218">
            <v>1.2788600000000001</v>
          </cell>
          <cell r="AV218">
            <v>3.1164269999999998</v>
          </cell>
          <cell r="AW218">
            <v>1.128064</v>
          </cell>
          <cell r="AX218">
            <v>1.1889959999999999</v>
          </cell>
          <cell r="AY218">
            <v>1.3085800000000001</v>
          </cell>
          <cell r="AZ218">
            <v>3.6256399999999998</v>
          </cell>
          <cell r="BA218">
            <v>1.093237</v>
          </cell>
          <cell r="BB218">
            <v>1.0735920000000001</v>
          </cell>
          <cell r="BC218">
            <v>1.225984</v>
          </cell>
          <cell r="BD218">
            <v>3.3928130000000003</v>
          </cell>
          <cell r="BE218">
            <v>1.4002589999999999</v>
          </cell>
          <cell r="BF218">
            <v>1.256178</v>
          </cell>
          <cell r="BG218">
            <v>1.5873870000000001</v>
          </cell>
          <cell r="BH218">
            <v>4.243824</v>
          </cell>
          <cell r="BI218">
            <v>1.178585</v>
          </cell>
          <cell r="BJ218">
            <v>1.165586</v>
          </cell>
          <cell r="BK218">
            <v>1.3998949999999999</v>
          </cell>
          <cell r="BL218">
            <v>3.7440660000000001</v>
          </cell>
          <cell r="BM218">
            <v>1.07555</v>
          </cell>
          <cell r="BN218">
            <v>1.2165600000000001</v>
          </cell>
          <cell r="BO218">
            <v>1.3971070000000001</v>
          </cell>
          <cell r="BP218">
            <v>3.6892170000000002</v>
          </cell>
        </row>
        <row r="219">
          <cell r="A219" t="str">
            <v xml:space="preserve">  % Change</v>
          </cell>
          <cell r="R219">
            <v>-0.33685350000000003</v>
          </cell>
          <cell r="S219">
            <v>-0.16182546645749785</v>
          </cell>
          <cell r="U219">
            <v>-0.3987287639660404</v>
          </cell>
          <cell r="V219">
            <v>-0.13898091013102243</v>
          </cell>
          <cell r="W219">
            <v>-0.34373045125479085</v>
          </cell>
          <cell r="X219">
            <v>-0.30739477157083517</v>
          </cell>
          <cell r="Y219">
            <v>-0.35707512665601038</v>
          </cell>
          <cell r="Z219">
            <v>-0.27861342578451753</v>
          </cell>
          <cell r="AA219">
            <v>-0.26924466431513627</v>
          </cell>
          <cell r="AB219">
            <v>-0.29946847769809526</v>
          </cell>
          <cell r="AC219">
            <v>-0.24508492886322752</v>
          </cell>
          <cell r="AD219">
            <v>-0.33214949637315783</v>
          </cell>
          <cell r="AE219">
            <v>-0.26047516755594735</v>
          </cell>
          <cell r="AF219">
            <v>-0.27925098779322621</v>
          </cell>
          <cell r="AG219">
            <v>-0.17719513997982295</v>
          </cell>
          <cell r="AH219">
            <v>-0.22562586095229331</v>
          </cell>
          <cell r="AI219">
            <v>-0.1759581695702539</v>
          </cell>
          <cell r="AJ219">
            <v>-0.19296188763482525</v>
          </cell>
          <cell r="AK219">
            <v>-0.12749494647001569</v>
          </cell>
          <cell r="AL219">
            <v>-0.26825202441954787</v>
          </cell>
          <cell r="AM219">
            <v>-0.1355819439876067</v>
          </cell>
          <cell r="AN219">
            <v>-0.17753238907904534</v>
          </cell>
          <cell r="AO219">
            <v>-0.16432367862253183</v>
          </cell>
          <cell r="AP219">
            <v>-0.32741481917467796</v>
          </cell>
          <cell r="AQ219">
            <v>-0.33718737856785996</v>
          </cell>
          <cell r="AR219">
            <v>-0.28467612223626126</v>
          </cell>
          <cell r="AS219">
            <v>-0.20033743418036321</v>
          </cell>
          <cell r="AT219">
            <v>-0.16616787438075464</v>
          </cell>
          <cell r="AU219">
            <v>-7.1076594087942757E-2</v>
          </cell>
          <cell r="AV219">
            <v>-0.14092780316600251</v>
          </cell>
          <cell r="AW219">
            <v>0.11363133786131718</v>
          </cell>
          <cell r="AX219">
            <v>0.15768411766939572</v>
          </cell>
          <cell r="AY219">
            <v>0.12924660513217034</v>
          </cell>
          <cell r="AZ219">
            <v>0.13343222412049438</v>
          </cell>
          <cell r="BA219">
            <v>0.17259343318417208</v>
          </cell>
          <cell r="BB219">
            <v>0.21317232915906748</v>
          </cell>
          <cell r="BC219">
            <v>5.7832071712631716E-2</v>
          </cell>
          <cell r="BD219">
            <v>0.13997041222298434</v>
          </cell>
          <cell r="BE219">
            <v>0.53495767589005583</v>
          </cell>
          <cell r="BF219">
            <v>0.56593379880851313</v>
          </cell>
          <cell r="BG219">
            <v>0.56407909335088524</v>
          </cell>
          <cell r="BH219">
            <v>0.55489076292831352</v>
          </cell>
          <cell r="BI219">
            <v>0.27979503038818909</v>
          </cell>
          <cell r="BJ219">
            <v>0.27157148311787482</v>
          </cell>
          <cell r="BK219">
            <v>9.4642885069514904E-2</v>
          </cell>
          <cell r="BL219">
            <v>0.20139698443120935</v>
          </cell>
          <cell r="BM219">
            <v>-4.6552323272438412E-2</v>
          </cell>
          <cell r="BN219">
            <v>2.3182584298012898E-2</v>
          </cell>
          <cell r="BO219">
            <v>6.7651194424490635E-2</v>
          </cell>
          <cell r="BP219">
            <v>1.7535386855837887E-2</v>
          </cell>
        </row>
        <row r="221">
          <cell r="A221" t="str">
            <v>FLUOROPLEX</v>
          </cell>
        </row>
        <row r="222">
          <cell r="A222" t="str">
            <v>TRx</v>
          </cell>
          <cell r="C222">
            <v>5150</v>
          </cell>
          <cell r="D222">
            <v>6695</v>
          </cell>
          <cell r="E222">
            <v>8434</v>
          </cell>
          <cell r="F222">
            <v>7736</v>
          </cell>
          <cell r="G222">
            <v>6848</v>
          </cell>
          <cell r="H222">
            <v>23018</v>
          </cell>
          <cell r="I222">
            <v>9553</v>
          </cell>
          <cell r="J222">
            <v>7431</v>
          </cell>
          <cell r="K222">
            <v>7103</v>
          </cell>
          <cell r="L222">
            <v>24087</v>
          </cell>
          <cell r="M222">
            <v>5514</v>
          </cell>
          <cell r="N222">
            <v>4816</v>
          </cell>
          <cell r="O222">
            <v>4383</v>
          </cell>
          <cell r="P222">
            <v>14713</v>
          </cell>
          <cell r="Q222">
            <v>3975</v>
          </cell>
          <cell r="R222">
            <v>4453</v>
          </cell>
          <cell r="S222">
            <v>5031</v>
          </cell>
          <cell r="T222">
            <v>13459</v>
          </cell>
          <cell r="U222">
            <v>7110</v>
          </cell>
          <cell r="V222">
            <v>5795</v>
          </cell>
          <cell r="W222">
            <v>4947</v>
          </cell>
          <cell r="X222">
            <v>17852</v>
          </cell>
          <cell r="Y222">
            <v>6029</v>
          </cell>
          <cell r="Z222">
            <v>4786</v>
          </cell>
          <cell r="AA222">
            <v>4420</v>
          </cell>
          <cell r="AB222">
            <v>15235</v>
          </cell>
          <cell r="AC222">
            <v>4045</v>
          </cell>
          <cell r="AD222">
            <v>3985</v>
          </cell>
          <cell r="AE222">
            <v>2954</v>
          </cell>
          <cell r="AF222">
            <v>10984</v>
          </cell>
          <cell r="AG222">
            <v>2865</v>
          </cell>
          <cell r="AH222">
            <v>2969</v>
          </cell>
          <cell r="AI222">
            <v>3610</v>
          </cell>
          <cell r="AJ222">
            <v>9444</v>
          </cell>
          <cell r="AK222">
            <v>4600</v>
          </cell>
          <cell r="AL222">
            <v>3918</v>
          </cell>
          <cell r="AM222">
            <v>3393</v>
          </cell>
          <cell r="AN222">
            <v>11911</v>
          </cell>
          <cell r="AO222">
            <v>4270</v>
          </cell>
          <cell r="AP222">
            <v>3220</v>
          </cell>
          <cell r="AQ222">
            <v>3004</v>
          </cell>
          <cell r="AR222">
            <v>10494</v>
          </cell>
          <cell r="AS222">
            <v>2751</v>
          </cell>
          <cell r="AT222">
            <v>2364</v>
          </cell>
          <cell r="AU222">
            <v>2191</v>
          </cell>
          <cell r="AV222">
            <v>7306</v>
          </cell>
          <cell r="AW222">
            <v>1987</v>
          </cell>
          <cell r="AX222">
            <v>1868</v>
          </cell>
          <cell r="AY222">
            <v>2296</v>
          </cell>
          <cell r="AZ222">
            <v>6151</v>
          </cell>
          <cell r="BA222">
            <v>2841</v>
          </cell>
          <cell r="BB222">
            <v>2392</v>
          </cell>
          <cell r="BC222">
            <v>2467</v>
          </cell>
          <cell r="BD222">
            <v>7700</v>
          </cell>
          <cell r="BE222">
            <v>2744</v>
          </cell>
          <cell r="BF222">
            <v>2183</v>
          </cell>
          <cell r="BG222">
            <v>2171</v>
          </cell>
          <cell r="BH222">
            <v>7098</v>
          </cell>
          <cell r="BI222">
            <v>1874</v>
          </cell>
          <cell r="BJ222">
            <v>1644</v>
          </cell>
          <cell r="BK222">
            <v>1587</v>
          </cell>
          <cell r="BL222">
            <v>5105</v>
          </cell>
          <cell r="BM222">
            <v>1452</v>
          </cell>
          <cell r="BN222">
            <v>1455</v>
          </cell>
          <cell r="BO222">
            <v>1729</v>
          </cell>
          <cell r="BP222">
            <v>4636</v>
          </cell>
        </row>
        <row r="223">
          <cell r="A223" t="str">
            <v xml:space="preserve">  % Change</v>
          </cell>
          <cell r="R223">
            <v>-0.13533980582524274</v>
          </cell>
          <cell r="S223">
            <v>-0.24854368932038839</v>
          </cell>
          <cell r="U223">
            <v>-0.15698363765710222</v>
          </cell>
          <cell r="V223">
            <v>-0.25090486039296789</v>
          </cell>
          <cell r="W223">
            <v>-0.27759929906542058</v>
          </cell>
          <cell r="X223">
            <v>-0.22443305239377875</v>
          </cell>
          <cell r="Y223">
            <v>-0.36888935412959278</v>
          </cell>
          <cell r="Z223">
            <v>-0.35594132687390656</v>
          </cell>
          <cell r="AA223">
            <v>-0.37772772068140226</v>
          </cell>
          <cell r="AB223">
            <v>-0.36750114169469006</v>
          </cell>
          <cell r="AC223">
            <v>-0.26641276750090681</v>
          </cell>
          <cell r="AD223">
            <v>-0.17254983388704315</v>
          </cell>
          <cell r="AE223">
            <v>-0.32603239790098104</v>
          </cell>
          <cell r="AF223">
            <v>-0.25344933052402641</v>
          </cell>
          <cell r="AG223">
            <v>-0.27924528301886797</v>
          </cell>
          <cell r="AH223">
            <v>-0.33325847743094539</v>
          </cell>
          <cell r="AI223">
            <v>-0.28244881733253824</v>
          </cell>
          <cell r="AJ223">
            <v>-0.29831339624043396</v>
          </cell>
          <cell r="AK223">
            <v>-0.35302390998593525</v>
          </cell>
          <cell r="AL223">
            <v>-0.32389991371872306</v>
          </cell>
          <cell r="AM223">
            <v>-0.31412977562158884</v>
          </cell>
          <cell r="AN223">
            <v>-0.33279184405108675</v>
          </cell>
          <cell r="AO223">
            <v>-0.29175651020069659</v>
          </cell>
          <cell r="AP223">
            <v>-0.32720434600919346</v>
          </cell>
          <cell r="AQ223">
            <v>-0.32036199095022622</v>
          </cell>
          <cell r="AR223">
            <v>-0.31119133574007218</v>
          </cell>
          <cell r="AS223">
            <v>-0.31990111248454878</v>
          </cell>
          <cell r="AT223">
            <v>-0.40677540777917187</v>
          </cell>
          <cell r="AU223">
            <v>-0.25829383886255919</v>
          </cell>
          <cell r="AV223">
            <v>-0.33485069191551342</v>
          </cell>
          <cell r="AW223">
            <v>-0.30645724258289708</v>
          </cell>
          <cell r="AX223">
            <v>-0.37083192994274161</v>
          </cell>
          <cell r="AY223">
            <v>-0.36398891966759006</v>
          </cell>
          <cell r="AZ223">
            <v>-0.3486869970351546</v>
          </cell>
          <cell r="BA223">
            <v>-0.38239130434782609</v>
          </cell>
          <cell r="BB223">
            <v>-0.38948443083205719</v>
          </cell>
          <cell r="BC223">
            <v>-0.27291482463896255</v>
          </cell>
          <cell r="BD223">
            <v>-0.35353874569725463</v>
          </cell>
          <cell r="BE223">
            <v>-0.35737704918032787</v>
          </cell>
          <cell r="BF223">
            <v>-0.32204968944099377</v>
          </cell>
          <cell r="BG223">
            <v>-0.27729693741677763</v>
          </cell>
          <cell r="BH223">
            <v>-0.32361349342481416</v>
          </cell>
          <cell r="BI223">
            <v>-0.3187931661214104</v>
          </cell>
          <cell r="BJ223">
            <v>-0.30456852791878175</v>
          </cell>
          <cell r="BK223">
            <v>-0.27567320858055677</v>
          </cell>
          <cell r="BL223">
            <v>-0.30125923898165896</v>
          </cell>
          <cell r="BM223">
            <v>-0.26925012581781582</v>
          </cell>
          <cell r="BN223">
            <v>-0.22109207708779444</v>
          </cell>
          <cell r="BO223">
            <v>-0.24695121951219512</v>
          </cell>
          <cell r="BP223">
            <v>-0.24630141440416198</v>
          </cell>
        </row>
        <row r="224">
          <cell r="A224" t="str">
            <v>NRx</v>
          </cell>
          <cell r="C224">
            <v>4655</v>
          </cell>
          <cell r="D224">
            <v>5963</v>
          </cell>
          <cell r="E224">
            <v>7430</v>
          </cell>
          <cell r="F224">
            <v>6573</v>
          </cell>
          <cell r="G224">
            <v>5811</v>
          </cell>
          <cell r="H224">
            <v>19814</v>
          </cell>
          <cell r="I224">
            <v>8095</v>
          </cell>
          <cell r="J224">
            <v>6328</v>
          </cell>
          <cell r="K224">
            <v>5888</v>
          </cell>
          <cell r="L224">
            <v>20311</v>
          </cell>
          <cell r="M224">
            <v>4601</v>
          </cell>
          <cell r="N224">
            <v>3994</v>
          </cell>
          <cell r="O224">
            <v>3716</v>
          </cell>
          <cell r="P224">
            <v>12311</v>
          </cell>
          <cell r="Q224">
            <v>3358</v>
          </cell>
          <cell r="R224">
            <v>3731</v>
          </cell>
          <cell r="S224">
            <v>4370</v>
          </cell>
          <cell r="T224">
            <v>11459</v>
          </cell>
          <cell r="U224">
            <v>6093</v>
          </cell>
          <cell r="V224">
            <v>4853</v>
          </cell>
          <cell r="W224">
            <v>4206</v>
          </cell>
          <cell r="X224">
            <v>15152</v>
          </cell>
          <cell r="Y224">
            <v>5107</v>
          </cell>
          <cell r="Z224">
            <v>3972</v>
          </cell>
          <cell r="AA224">
            <v>3631</v>
          </cell>
          <cell r="AB224">
            <v>12710</v>
          </cell>
          <cell r="AC224">
            <v>3436</v>
          </cell>
          <cell r="AD224">
            <v>3435</v>
          </cell>
          <cell r="AE224">
            <v>2498</v>
          </cell>
          <cell r="AF224">
            <v>9369</v>
          </cell>
          <cell r="AG224">
            <v>2483</v>
          </cell>
          <cell r="AH224">
            <v>2529</v>
          </cell>
          <cell r="AI224">
            <v>3075</v>
          </cell>
          <cell r="AJ224">
            <v>8087</v>
          </cell>
          <cell r="AK224">
            <v>4009</v>
          </cell>
          <cell r="AL224">
            <v>3254</v>
          </cell>
          <cell r="AM224">
            <v>2834</v>
          </cell>
          <cell r="AN224">
            <v>10097</v>
          </cell>
          <cell r="AO224">
            <v>3550</v>
          </cell>
          <cell r="AP224">
            <v>2692</v>
          </cell>
          <cell r="AQ224">
            <v>2475</v>
          </cell>
          <cell r="AR224">
            <v>8717</v>
          </cell>
          <cell r="AS224">
            <v>2232</v>
          </cell>
          <cell r="AT224">
            <v>1963</v>
          </cell>
          <cell r="AU224">
            <v>1855</v>
          </cell>
          <cell r="AV224">
            <v>6050</v>
          </cell>
          <cell r="AW224">
            <v>1685</v>
          </cell>
          <cell r="AX224">
            <v>1655</v>
          </cell>
          <cell r="AY224">
            <v>1990</v>
          </cell>
          <cell r="AZ224">
            <v>5330</v>
          </cell>
          <cell r="BA224">
            <v>2399</v>
          </cell>
          <cell r="BB224">
            <v>1973</v>
          </cell>
          <cell r="BC224">
            <v>2082</v>
          </cell>
          <cell r="BD224">
            <v>6454</v>
          </cell>
          <cell r="BE224">
            <v>2300</v>
          </cell>
          <cell r="BF224">
            <v>1815</v>
          </cell>
          <cell r="BG224">
            <v>1787</v>
          </cell>
          <cell r="BH224">
            <v>5902</v>
          </cell>
          <cell r="BI224">
            <v>1572</v>
          </cell>
          <cell r="BJ224">
            <v>1413</v>
          </cell>
          <cell r="BK224">
            <v>1351</v>
          </cell>
          <cell r="BL224">
            <v>4336</v>
          </cell>
          <cell r="BM224">
            <v>1241</v>
          </cell>
          <cell r="BN224">
            <v>1262</v>
          </cell>
          <cell r="BO224">
            <v>1511</v>
          </cell>
          <cell r="BP224">
            <v>4014</v>
          </cell>
        </row>
        <row r="225">
          <cell r="A225" t="str">
            <v xml:space="preserve">  % Change</v>
          </cell>
          <cell r="R225">
            <v>-0.19849624060150373</v>
          </cell>
          <cell r="S225">
            <v>-0.26714740902230416</v>
          </cell>
          <cell r="U225">
            <v>-0.17994616419919252</v>
          </cell>
          <cell r="V225">
            <v>-0.26167655560626801</v>
          </cell>
          <cell r="W225">
            <v>-0.27620030975735677</v>
          </cell>
          <cell r="X225">
            <v>-0.23528818007469465</v>
          </cell>
          <cell r="Y225">
            <v>-0.36911673872760964</v>
          </cell>
          <cell r="Z225">
            <v>-0.37231352718078381</v>
          </cell>
          <cell r="AA225">
            <v>-0.38332201086956519</v>
          </cell>
          <cell r="AB225">
            <v>-0.37423071242184036</v>
          </cell>
          <cell r="AC225">
            <v>-0.25320582482069121</v>
          </cell>
          <cell r="AD225">
            <v>-0.13995993990986477</v>
          </cell>
          <cell r="AE225">
            <v>-0.32777179763186226</v>
          </cell>
          <cell r="AF225">
            <v>-0.23897327593209328</v>
          </cell>
          <cell r="AG225">
            <v>-0.2605717689100655</v>
          </cell>
          <cell r="AH225">
            <v>-0.32216563923880992</v>
          </cell>
          <cell r="AI225">
            <v>-0.29633867276887871</v>
          </cell>
          <cell r="AJ225">
            <v>-0.29426651540274018</v>
          </cell>
          <cell r="AK225">
            <v>-0.34203183981618246</v>
          </cell>
          <cell r="AL225">
            <v>-0.32948691531011742</v>
          </cell>
          <cell r="AM225">
            <v>-0.32620066571564432</v>
          </cell>
          <cell r="AN225">
            <v>-0.33361932418162621</v>
          </cell>
          <cell r="AO225">
            <v>-0.30487566085764639</v>
          </cell>
          <cell r="AP225">
            <v>-0.32225579053373621</v>
          </cell>
          <cell r="AQ225">
            <v>-0.31836959515285046</v>
          </cell>
          <cell r="AR225">
            <v>-0.31416207710464206</v>
          </cell>
          <cell r="AS225">
            <v>-0.35040745052386491</v>
          </cell>
          <cell r="AT225">
            <v>-0.42852983988355164</v>
          </cell>
          <cell r="AU225">
            <v>-0.25740592473979185</v>
          </cell>
          <cell r="AV225">
            <v>-0.35425338883552138</v>
          </cell>
          <cell r="AW225">
            <v>-0.32138542086186062</v>
          </cell>
          <cell r="AX225">
            <v>-0.34559114274416769</v>
          </cell>
          <cell r="AY225">
            <v>-0.35284552845528461</v>
          </cell>
          <cell r="AZ225">
            <v>-0.34091752194880676</v>
          </cell>
          <cell r="BA225">
            <v>-0.40159640808181596</v>
          </cell>
          <cell r="BB225">
            <v>-0.39366933005531657</v>
          </cell>
          <cell r="BC225">
            <v>-0.26534932956951307</v>
          </cell>
          <cell r="BD225">
            <v>-0.36080023769436464</v>
          </cell>
          <cell r="BE225">
            <v>-0.352112676056338</v>
          </cell>
          <cell r="BF225">
            <v>-0.32578008915304602</v>
          </cell>
          <cell r="BG225">
            <v>-0.27797979797979799</v>
          </cell>
          <cell r="BH225">
            <v>-0.32293220144545143</v>
          </cell>
          <cell r="BI225">
            <v>-0.29569892473118276</v>
          </cell>
          <cell r="BJ225">
            <v>-0.28018339276617421</v>
          </cell>
          <cell r="BK225">
            <v>-0.27169811320754722</v>
          </cell>
          <cell r="BL225">
            <v>-0.28330578512396698</v>
          </cell>
          <cell r="BM225">
            <v>-0.26350148367952519</v>
          </cell>
          <cell r="BN225">
            <v>-0.23746223564954683</v>
          </cell>
          <cell r="BO225">
            <v>-0.24070351758793973</v>
          </cell>
          <cell r="BP225">
            <v>-0.24690431519699807</v>
          </cell>
        </row>
        <row r="226">
          <cell r="A226" t="str">
            <v>Sales (IMS)</v>
          </cell>
          <cell r="C226">
            <v>0.247778</v>
          </cell>
          <cell r="D226">
            <v>0.43782300000000002</v>
          </cell>
          <cell r="E226">
            <v>0.44490299999999999</v>
          </cell>
          <cell r="F226">
            <v>0.42283500000000002</v>
          </cell>
          <cell r="G226">
            <v>0.46723700000000001</v>
          </cell>
          <cell r="H226">
            <v>1.334975</v>
          </cell>
          <cell r="I226">
            <v>0.532447</v>
          </cell>
          <cell r="J226">
            <v>0.50168500000000005</v>
          </cell>
          <cell r="K226">
            <v>0.52708699999999997</v>
          </cell>
          <cell r="L226">
            <v>1.5612189999999999</v>
          </cell>
          <cell r="M226">
            <v>0.33656599999999998</v>
          </cell>
          <cell r="N226">
            <v>0.31536999999999998</v>
          </cell>
          <cell r="O226">
            <v>0.354792</v>
          </cell>
          <cell r="P226">
            <v>1.0067279999999998</v>
          </cell>
          <cell r="Q226">
            <v>0.25293599999999999</v>
          </cell>
          <cell r="R226">
            <v>0.25937900000000003</v>
          </cell>
          <cell r="S226">
            <v>0.40171699999999999</v>
          </cell>
          <cell r="T226">
            <v>0.91403199999999996</v>
          </cell>
          <cell r="U226">
            <v>0.43995499999999998</v>
          </cell>
          <cell r="V226">
            <v>0.44084200000000001</v>
          </cell>
          <cell r="W226">
            <v>0.19157099999999999</v>
          </cell>
          <cell r="X226">
            <v>1.072368</v>
          </cell>
          <cell r="Y226">
            <v>0.44604899999999997</v>
          </cell>
          <cell r="Z226">
            <v>0.33330599999999999</v>
          </cell>
          <cell r="AA226">
            <v>0.362348</v>
          </cell>
          <cell r="AB226">
            <v>1.1417029999999999</v>
          </cell>
          <cell r="AC226">
            <v>0.255882</v>
          </cell>
          <cell r="AD226">
            <v>0.22087899999999999</v>
          </cell>
          <cell r="AE226">
            <v>0.240539</v>
          </cell>
          <cell r="AF226">
            <v>0.71730000000000005</v>
          </cell>
          <cell r="AG226">
            <v>0.17261099999999999</v>
          </cell>
          <cell r="AH226">
            <v>0.17916000000000001</v>
          </cell>
          <cell r="AI226">
            <v>0.29134500000000002</v>
          </cell>
          <cell r="AJ226">
            <v>0.64311600000000002</v>
          </cell>
          <cell r="AK226">
            <v>0.273227</v>
          </cell>
          <cell r="AL226">
            <v>0.26195299999999999</v>
          </cell>
          <cell r="AM226">
            <v>0.267847</v>
          </cell>
          <cell r="AN226">
            <v>0.80302700000000005</v>
          </cell>
          <cell r="AO226">
            <v>0.27421899999999999</v>
          </cell>
          <cell r="AP226">
            <v>0.22491</v>
          </cell>
          <cell r="AQ226">
            <v>0.24951400000000001</v>
          </cell>
          <cell r="AR226">
            <v>0.74864299999999995</v>
          </cell>
          <cell r="AS226">
            <v>0.17568400000000001</v>
          </cell>
          <cell r="AT226">
            <v>0.161524</v>
          </cell>
          <cell r="AU226">
            <v>0.18441399999999999</v>
          </cell>
          <cell r="AV226">
            <v>0.52162200000000003</v>
          </cell>
          <cell r="AW226">
            <v>0.129828</v>
          </cell>
          <cell r="AX226">
            <v>0.124083</v>
          </cell>
          <cell r="AY226">
            <v>0.19484299999999999</v>
          </cell>
          <cell r="AZ226">
            <v>0.44875399999999999</v>
          </cell>
          <cell r="BA226">
            <v>0.17464499999999999</v>
          </cell>
          <cell r="BB226">
            <v>0.16511100000000001</v>
          </cell>
          <cell r="BC226">
            <v>0.168688</v>
          </cell>
          <cell r="BD226">
            <v>0.50844400000000001</v>
          </cell>
          <cell r="BE226">
            <v>0.20501900000000001</v>
          </cell>
          <cell r="BF226">
            <v>0.17435700000000001</v>
          </cell>
          <cell r="BG226">
            <v>0.19717399999999999</v>
          </cell>
          <cell r="BH226">
            <v>0.57655000000000001</v>
          </cell>
          <cell r="BI226">
            <v>0.14743000000000001</v>
          </cell>
          <cell r="BJ226">
            <v>0.135965</v>
          </cell>
          <cell r="BK226">
            <v>0.138764</v>
          </cell>
          <cell r="BL226">
            <v>0.42215900000000001</v>
          </cell>
          <cell r="BM226">
            <v>0.1023</v>
          </cell>
          <cell r="BN226">
            <v>0.113786</v>
          </cell>
          <cell r="BO226">
            <v>0.185277</v>
          </cell>
          <cell r="BP226">
            <v>0.40136299999999997</v>
          </cell>
        </row>
        <row r="227">
          <cell r="A227" t="str">
            <v xml:space="preserve">  % Change</v>
          </cell>
          <cell r="R227">
            <v>4.6820137381042848E-2</v>
          </cell>
          <cell r="S227">
            <v>-8.24671157065755E-2</v>
          </cell>
          <cell r="U227">
            <v>-1.1121525366203477E-2</v>
          </cell>
          <cell r="V227">
            <v>4.2586351650170773E-2</v>
          </cell>
          <cell r="W227">
            <v>-0.58999180287520048</v>
          </cell>
          <cell r="X227">
            <v>-0.19671304706080639</v>
          </cell>
          <cell r="Y227">
            <v>-0.16226591566860182</v>
          </cell>
          <cell r="Z227">
            <v>-0.33562693722156345</v>
          </cell>
          <cell r="AA227">
            <v>-0.3125461261613357</v>
          </cell>
          <cell r="AB227">
            <v>-0.26871053964882574</v>
          </cell>
          <cell r="AC227">
            <v>-0.23972712632886262</v>
          </cell>
          <cell r="AD227">
            <v>-0.29961949456194314</v>
          </cell>
          <cell r="AE227">
            <v>-0.32202811788315411</v>
          </cell>
          <cell r="AF227">
            <v>-0.28749374210312995</v>
          </cell>
          <cell r="AG227">
            <v>-0.31757045260461148</v>
          </cell>
          <cell r="AH227">
            <v>-0.30927330277316212</v>
          </cell>
          <cell r="AI227">
            <v>-0.27475063290824131</v>
          </cell>
          <cell r="AJ227">
            <v>-0.2963966250634551</v>
          </cell>
          <cell r="AK227">
            <v>-0.37896603061676759</v>
          </cell>
          <cell r="AL227">
            <v>-0.40578937578542884</v>
          </cell>
          <cell r="AM227">
            <v>0.39816047314050662</v>
          </cell>
          <cell r="AN227">
            <v>-0.25116471211375191</v>
          </cell>
          <cell r="AO227">
            <v>-0.38522673517931882</v>
          </cell>
          <cell r="AP227">
            <v>-0.32521466760274342</v>
          </cell>
          <cell r="AQ227">
            <v>-0.31139677878724314</v>
          </cell>
          <cell r="AR227">
            <v>-0.34427517489224435</v>
          </cell>
          <cell r="AS227">
            <v>-0.31341790356492438</v>
          </cell>
          <cell r="AT227">
            <v>-0.26872178885272024</v>
          </cell>
          <cell r="AU227">
            <v>-0.23333014604700275</v>
          </cell>
          <cell r="AV227">
            <v>-0.27279799247176917</v>
          </cell>
          <cell r="AW227">
            <v>-0.24785790013382691</v>
          </cell>
          <cell r="AX227">
            <v>-0.30741795043536513</v>
          </cell>
          <cell r="AY227">
            <v>-0.3312292985978823</v>
          </cell>
          <cell r="AZ227">
            <v>-0.30221919529291763</v>
          </cell>
          <cell r="BA227">
            <v>-0.36080621607674201</v>
          </cell>
          <cell r="BB227">
            <v>-0.36969227304134711</v>
          </cell>
          <cell r="BC227">
            <v>-0.37020761852848827</v>
          </cell>
          <cell r="BD227">
            <v>-0.36684071643917326</v>
          </cell>
          <cell r="BE227">
            <v>-0.25235304628782096</v>
          </cell>
          <cell r="BF227">
            <v>-0.22476990796318519</v>
          </cell>
          <cell r="BG227">
            <v>-0.20976778858100154</v>
          </cell>
          <cell r="BH227">
            <v>-0.22987325066820896</v>
          </cell>
          <cell r="BI227">
            <v>-0.16082284100999522</v>
          </cell>
          <cell r="BJ227">
            <v>-0.15823654689086453</v>
          </cell>
          <cell r="BK227">
            <v>-0.24754085915386037</v>
          </cell>
          <cell r="BL227">
            <v>-0.19068022437703935</v>
          </cell>
          <cell r="BM227">
            <v>-0.21203438395415475</v>
          </cell>
          <cell r="BN227">
            <v>-8.2984776319076747E-2</v>
          </cell>
          <cell r="BO227">
            <v>-4.9095938781480442E-2</v>
          </cell>
          <cell r="BP227">
            <v>-0.10560574390423261</v>
          </cell>
        </row>
        <row r="229">
          <cell r="A229" t="str">
            <v>TRx SKIN CARE</v>
          </cell>
          <cell r="C229">
            <v>94504</v>
          </cell>
          <cell r="D229">
            <v>84638</v>
          </cell>
          <cell r="E229">
            <v>89864</v>
          </cell>
          <cell r="F229">
            <v>86444</v>
          </cell>
          <cell r="G229">
            <v>86499</v>
          </cell>
          <cell r="H229">
            <v>262807</v>
          </cell>
          <cell r="I229">
            <v>98379</v>
          </cell>
          <cell r="J229">
            <v>86939</v>
          </cell>
          <cell r="K229">
            <v>97594</v>
          </cell>
          <cell r="L229">
            <v>282912</v>
          </cell>
          <cell r="M229">
            <v>90328</v>
          </cell>
          <cell r="N229">
            <v>96510</v>
          </cell>
          <cell r="O229">
            <v>91355</v>
          </cell>
          <cell r="P229">
            <v>278193</v>
          </cell>
          <cell r="Q229">
            <v>88415</v>
          </cell>
          <cell r="R229">
            <v>102535</v>
          </cell>
          <cell r="S229">
            <v>85598</v>
          </cell>
          <cell r="T229">
            <v>276548</v>
          </cell>
          <cell r="U229">
            <v>97554</v>
          </cell>
          <cell r="V229">
            <v>93300</v>
          </cell>
          <cell r="W229">
            <v>90796</v>
          </cell>
          <cell r="X229">
            <v>281650</v>
          </cell>
          <cell r="Y229">
            <v>97941</v>
          </cell>
          <cell r="Z229">
            <v>86169</v>
          </cell>
          <cell r="AA229">
            <v>96468</v>
          </cell>
          <cell r="AB229">
            <v>280578</v>
          </cell>
          <cell r="AC229">
            <v>97193</v>
          </cell>
          <cell r="AD229">
            <v>99846</v>
          </cell>
          <cell r="AE229">
            <v>97806</v>
          </cell>
          <cell r="AF229">
            <v>294845</v>
          </cell>
          <cell r="AG229">
            <v>100400</v>
          </cell>
          <cell r="AH229">
            <v>109413</v>
          </cell>
          <cell r="AI229">
            <v>97553</v>
          </cell>
          <cell r="AJ229">
            <v>307366</v>
          </cell>
          <cell r="AK229">
            <v>104522</v>
          </cell>
          <cell r="AL229">
            <v>95807</v>
          </cell>
          <cell r="AM229">
            <v>95725</v>
          </cell>
          <cell r="AN229">
            <v>296054</v>
          </cell>
          <cell r="AO229">
            <v>98536</v>
          </cell>
          <cell r="AP229">
            <v>81863</v>
          </cell>
          <cell r="AQ229">
            <v>91320</v>
          </cell>
          <cell r="AR229">
            <v>271719</v>
          </cell>
          <cell r="AS229">
            <v>93086</v>
          </cell>
          <cell r="AT229">
            <v>97745</v>
          </cell>
          <cell r="AU229">
            <v>99654</v>
          </cell>
          <cell r="AV229">
            <v>290485</v>
          </cell>
          <cell r="AW229">
            <v>104761</v>
          </cell>
          <cell r="AX229">
            <v>112914</v>
          </cell>
          <cell r="AY229">
            <v>104776</v>
          </cell>
          <cell r="AZ229">
            <v>322451</v>
          </cell>
          <cell r="BA229">
            <v>108303</v>
          </cell>
          <cell r="BB229">
            <v>96520</v>
          </cell>
          <cell r="BC229">
            <v>103588</v>
          </cell>
          <cell r="BD229">
            <v>308411</v>
          </cell>
          <cell r="BE229">
            <v>103023</v>
          </cell>
          <cell r="BF229">
            <v>92495</v>
          </cell>
          <cell r="BG229">
            <v>109411</v>
          </cell>
          <cell r="BH229">
            <v>304929</v>
          </cell>
          <cell r="BI229">
            <v>97591</v>
          </cell>
          <cell r="BJ229">
            <v>98400</v>
          </cell>
          <cell r="BK229">
            <v>105634</v>
          </cell>
          <cell r="BL229">
            <v>301625</v>
          </cell>
          <cell r="BM229">
            <v>102755</v>
          </cell>
          <cell r="BN229">
            <v>114391</v>
          </cell>
          <cell r="BO229">
            <v>100225</v>
          </cell>
          <cell r="BP229">
            <v>317371</v>
          </cell>
        </row>
        <row r="230">
          <cell r="A230" t="str">
            <v xml:space="preserve">  % Change</v>
          </cell>
          <cell r="X230">
            <v>7.1699003451201726E-2</v>
          </cell>
          <cell r="AB230">
            <v>-8.2499151679674698E-3</v>
          </cell>
          <cell r="AF230">
            <v>5.9857724673158641E-2</v>
          </cell>
          <cell r="AG230">
            <v>0.13555392184584059</v>
          </cell>
          <cell r="AH230">
            <v>6.7079533817720804E-2</v>
          </cell>
          <cell r="AI230">
            <v>0.13966447814201266</v>
          </cell>
          <cell r="AJ230">
            <v>0.11143815901760279</v>
          </cell>
          <cell r="AK230">
            <v>7.1427107038153137E-2</v>
          </cell>
          <cell r="AL230">
            <v>2.6870310825294785E-2</v>
          </cell>
          <cell r="AM230">
            <v>5.4286532446363278E-2</v>
          </cell>
          <cell r="AN230">
            <v>5.114148766199178E-2</v>
          </cell>
          <cell r="AO230">
            <v>6.0750860211760127E-3</v>
          </cell>
          <cell r="AP230">
            <v>-4.9971567501073455E-2</v>
          </cell>
          <cell r="AQ230">
            <v>-5.3364846373927133E-2</v>
          </cell>
          <cell r="AR230">
            <v>-3.1574107734747558E-2</v>
          </cell>
          <cell r="AS230">
            <v>-4.2256129556655364E-2</v>
          </cell>
          <cell r="AT230">
            <v>-2.1042405304168454E-2</v>
          </cell>
          <cell r="AU230">
            <v>1.889454634684995E-2</v>
          </cell>
          <cell r="AV230">
            <v>-1.4787430683918634E-2</v>
          </cell>
          <cell r="AW230">
            <v>4.3436254980079747E-2</v>
          </cell>
          <cell r="AX230">
            <v>3.1998025828740673E-2</v>
          </cell>
          <cell r="AY230">
            <v>7.4041802917388599E-2</v>
          </cell>
          <cell r="AZ230">
            <v>4.9078297534535409E-2</v>
          </cell>
          <cell r="BA230">
            <v>3.617420256022652E-2</v>
          </cell>
          <cell r="BB230">
            <v>7.442044944523829E-3</v>
          </cell>
          <cell r="BC230">
            <v>8.2141551318882122E-2</v>
          </cell>
          <cell r="BD230">
            <v>4.1739007073033907E-2</v>
          </cell>
          <cell r="BE230">
            <v>4.5536656653405894E-2</v>
          </cell>
          <cell r="BF230">
            <v>0.12987552374088418</v>
          </cell>
          <cell r="BG230">
            <v>0.19810556285589143</v>
          </cell>
          <cell r="BH230">
            <v>0.12222185419495868</v>
          </cell>
          <cell r="BI230">
            <v>4.8396106825945973E-2</v>
          </cell>
          <cell r="BJ230">
            <v>6.7011100312035499E-3</v>
          </cell>
          <cell r="BK230">
            <v>6.000762638729995E-2</v>
          </cell>
          <cell r="BL230">
            <v>3.8349656608774874E-2</v>
          </cell>
          <cell r="BM230">
            <v>-1.9148347190271142E-2</v>
          </cell>
          <cell r="BN230">
            <v>1.3080751722549966E-2</v>
          </cell>
          <cell r="BO230">
            <v>-4.343551958463765E-2</v>
          </cell>
          <cell r="BP230">
            <v>-1.575433166589657E-2</v>
          </cell>
        </row>
        <row r="232">
          <cell r="A232" t="str">
            <v xml:space="preserve">TOTAL SKIN CARE REPORTED SALES </v>
          </cell>
          <cell r="H232">
            <v>20.3</v>
          </cell>
          <cell r="L232">
            <v>18</v>
          </cell>
          <cell r="P232">
            <v>18.7</v>
          </cell>
          <cell r="T232">
            <v>18.399999999999999</v>
          </cell>
          <cell r="X232">
            <v>23.8</v>
          </cell>
          <cell r="AB232">
            <v>21.8</v>
          </cell>
          <cell r="AF232">
            <v>19.600000000000001</v>
          </cell>
          <cell r="AJ232">
            <v>26.9</v>
          </cell>
          <cell r="AN232">
            <v>21.9</v>
          </cell>
          <cell r="AR232">
            <v>25.9</v>
          </cell>
          <cell r="AV232">
            <v>24.7</v>
          </cell>
          <cell r="AZ232">
            <v>29.2</v>
          </cell>
          <cell r="BD232">
            <v>29.5</v>
          </cell>
          <cell r="BH232">
            <v>24.7</v>
          </cell>
          <cell r="BL232">
            <v>24.4</v>
          </cell>
          <cell r="BP232">
            <v>24.8</v>
          </cell>
        </row>
        <row r="233">
          <cell r="A233" t="str">
            <v xml:space="preserve">  % Change</v>
          </cell>
          <cell r="X233">
            <v>0.17241379310344818</v>
          </cell>
          <cell r="AB233">
            <v>0.21111111111111125</v>
          </cell>
          <cell r="AF233">
            <v>4.8128342245989497E-2</v>
          </cell>
          <cell r="AJ233">
            <v>0.46195652173913038</v>
          </cell>
          <cell r="AN233">
            <v>-7.9831932773109293E-2</v>
          </cell>
          <cell r="AR233">
            <v>0.18807339449541272</v>
          </cell>
          <cell r="AV233">
            <v>0.26020408163265296</v>
          </cell>
          <cell r="AZ233">
            <v>8.5501858736059422E-2</v>
          </cell>
          <cell r="BD233">
            <v>0.34703196347031962</v>
          </cell>
          <cell r="BH233">
            <v>-4.633204633204635E-2</v>
          </cell>
          <cell r="BL233">
            <v>-1.2145748987854255E-2</v>
          </cell>
          <cell r="BP233">
            <v>-0.15068493150684925</v>
          </cell>
        </row>
        <row r="235">
          <cell r="A235" t="str">
            <v>TOTAL SKIN CARE SALES (IMS)</v>
          </cell>
          <cell r="C235">
            <v>4.9594250000000004</v>
          </cell>
          <cell r="D235">
            <v>5.3377109999999997</v>
          </cell>
          <cell r="E235">
            <v>4.8553130000000007</v>
          </cell>
          <cell r="F235">
            <v>4.4137940000000002</v>
          </cell>
          <cell r="G235">
            <v>5.9929769999999998</v>
          </cell>
          <cell r="H235">
            <v>15.262084</v>
          </cell>
          <cell r="I235">
            <v>5.535698</v>
          </cell>
          <cell r="J235">
            <v>5.5910289999999998</v>
          </cell>
          <cell r="K235">
            <v>7.0081089999999993</v>
          </cell>
          <cell r="L235">
            <v>18.134836</v>
          </cell>
          <cell r="M235">
            <v>5.3166520000000004</v>
          </cell>
          <cell r="N235">
            <v>5.6368140000000002</v>
          </cell>
          <cell r="O235">
            <v>6.8828670000000001</v>
          </cell>
          <cell r="P235">
            <v>17.836333</v>
          </cell>
          <cell r="Q235">
            <v>5.3602530000000002</v>
          </cell>
          <cell r="R235">
            <v>6.080457</v>
          </cell>
          <cell r="S235">
            <v>7.0587939999999998</v>
          </cell>
          <cell r="T235">
            <v>18.499504000000002</v>
          </cell>
          <cell r="U235">
            <v>5.9372590000000001</v>
          </cell>
          <cell r="V235">
            <v>7.0931519999999999</v>
          </cell>
          <cell r="W235">
            <v>6.694744</v>
          </cell>
          <cell r="X235">
            <v>19.725155000000001</v>
          </cell>
          <cell r="Y235">
            <v>5.9078470000000003</v>
          </cell>
          <cell r="Z235">
            <v>5.9449120000000004</v>
          </cell>
          <cell r="AA235">
            <v>7.8512500000000003</v>
          </cell>
          <cell r="AB235">
            <v>19.704008999999999</v>
          </cell>
          <cell r="AC235">
            <v>6.2461130000000002</v>
          </cell>
          <cell r="AD235">
            <v>6.3411780000000002</v>
          </cell>
          <cell r="AE235">
            <v>8.4339410000000008</v>
          </cell>
          <cell r="AF235">
            <v>21.021232000000001</v>
          </cell>
          <cell r="AG235">
            <v>6.6498179999999998</v>
          </cell>
          <cell r="AH235">
            <v>7.4962350000000013</v>
          </cell>
          <cell r="AI235">
            <v>8.7835520000000002</v>
          </cell>
          <cell r="AJ235">
            <v>22.929605000000002</v>
          </cell>
          <cell r="AK235">
            <v>7.2434510000000003</v>
          </cell>
          <cell r="AL235">
            <v>6.9834800000000001</v>
          </cell>
          <cell r="AM235">
            <v>8.3020459999999989</v>
          </cell>
          <cell r="AN235">
            <v>22.528976999999998</v>
          </cell>
          <cell r="AO235">
            <v>6.9956549999999993</v>
          </cell>
          <cell r="AP235">
            <v>6.5560150000000004</v>
          </cell>
          <cell r="AQ235">
            <v>8.3698429999999995</v>
          </cell>
          <cell r="AR235">
            <v>21.921512999999997</v>
          </cell>
          <cell r="AS235">
            <v>7.3766950000000007</v>
          </cell>
          <cell r="AT235">
            <v>7.5004579999999992</v>
          </cell>
          <cell r="AU235">
            <v>10.258775</v>
          </cell>
          <cell r="AV235">
            <v>25.135928</v>
          </cell>
          <cell r="AW235">
            <v>8.4482499999999998</v>
          </cell>
          <cell r="AX235">
            <v>9.4186320000000006</v>
          </cell>
          <cell r="AY235">
            <v>10.900788</v>
          </cell>
          <cell r="AZ235">
            <v>28.767670000000003</v>
          </cell>
          <cell r="BA235">
            <v>9.0363539999999993</v>
          </cell>
          <cell r="BB235">
            <v>8.5079349999999998</v>
          </cell>
          <cell r="BC235">
            <v>9.5190599999999996</v>
          </cell>
          <cell r="BD235">
            <v>27.063348999999999</v>
          </cell>
          <cell r="BE235">
            <v>9.1570070000000001</v>
          </cell>
          <cell r="BF235">
            <v>8.2341899999999999</v>
          </cell>
          <cell r="BG235">
            <v>10.982633</v>
          </cell>
          <cell r="BH235">
            <v>28.373829999999998</v>
          </cell>
          <cell r="BI235">
            <v>8.780228000000001</v>
          </cell>
          <cell r="BJ235">
            <v>9.2417420000000003</v>
          </cell>
          <cell r="BK235">
            <v>11.916372000000001</v>
          </cell>
          <cell r="BL235">
            <v>29.938342000000002</v>
          </cell>
          <cell r="BM235">
            <v>9.0404369999999989</v>
          </cell>
          <cell r="BN235">
            <v>10.399700999999999</v>
          </cell>
          <cell r="BO235">
            <v>11.88419</v>
          </cell>
          <cell r="BP235">
            <v>31.324327999999994</v>
          </cell>
        </row>
        <row r="236">
          <cell r="A236" t="str">
            <v xml:space="preserve">  % Change</v>
          </cell>
          <cell r="X236">
            <v>0.29242867487821456</v>
          </cell>
          <cell r="AB236">
            <v>8.6528105354798823E-2</v>
          </cell>
          <cell r="AF236">
            <v>0.178562432087358</v>
          </cell>
          <cell r="AG236">
            <v>0.24057912938064674</v>
          </cell>
          <cell r="AH236">
            <v>0.23284072233386421</v>
          </cell>
          <cell r="AI236">
            <v>0.24434173882960741</v>
          </cell>
          <cell r="AJ236">
            <v>0.23947133933969256</v>
          </cell>
          <cell r="AK236">
            <v>0.21999916122911256</v>
          </cell>
          <cell r="AL236">
            <v>-1.5461673456313885E-2</v>
          </cell>
          <cell r="AM236">
            <v>0.24008416154523582</v>
          </cell>
          <cell r="AN236">
            <v>0.14214448504967381</v>
          </cell>
          <cell r="AO236">
            <v>0.18412934525894098</v>
          </cell>
          <cell r="AP236">
            <v>0.10279428862866258</v>
          </cell>
          <cell r="AQ236">
            <v>6.6052284668046468E-2</v>
          </cell>
          <cell r="AR236">
            <v>0.11254075249356599</v>
          </cell>
          <cell r="AS236">
            <v>0.1810056910593838</v>
          </cell>
          <cell r="AT236">
            <v>0.18281776666732874</v>
          </cell>
          <cell r="AU236">
            <v>0.21636788780002125</v>
          </cell>
          <cell r="AV236">
            <v>0.1957400022986282</v>
          </cell>
          <cell r="AW236">
            <v>0.27044830399869602</v>
          </cell>
          <cell r="AX236">
            <v>0.25644833706520664</v>
          </cell>
          <cell r="AY236">
            <v>0.24104553602005208</v>
          </cell>
          <cell r="AZ236">
            <v>0.2546081801234692</v>
          </cell>
          <cell r="BA236">
            <v>0.24752055339367929</v>
          </cell>
          <cell r="BB236">
            <v>0.21829446064139946</v>
          </cell>
          <cell r="BC236">
            <v>0.14659205694596267</v>
          </cell>
          <cell r="BD236">
            <v>0.20126843753269408</v>
          </cell>
          <cell r="BE236">
            <v>0.30895634504560343</v>
          </cell>
          <cell r="BF236">
            <v>0.25597485667741759</v>
          </cell>
          <cell r="BG236">
            <v>0.31216714578756144</v>
          </cell>
          <cell r="BH236">
            <v>0.29433721112224331</v>
          </cell>
          <cell r="BI236">
            <v>0.19026583042948109</v>
          </cell>
          <cell r="BJ236">
            <v>0.23215702294446561</v>
          </cell>
          <cell r="BK236">
            <v>0.16157845356779932</v>
          </cell>
          <cell r="BL236">
            <v>0.19105775605340702</v>
          </cell>
          <cell r="BM236">
            <v>7.0095818660669273E-2</v>
          </cell>
          <cell r="BN236">
            <v>0.10416257902421466</v>
          </cell>
          <cell r="BO236">
            <v>9.0213845090831857E-2</v>
          </cell>
          <cell r="BP236">
            <v>8.8872612901913506E-2</v>
          </cell>
        </row>
        <row r="238">
          <cell r="A238" t="str">
            <v>REPORTED SALES/TRx SKIN CARE</v>
          </cell>
          <cell r="H238">
            <v>77.242995810613877</v>
          </cell>
          <cell r="L238">
            <v>63.624024431625379</v>
          </cell>
          <cell r="P238">
            <v>67.219520261113686</v>
          </cell>
          <cell r="T238">
            <v>66.534561812054321</v>
          </cell>
          <cell r="X238">
            <v>84.502041540919578</v>
          </cell>
          <cell r="AB238">
            <v>77.696754556665169</v>
          </cell>
          <cell r="AF238">
            <v>66.475605826790343</v>
          </cell>
          <cell r="AJ238">
            <v>87.517812640305038</v>
          </cell>
          <cell r="AN238">
            <v>73.972991413728579</v>
          </cell>
          <cell r="AR238">
            <v>95.31906123605637</v>
          </cell>
          <cell r="AV238">
            <v>85.030208100246142</v>
          </cell>
          <cell r="AZ238">
            <v>90.556394614995767</v>
          </cell>
          <cell r="BD238">
            <v>95.651581817769141</v>
          </cell>
          <cell r="BH238">
            <v>81.002462868405431</v>
          </cell>
          <cell r="BL238">
            <v>80.895151263986733</v>
          </cell>
          <cell r="BP238">
            <v>78.1419852475494</v>
          </cell>
        </row>
        <row r="239">
          <cell r="A239" t="str">
            <v>IMS SALES/REPORTED SALES</v>
          </cell>
          <cell r="H239">
            <v>0.75182679802955665</v>
          </cell>
          <cell r="L239">
            <v>1.0074908888888889</v>
          </cell>
          <cell r="P239">
            <v>0.95381459893048126</v>
          </cell>
          <cell r="T239">
            <v>1.0054078260869568</v>
          </cell>
          <cell r="X239">
            <v>0.8287880252100841</v>
          </cell>
          <cell r="AB239">
            <v>0.903853623853211</v>
          </cell>
          <cell r="AF239">
            <v>1.072511836734694</v>
          </cell>
          <cell r="AJ239">
            <v>0.85240167286245361</v>
          </cell>
          <cell r="AN239">
            <v>1.0287204109589041</v>
          </cell>
          <cell r="AR239">
            <v>0.8463904633204633</v>
          </cell>
          <cell r="AV239">
            <v>1.0176489068825911</v>
          </cell>
          <cell r="AZ239">
            <v>0.9851941780821919</v>
          </cell>
          <cell r="BD239">
            <v>0.91740166101694909</v>
          </cell>
          <cell r="BH239">
            <v>1.1487380566801619</v>
          </cell>
          <cell r="BL239">
            <v>1.226981229508197</v>
          </cell>
          <cell r="BP239">
            <v>1.2630777419354835</v>
          </cell>
        </row>
        <row r="240">
          <cell r="A240" t="str">
            <v>Product</v>
          </cell>
          <cell r="C240">
            <v>36739</v>
          </cell>
          <cell r="D240">
            <v>36770</v>
          </cell>
          <cell r="E240">
            <v>36800</v>
          </cell>
          <cell r="F240">
            <v>36831</v>
          </cell>
          <cell r="G240">
            <v>36861</v>
          </cell>
          <cell r="H240" t="str">
            <v>Q4:00</v>
          </cell>
          <cell r="I240">
            <v>36892</v>
          </cell>
          <cell r="J240">
            <v>36923</v>
          </cell>
          <cell r="K240">
            <v>36951</v>
          </cell>
          <cell r="L240" t="str">
            <v>Q1:01</v>
          </cell>
          <cell r="M240">
            <v>36982</v>
          </cell>
          <cell r="N240">
            <v>37012</v>
          </cell>
          <cell r="O240">
            <v>37043</v>
          </cell>
          <cell r="P240" t="str">
            <v>Q2:01</v>
          </cell>
          <cell r="Q240">
            <v>37073</v>
          </cell>
          <cell r="R240">
            <v>37104</v>
          </cell>
          <cell r="S240">
            <v>37135</v>
          </cell>
          <cell r="T240" t="str">
            <v>Q3:01</v>
          </cell>
          <cell r="U240">
            <v>37165</v>
          </cell>
          <cell r="V240">
            <v>37196</v>
          </cell>
          <cell r="W240">
            <v>37226</v>
          </cell>
          <cell r="X240" t="str">
            <v>Q4:01</v>
          </cell>
          <cell r="Y240">
            <v>37257</v>
          </cell>
          <cell r="Z240">
            <v>37288</v>
          </cell>
          <cell r="AA240">
            <v>37316</v>
          </cell>
          <cell r="AB240" t="str">
            <v>Q1:02</v>
          </cell>
          <cell r="AC240">
            <v>37347</v>
          </cell>
          <cell r="AD240">
            <v>37377</v>
          </cell>
          <cell r="AE240">
            <v>37408</v>
          </cell>
          <cell r="AF240" t="str">
            <v>Q2:02</v>
          </cell>
          <cell r="AG240">
            <v>37438</v>
          </cell>
          <cell r="AH240">
            <v>37469</v>
          </cell>
          <cell r="AI240">
            <v>37500</v>
          </cell>
          <cell r="AJ240" t="str">
            <v>Q3:02</v>
          </cell>
          <cell r="AK240">
            <v>37530</v>
          </cell>
          <cell r="AL240">
            <v>37561</v>
          </cell>
          <cell r="AM240">
            <v>37591</v>
          </cell>
          <cell r="AN240" t="str">
            <v>Q4:02</v>
          </cell>
          <cell r="AO240">
            <v>37622</v>
          </cell>
          <cell r="AP240">
            <v>37653</v>
          </cell>
          <cell r="AQ240">
            <v>37681</v>
          </cell>
          <cell r="AR240" t="str">
            <v>Q1:03</v>
          </cell>
          <cell r="AS240">
            <v>37712</v>
          </cell>
          <cell r="AT240">
            <v>37742</v>
          </cell>
          <cell r="AU240">
            <v>37773</v>
          </cell>
          <cell r="AV240" t="str">
            <v>Q2:03</v>
          </cell>
          <cell r="AW240">
            <v>37803</v>
          </cell>
          <cell r="AX240">
            <v>37834</v>
          </cell>
          <cell r="AY240">
            <v>37865</v>
          </cell>
          <cell r="AZ240" t="str">
            <v>Q3:03</v>
          </cell>
          <cell r="BA240">
            <v>37895</v>
          </cell>
          <cell r="BB240">
            <v>37926</v>
          </cell>
          <cell r="BC240">
            <v>37956</v>
          </cell>
          <cell r="BD240" t="str">
            <v>Q4:03</v>
          </cell>
          <cell r="BE240">
            <v>37987</v>
          </cell>
          <cell r="BF240">
            <v>38018</v>
          </cell>
          <cell r="BG240">
            <v>38047</v>
          </cell>
          <cell r="BH240" t="str">
            <v>Q1:04</v>
          </cell>
          <cell r="BI240">
            <v>38078</v>
          </cell>
          <cell r="BJ240">
            <v>38108</v>
          </cell>
          <cell r="BK240">
            <v>38139</v>
          </cell>
          <cell r="BL240" t="str">
            <v>Q2:04</v>
          </cell>
          <cell r="BM240">
            <v>38169</v>
          </cell>
          <cell r="BN240">
            <v>38200</v>
          </cell>
          <cell r="BO240">
            <v>38231</v>
          </cell>
          <cell r="BP240" t="str">
            <v>Q3:04A</v>
          </cell>
        </row>
        <row r="241">
          <cell r="A241" t="str">
            <v>Projected Sales for Quarter (based on TRx and Price)</v>
          </cell>
          <cell r="AJ241">
            <v>20.432341060557238</v>
          </cell>
        </row>
        <row r="242">
          <cell r="A242" t="str">
            <v>BOTOX</v>
          </cell>
        </row>
        <row r="243">
          <cell r="A243" t="str">
            <v>TRx</v>
          </cell>
          <cell r="C243">
            <v>975</v>
          </cell>
          <cell r="D243">
            <v>933</v>
          </cell>
          <cell r="E243">
            <v>861</v>
          </cell>
          <cell r="F243">
            <v>994</v>
          </cell>
          <cell r="G243">
            <v>869</v>
          </cell>
          <cell r="H243">
            <v>2724</v>
          </cell>
          <cell r="I243">
            <v>1113</v>
          </cell>
          <cell r="J243">
            <v>988</v>
          </cell>
          <cell r="K243">
            <v>997</v>
          </cell>
          <cell r="L243">
            <v>3098</v>
          </cell>
          <cell r="M243">
            <v>1047</v>
          </cell>
          <cell r="N243">
            <v>1147</v>
          </cell>
          <cell r="O243">
            <v>970</v>
          </cell>
          <cell r="P243">
            <v>3164</v>
          </cell>
          <cell r="Q243">
            <v>993</v>
          </cell>
          <cell r="R243">
            <v>1101</v>
          </cell>
          <cell r="S243">
            <v>855</v>
          </cell>
          <cell r="T243">
            <v>2949</v>
          </cell>
          <cell r="U243">
            <v>1231</v>
          </cell>
          <cell r="V243">
            <v>948</v>
          </cell>
          <cell r="W243">
            <v>927</v>
          </cell>
          <cell r="X243">
            <v>3106</v>
          </cell>
          <cell r="Y243">
            <v>1188</v>
          </cell>
          <cell r="Z243">
            <v>1119</v>
          </cell>
          <cell r="AA243">
            <v>1208</v>
          </cell>
          <cell r="AB243">
            <v>3515</v>
          </cell>
          <cell r="AC243">
            <v>1460</v>
          </cell>
          <cell r="AD243">
            <v>1441</v>
          </cell>
          <cell r="AE243">
            <v>1416</v>
          </cell>
          <cell r="AF243">
            <v>4317</v>
          </cell>
          <cell r="AG243">
            <v>1339</v>
          </cell>
          <cell r="AH243">
            <v>1471</v>
          </cell>
          <cell r="AI243">
            <v>1463</v>
          </cell>
          <cell r="AJ243">
            <v>4273</v>
          </cell>
          <cell r="AK243">
            <v>1714</v>
          </cell>
          <cell r="AL243">
            <v>1688</v>
          </cell>
          <cell r="AM243">
            <v>1574</v>
          </cell>
          <cell r="AN243">
            <v>4976</v>
          </cell>
          <cell r="AO243">
            <v>1965</v>
          </cell>
          <cell r="AP243">
            <v>1688</v>
          </cell>
          <cell r="AQ243">
            <v>2002</v>
          </cell>
          <cell r="AR243">
            <v>5655</v>
          </cell>
          <cell r="AS243">
            <v>2064</v>
          </cell>
          <cell r="AT243">
            <v>1982</v>
          </cell>
          <cell r="AU243">
            <v>1941</v>
          </cell>
          <cell r="AV243">
            <v>5987</v>
          </cell>
          <cell r="AW243">
            <v>1804</v>
          </cell>
          <cell r="AX243">
            <v>1891</v>
          </cell>
          <cell r="AY243">
            <v>2285</v>
          </cell>
          <cell r="AZ243">
            <v>5980</v>
          </cell>
          <cell r="BA243">
            <v>2134</v>
          </cell>
          <cell r="BB243">
            <v>1745</v>
          </cell>
          <cell r="BC243">
            <v>2000</v>
          </cell>
          <cell r="BD243">
            <v>5879</v>
          </cell>
          <cell r="BE243">
            <v>2454</v>
          </cell>
          <cell r="BF243">
            <v>2144</v>
          </cell>
          <cell r="BG243">
            <v>2808</v>
          </cell>
          <cell r="BH243">
            <v>7406</v>
          </cell>
          <cell r="BI243">
            <v>2420</v>
          </cell>
          <cell r="BJ243">
            <v>2614</v>
          </cell>
          <cell r="BK243">
            <v>2645</v>
          </cell>
          <cell r="BL243">
            <v>7679</v>
          </cell>
          <cell r="BM243">
            <v>2456</v>
          </cell>
          <cell r="BN243">
            <v>2727</v>
          </cell>
          <cell r="BO243">
            <v>2759</v>
          </cell>
          <cell r="BP243">
            <v>7942</v>
          </cell>
        </row>
        <row r="244">
          <cell r="A244" t="str">
            <v xml:space="preserve">  % Change</v>
          </cell>
          <cell r="R244">
            <v>0.12923076923076926</v>
          </cell>
          <cell r="S244">
            <v>-8.3601286173633493E-2</v>
          </cell>
          <cell r="U244">
            <v>0.42973286875725902</v>
          </cell>
          <cell r="V244">
            <v>-4.6277665995975825E-2</v>
          </cell>
          <cell r="W244">
            <v>6.6743383199079354E-2</v>
          </cell>
          <cell r="X244">
            <v>0.14023494860499275</v>
          </cell>
          <cell r="Y244">
            <v>6.7385444743935263E-2</v>
          </cell>
          <cell r="Z244">
            <v>0.1325910931174088</v>
          </cell>
          <cell r="AA244">
            <v>0.21163490471414237</v>
          </cell>
          <cell r="AB244">
            <v>0.13460296965784369</v>
          </cell>
          <cell r="AC244">
            <v>0.39446036294173825</v>
          </cell>
          <cell r="AD244">
            <v>0.25632083696599817</v>
          </cell>
          <cell r="AE244">
            <v>0.45979381443298961</v>
          </cell>
          <cell r="AF244">
            <v>0.36441213653603044</v>
          </cell>
          <cell r="AG244">
            <v>0.34843907351460213</v>
          </cell>
          <cell r="AH244">
            <v>0.33605812897366039</v>
          </cell>
          <cell r="AI244">
            <v>0.71111111111111103</v>
          </cell>
          <cell r="AJ244">
            <v>0.4489657511020686</v>
          </cell>
          <cell r="AK244">
            <v>0.39236393176279449</v>
          </cell>
          <cell r="AL244">
            <v>0.78059071729957807</v>
          </cell>
          <cell r="AM244">
            <v>0.69795037756202816</v>
          </cell>
          <cell r="AN244">
            <v>0.60206052801030263</v>
          </cell>
          <cell r="AO244">
            <v>0.65404040404040398</v>
          </cell>
          <cell r="AP244">
            <v>0.50848972296693473</v>
          </cell>
          <cell r="AQ244">
            <v>0.6572847682119205</v>
          </cell>
          <cell r="AR244">
            <v>0.60881934566145102</v>
          </cell>
          <cell r="AS244">
            <v>0.41369863013698627</v>
          </cell>
          <cell r="AT244">
            <v>0.37543372657876484</v>
          </cell>
          <cell r="AU244">
            <v>0.37076271186440679</v>
          </cell>
          <cell r="AV244">
            <v>0.38684271484827426</v>
          </cell>
          <cell r="AW244">
            <v>0.34727408513816282</v>
          </cell>
          <cell r="AX244">
            <v>0.28552005438477224</v>
          </cell>
          <cell r="AY244">
            <v>0.56185919343814072</v>
          </cell>
          <cell r="AZ244">
            <v>0.39948513924643114</v>
          </cell>
          <cell r="BA244">
            <v>0.24504084014002325</v>
          </cell>
          <cell r="BB244">
            <v>3.3767772511848371E-2</v>
          </cell>
          <cell r="BC244">
            <v>0.27064803049555275</v>
          </cell>
          <cell r="BD244">
            <v>0.18147106109324751</v>
          </cell>
          <cell r="BE244">
            <v>0.24885496183206102</v>
          </cell>
          <cell r="BF244">
            <v>0.27014218009478674</v>
          </cell>
          <cell r="BG244">
            <v>0.40259740259740262</v>
          </cell>
          <cell r="BH244">
            <v>0.30963748894783372</v>
          </cell>
          <cell r="BI244">
            <v>0.17248062015503884</v>
          </cell>
          <cell r="BJ244">
            <v>0.3188698284561049</v>
          </cell>
          <cell r="BK244">
            <v>0.36269963936115412</v>
          </cell>
          <cell r="BL244">
            <v>0.28261232670786707</v>
          </cell>
          <cell r="BM244">
            <v>0.36141906873614182</v>
          </cell>
          <cell r="BN244">
            <v>0.44209413008989951</v>
          </cell>
          <cell r="BO244">
            <v>0.20743982494529534</v>
          </cell>
          <cell r="BP244">
            <v>0.3280936454849499</v>
          </cell>
        </row>
        <row r="245">
          <cell r="A245" t="str">
            <v>NRx</v>
          </cell>
          <cell r="C245">
            <v>870</v>
          </cell>
          <cell r="D245">
            <v>809</v>
          </cell>
          <cell r="E245">
            <v>784</v>
          </cell>
          <cell r="F245">
            <v>871</v>
          </cell>
          <cell r="G245">
            <v>771</v>
          </cell>
          <cell r="H245">
            <v>2426</v>
          </cell>
          <cell r="I245">
            <v>979</v>
          </cell>
          <cell r="J245">
            <v>868</v>
          </cell>
          <cell r="K245">
            <v>862</v>
          </cell>
          <cell r="L245">
            <v>2709</v>
          </cell>
          <cell r="M245">
            <v>958</v>
          </cell>
          <cell r="N245">
            <v>1012</v>
          </cell>
          <cell r="O245">
            <v>874</v>
          </cell>
          <cell r="P245">
            <v>2844</v>
          </cell>
          <cell r="Q245">
            <v>858</v>
          </cell>
          <cell r="R245">
            <v>997</v>
          </cell>
          <cell r="S245">
            <v>704</v>
          </cell>
          <cell r="T245">
            <v>2559</v>
          </cell>
          <cell r="U245">
            <v>1086</v>
          </cell>
          <cell r="V245">
            <v>852</v>
          </cell>
          <cell r="W245">
            <v>796</v>
          </cell>
          <cell r="X245">
            <v>2734</v>
          </cell>
          <cell r="Y245">
            <v>1040</v>
          </cell>
          <cell r="Z245">
            <v>996</v>
          </cell>
          <cell r="AA245">
            <v>1087</v>
          </cell>
          <cell r="AB245">
            <v>3123</v>
          </cell>
          <cell r="AC245">
            <v>1315</v>
          </cell>
          <cell r="AD245">
            <v>1273</v>
          </cell>
          <cell r="AE245">
            <v>1279</v>
          </cell>
          <cell r="AF245">
            <v>3867</v>
          </cell>
          <cell r="AG245">
            <v>1151</v>
          </cell>
          <cell r="AH245">
            <v>1313</v>
          </cell>
          <cell r="AI245">
            <v>1274</v>
          </cell>
          <cell r="AJ245">
            <v>3738</v>
          </cell>
          <cell r="AK245">
            <v>1482</v>
          </cell>
          <cell r="AL245">
            <v>1453</v>
          </cell>
          <cell r="AM245">
            <v>1354</v>
          </cell>
          <cell r="AN245">
            <v>4289</v>
          </cell>
          <cell r="AO245">
            <v>1713</v>
          </cell>
          <cell r="AP245">
            <v>1446</v>
          </cell>
          <cell r="AQ245">
            <v>1726</v>
          </cell>
          <cell r="AR245">
            <v>4885</v>
          </cell>
          <cell r="AS245">
            <v>1861</v>
          </cell>
          <cell r="AT245">
            <v>1670</v>
          </cell>
          <cell r="AU245">
            <v>1674</v>
          </cell>
          <cell r="AV245">
            <v>5205</v>
          </cell>
          <cell r="AW245">
            <v>1542</v>
          </cell>
          <cell r="AX245">
            <v>1704</v>
          </cell>
          <cell r="AY245">
            <v>1992</v>
          </cell>
          <cell r="AZ245">
            <v>5238</v>
          </cell>
          <cell r="BA245">
            <v>1849</v>
          </cell>
          <cell r="BB245">
            <v>1477</v>
          </cell>
          <cell r="BC245">
            <v>1703</v>
          </cell>
          <cell r="BD245">
            <v>5029</v>
          </cell>
          <cell r="BE245">
            <v>2103</v>
          </cell>
          <cell r="BF245">
            <v>1874</v>
          </cell>
          <cell r="BG245">
            <v>2396</v>
          </cell>
          <cell r="BH245">
            <v>6373</v>
          </cell>
          <cell r="BI245">
            <v>2114</v>
          </cell>
          <cell r="BJ245">
            <v>2224</v>
          </cell>
          <cell r="BK245">
            <v>2226</v>
          </cell>
          <cell r="BL245">
            <v>6564</v>
          </cell>
          <cell r="BM245">
            <v>2037</v>
          </cell>
          <cell r="BN245">
            <v>2277</v>
          </cell>
          <cell r="BO245">
            <v>2298</v>
          </cell>
          <cell r="BP245">
            <v>6612</v>
          </cell>
        </row>
        <row r="246">
          <cell r="A246" t="str">
            <v xml:space="preserve">  % Change</v>
          </cell>
          <cell r="R246">
            <v>0.14597701149425291</v>
          </cell>
          <cell r="S246">
            <v>-0.1297898640296663</v>
          </cell>
          <cell r="U246">
            <v>0.38520408163265296</v>
          </cell>
          <cell r="V246">
            <v>-2.1814006888633775E-2</v>
          </cell>
          <cell r="W246">
            <v>3.2425421530480003E-2</v>
          </cell>
          <cell r="X246">
            <v>0.12695795548227529</v>
          </cell>
          <cell r="Y246">
            <v>6.2308478038815007E-2</v>
          </cell>
          <cell r="Z246">
            <v>0.14746543778801846</v>
          </cell>
          <cell r="AA246">
            <v>0.26102088167053372</v>
          </cell>
          <cell r="AB246">
            <v>0.15282392026578062</v>
          </cell>
          <cell r="AC246">
            <v>0.37265135699373686</v>
          </cell>
          <cell r="AD246">
            <v>0.2579051383399209</v>
          </cell>
          <cell r="AE246">
            <v>0.46338672768878708</v>
          </cell>
          <cell r="AF246">
            <v>0.35970464135021096</v>
          </cell>
          <cell r="AG246">
            <v>0.34149184149184153</v>
          </cell>
          <cell r="AH246">
            <v>0.31695085255767297</v>
          </cell>
          <cell r="AI246">
            <v>0.80965909090909083</v>
          </cell>
          <cell r="AJ246">
            <v>0.46072684642438455</v>
          </cell>
          <cell r="AK246">
            <v>0.36464088397790051</v>
          </cell>
          <cell r="AL246">
            <v>0.70539906103286376</v>
          </cell>
          <cell r="AM246">
            <v>0.70100502512562812</v>
          </cell>
          <cell r="AN246">
            <v>0.56876371616678867</v>
          </cell>
          <cell r="AO246">
            <v>0.64711538461538454</v>
          </cell>
          <cell r="AP246">
            <v>0.45180722891566272</v>
          </cell>
          <cell r="AQ246">
            <v>0.58785648574057037</v>
          </cell>
          <cell r="AR246">
            <v>0.56420108869676588</v>
          </cell>
          <cell r="AS246">
            <v>0.41520912547528521</v>
          </cell>
          <cell r="AT246">
            <v>0.31186174391201882</v>
          </cell>
          <cell r="AU246">
            <v>0.30883502736512902</v>
          </cell>
          <cell r="AV246">
            <v>0.3460046547711404</v>
          </cell>
          <cell r="AW246">
            <v>0.3397046046915726</v>
          </cell>
          <cell r="AX246">
            <v>0.2977913175932978</v>
          </cell>
          <cell r="AY246">
            <v>0.56357927786499218</v>
          </cell>
          <cell r="AZ246">
            <v>0.40128410914927759</v>
          </cell>
          <cell r="BA246">
            <v>0.24763832658569496</v>
          </cell>
          <cell r="BB246">
            <v>1.6517549896765349E-2</v>
          </cell>
          <cell r="BC246">
            <v>0.25775480059084188</v>
          </cell>
          <cell r="BD246">
            <v>0.17253439030076945</v>
          </cell>
          <cell r="BE246">
            <v>0.22767075306479856</v>
          </cell>
          <cell r="BF246">
            <v>0.29598893499308443</v>
          </cell>
          <cell r="BG246">
            <v>0.38818076477404406</v>
          </cell>
          <cell r="BH246">
            <v>0.30460593654042989</v>
          </cell>
          <cell r="BI246">
            <v>0.13594841483073616</v>
          </cell>
          <cell r="BJ246">
            <v>0.33173652694610789</v>
          </cell>
          <cell r="BK246">
            <v>0.32974910394265233</v>
          </cell>
          <cell r="BL246">
            <v>0.26109510086455323</v>
          </cell>
          <cell r="BM246">
            <v>0.32101167315175094</v>
          </cell>
          <cell r="BN246">
            <v>0.33626760563380276</v>
          </cell>
          <cell r="BO246">
            <v>0.15361445783132521</v>
          </cell>
          <cell r="BP246">
            <v>0.26231386025200454</v>
          </cell>
        </row>
        <row r="247">
          <cell r="A247" t="str">
            <v>61690:MIOTICS &amp; GLAUCOMA,OTH TRx</v>
          </cell>
          <cell r="V247">
            <v>1263479</v>
          </cell>
          <cell r="W247">
            <v>1333419</v>
          </cell>
          <cell r="X247">
            <v>2596898</v>
          </cell>
          <cell r="Y247">
            <v>1333350</v>
          </cell>
          <cell r="Z247">
            <v>1217801</v>
          </cell>
          <cell r="AA247">
            <v>1334773</v>
          </cell>
          <cell r="AB247">
            <v>3885924</v>
          </cell>
          <cell r="AC247">
            <v>1367203</v>
          </cell>
          <cell r="AD247">
            <v>1409607</v>
          </cell>
          <cell r="AE247">
            <v>1344780</v>
          </cell>
          <cell r="AF247">
            <v>4121590</v>
          </cell>
          <cell r="AG247">
            <v>1438729</v>
          </cell>
          <cell r="AH247">
            <v>1417471</v>
          </cell>
          <cell r="AI247">
            <v>1342047</v>
          </cell>
          <cell r="AJ247">
            <v>4198247</v>
          </cell>
          <cell r="AK247">
            <v>1410644</v>
          </cell>
          <cell r="AL247">
            <v>1357999</v>
          </cell>
          <cell r="AM247">
            <v>1462033</v>
          </cell>
          <cell r="AN247">
            <v>4230676</v>
          </cell>
          <cell r="AO247">
            <v>1417871</v>
          </cell>
          <cell r="AP247">
            <v>1288593</v>
          </cell>
          <cell r="AQ247">
            <v>1404707</v>
          </cell>
          <cell r="AR247">
            <v>4111171</v>
          </cell>
          <cell r="AS247">
            <v>1388832</v>
          </cell>
          <cell r="AT247">
            <v>1433580</v>
          </cell>
          <cell r="AU247">
            <v>1404487</v>
          </cell>
          <cell r="AV247">
            <v>4226899</v>
          </cell>
          <cell r="AW247">
            <v>1455440</v>
          </cell>
          <cell r="AX247">
            <v>1397470</v>
          </cell>
          <cell r="AY247">
            <v>1405200</v>
          </cell>
          <cell r="AZ247">
            <v>4258110</v>
          </cell>
          <cell r="BA247">
            <v>1457055</v>
          </cell>
          <cell r="BB247">
            <v>1457055</v>
          </cell>
          <cell r="BC247">
            <v>1537732</v>
          </cell>
          <cell r="BD247">
            <v>4451842</v>
          </cell>
          <cell r="BE247">
            <v>1446717</v>
          </cell>
          <cell r="BF247">
            <v>1341113</v>
          </cell>
          <cell r="BG247">
            <v>1501280</v>
          </cell>
          <cell r="BH247">
            <v>4289110</v>
          </cell>
          <cell r="BI247">
            <v>1443116</v>
          </cell>
          <cell r="BJ247">
            <v>1435011</v>
          </cell>
          <cell r="BK247">
            <v>1509165</v>
          </cell>
          <cell r="BL247">
            <v>4387292</v>
          </cell>
          <cell r="BM247">
            <v>1509270</v>
          </cell>
          <cell r="BN247">
            <v>1530345</v>
          </cell>
          <cell r="BO247">
            <v>1496208</v>
          </cell>
          <cell r="BP247">
            <v>4535823</v>
          </cell>
        </row>
        <row r="248">
          <cell r="A248" t="str">
            <v>61690:MIOTICS &amp; GLAUCOMA,OTH NRx</v>
          </cell>
          <cell r="V248">
            <v>423271</v>
          </cell>
          <cell r="W248">
            <v>436673</v>
          </cell>
          <cell r="X248">
            <v>859944</v>
          </cell>
          <cell r="Y248">
            <v>453786</v>
          </cell>
          <cell r="Z248">
            <v>418209</v>
          </cell>
          <cell r="AA248">
            <v>447557</v>
          </cell>
          <cell r="AB248">
            <v>1319552</v>
          </cell>
          <cell r="AC248">
            <v>451447</v>
          </cell>
          <cell r="AD248">
            <v>458783</v>
          </cell>
          <cell r="AE248">
            <v>428811</v>
          </cell>
          <cell r="AF248">
            <v>1339041</v>
          </cell>
          <cell r="AG248">
            <v>462202</v>
          </cell>
          <cell r="AH248">
            <v>483300</v>
          </cell>
          <cell r="AI248">
            <v>452996</v>
          </cell>
          <cell r="AJ248">
            <v>1398498</v>
          </cell>
          <cell r="AK248">
            <v>470427</v>
          </cell>
          <cell r="AL248">
            <v>446965</v>
          </cell>
          <cell r="AM248">
            <v>467597</v>
          </cell>
          <cell r="AN248">
            <v>1384989</v>
          </cell>
          <cell r="AO248">
            <v>465119</v>
          </cell>
          <cell r="AP248">
            <v>424846</v>
          </cell>
          <cell r="AQ248">
            <v>458643</v>
          </cell>
          <cell r="AR248">
            <v>1348608</v>
          </cell>
          <cell r="AS248">
            <v>450482</v>
          </cell>
          <cell r="AT248">
            <v>465737</v>
          </cell>
          <cell r="AU248">
            <v>451583</v>
          </cell>
          <cell r="AV248">
            <v>1367802</v>
          </cell>
          <cell r="AW248">
            <v>464844</v>
          </cell>
          <cell r="AX248">
            <v>437291</v>
          </cell>
          <cell r="AY248">
            <v>448440</v>
          </cell>
          <cell r="AZ248">
            <v>1350575</v>
          </cell>
          <cell r="BA248">
            <v>480981</v>
          </cell>
          <cell r="BB248">
            <v>480981</v>
          </cell>
          <cell r="BC248">
            <v>494403</v>
          </cell>
          <cell r="BD248">
            <v>1456365</v>
          </cell>
          <cell r="BE248">
            <v>468350</v>
          </cell>
          <cell r="BF248">
            <v>439907</v>
          </cell>
          <cell r="BG248">
            <v>498044</v>
          </cell>
          <cell r="BH248">
            <v>1406301</v>
          </cell>
          <cell r="BI248">
            <v>471501</v>
          </cell>
          <cell r="BJ248">
            <v>469522</v>
          </cell>
          <cell r="BK248">
            <v>493293</v>
          </cell>
          <cell r="BL248">
            <v>1434316</v>
          </cell>
          <cell r="BM248">
            <v>484229</v>
          </cell>
          <cell r="BN248">
            <v>488056</v>
          </cell>
          <cell r="BO248">
            <v>479461</v>
          </cell>
          <cell r="BP248">
            <v>1451746</v>
          </cell>
        </row>
        <row r="249">
          <cell r="A249" t="str">
            <v>TRx Market Growth</v>
          </cell>
          <cell r="AL249">
            <v>7.4809316181748908E-2</v>
          </cell>
          <cell r="AM249">
            <v>9.6454302811044501E-2</v>
          </cell>
          <cell r="AN249">
            <v>0.62912675045381072</v>
          </cell>
          <cell r="AO249">
            <v>6.338995762552968E-2</v>
          </cell>
          <cell r="AP249">
            <v>5.813100826818185E-2</v>
          </cell>
          <cell r="AQ249">
            <v>5.2393927656612771E-2</v>
          </cell>
          <cell r="AR249">
            <v>5.7964849544149599E-2</v>
          </cell>
          <cell r="AS249">
            <v>1.5819889219084615E-2</v>
          </cell>
          <cell r="AT249">
            <v>1.7006867871683484E-2</v>
          </cell>
          <cell r="AU249">
            <v>4.4399083865018785E-2</v>
          </cell>
          <cell r="AV249">
            <v>2.5550576355241494E-2</v>
          </cell>
          <cell r="AW249">
            <v>1.1615113061598015E-2</v>
          </cell>
          <cell r="AX249">
            <v>-1.4110341587235342E-2</v>
          </cell>
          <cell r="AY249">
            <v>4.7057219307520493E-2</v>
          </cell>
          <cell r="AZ249">
            <v>1.4259046692583821E-2</v>
          </cell>
          <cell r="BA249">
            <v>3.2900575907174323E-2</v>
          </cell>
          <cell r="BB249">
            <v>7.2942616305313956E-2</v>
          </cell>
          <cell r="BC249">
            <v>5.1776533087830368E-2</v>
          </cell>
          <cell r="BD249">
            <v>5.2276751989516645E-2</v>
          </cell>
          <cell r="BE249">
            <v>2.0344587060459052E-2</v>
          </cell>
          <cell r="BF249">
            <v>4.0757632549610401E-2</v>
          </cell>
          <cell r="BG249">
            <v>6.8749568415334972E-2</v>
          </cell>
          <cell r="BH249">
            <v>4.3281828948491752E-2</v>
          </cell>
          <cell r="BI249">
            <v>3.9086080965876402E-2</v>
          </cell>
          <cell r="BJ249">
            <v>9.9820030971420337E-4</v>
          </cell>
          <cell r="BK249">
            <v>7.4531127735607328E-2</v>
          </cell>
          <cell r="BL249">
            <v>3.7945784841322272E-2</v>
          </cell>
          <cell r="BM249">
            <v>3.6985378991919893E-2</v>
          </cell>
          <cell r="BN249">
            <v>9.5082542022369099E-2</v>
          </cell>
          <cell r="BO249">
            <v>6.4765157984628452E-2</v>
          </cell>
          <cell r="BP249">
            <v>6.5219780606889044E-2</v>
          </cell>
        </row>
        <row r="250">
          <cell r="A250" t="str">
            <v>NRx Market Growth</v>
          </cell>
          <cell r="AL250">
            <v>5.5978321217376115E-2</v>
          </cell>
          <cell r="AM250">
            <v>7.0817293489636501E-2</v>
          </cell>
          <cell r="AN250">
            <v>0.61055719907342798</v>
          </cell>
          <cell r="AO250">
            <v>2.4974327105728333E-2</v>
          </cell>
          <cell r="AP250">
            <v>1.5870055402920524E-2</v>
          </cell>
          <cell r="AQ250">
            <v>2.4770029292358275E-2</v>
          </cell>
          <cell r="AR250">
            <v>2.2019594529052222E-2</v>
          </cell>
          <cell r="AS250">
            <v>-2.1375709662485587E-3</v>
          </cell>
          <cell r="AT250">
            <v>1.5157492758014035E-2</v>
          </cell>
          <cell r="AU250">
            <v>5.3104980982297656E-2</v>
          </cell>
          <cell r="AV250">
            <v>2.1478804607177882E-2</v>
          </cell>
          <cell r="AW250">
            <v>5.7161154646669932E-3</v>
          </cell>
          <cell r="AX250">
            <v>-9.5197599834471291E-2</v>
          </cell>
          <cell r="AY250">
            <v>-1.0057483951293134E-2</v>
          </cell>
          <cell r="AZ250">
            <v>-3.4267478394677697E-2</v>
          </cell>
          <cell r="BA250">
            <v>2.24349367702108E-2</v>
          </cell>
          <cell r="BB250">
            <v>7.6104392961417577E-2</v>
          </cell>
          <cell r="BC250">
            <v>5.7327142817426013E-2</v>
          </cell>
          <cell r="BD250">
            <v>5.153542735718486E-2</v>
          </cell>
          <cell r="BE250">
            <v>6.9466093623351544E-3</v>
          </cell>
          <cell r="BF250">
            <v>3.5450492649101051E-2</v>
          </cell>
          <cell r="BG250">
            <v>8.590777576459252E-2</v>
          </cell>
          <cell r="BH250">
            <v>4.27796661446469E-2</v>
          </cell>
          <cell r="BI250">
            <v>4.6658912009802878E-2</v>
          </cell>
          <cell r="BJ250">
            <v>8.126904239946553E-3</v>
          </cell>
          <cell r="BK250">
            <v>9.2363972957352214E-2</v>
          </cell>
          <cell r="BL250">
            <v>4.862838334788222E-2</v>
          </cell>
          <cell r="BM250">
            <v>4.1702162445895752E-2</v>
          </cell>
          <cell r="BN250">
            <v>0.11608974344315337</v>
          </cell>
          <cell r="BO250">
            <v>6.917536348229425E-2</v>
          </cell>
          <cell r="BP250">
            <v>7.4909575551154184E-2</v>
          </cell>
        </row>
        <row r="251">
          <cell r="A251" t="str">
            <v>TRx Market Share</v>
          </cell>
          <cell r="AL251">
            <v>1.24300533358272E-3</v>
          </cell>
          <cell r="AM251">
            <v>1.0765830867018734E-3</v>
          </cell>
          <cell r="AN251">
            <v>1.1761713730855305E-3</v>
          </cell>
          <cell r="AO251">
            <v>1.3858806619219944E-3</v>
          </cell>
          <cell r="AP251">
            <v>1.3099558976340862E-3</v>
          </cell>
          <cell r="AQ251">
            <v>1.4252082462748459E-3</v>
          </cell>
          <cell r="AR251">
            <v>1.375520502552679E-3</v>
          </cell>
          <cell r="AS251">
            <v>1.4861408723301306E-3</v>
          </cell>
          <cell r="AT251">
            <v>1.3825527699884207E-3</v>
          </cell>
          <cell r="AU251">
            <v>1.3819992637881305E-3</v>
          </cell>
          <cell r="AV251">
            <v>1.4164047922602362E-3</v>
          </cell>
          <cell r="AW251">
            <v>1.239487715055241E-3</v>
          </cell>
          <cell r="AX251">
            <v>1.3531596384895562E-3</v>
          </cell>
          <cell r="AY251">
            <v>1.6261030458297751E-3</v>
          </cell>
          <cell r="AZ251">
            <v>1.4043789380734646E-3</v>
          </cell>
          <cell r="BA251">
            <v>1.464598110572353E-3</v>
          </cell>
          <cell r="BB251">
            <v>1.1976212291231285E-3</v>
          </cell>
          <cell r="BC251">
            <v>1.3006167524640185E-3</v>
          </cell>
          <cell r="BD251">
            <v>1.3205769656694914E-3</v>
          </cell>
          <cell r="BE251">
            <v>1.6962543469109714E-3</v>
          </cell>
          <cell r="BF251">
            <v>1.5986721476862874E-3</v>
          </cell>
          <cell r="BG251">
            <v>1.8704039219865714E-3</v>
          </cell>
          <cell r="BH251">
            <v>1.7266985458521697E-3</v>
          </cell>
          <cell r="BI251">
            <v>1.6769268721294754E-3</v>
          </cell>
          <cell r="BJ251">
            <v>1.8215888240577947E-3</v>
          </cell>
          <cell r="BK251">
            <v>1.752624795830807E-3</v>
          </cell>
          <cell r="BL251">
            <v>1.7502824065505555E-3</v>
          </cell>
          <cell r="BM251">
            <v>1.6272767629383741E-3</v>
          </cell>
          <cell r="BN251">
            <v>1.7819511286670652E-3</v>
          </cell>
          <cell r="BO251">
            <v>1.843994952573439E-3</v>
          </cell>
          <cell r="BP251">
            <v>1.7509501583284886E-3</v>
          </cell>
        </row>
        <row r="252">
          <cell r="A252" t="str">
            <v>NRx Market Share</v>
          </cell>
          <cell r="AL252">
            <v>3.2508138221113512E-3</v>
          </cell>
          <cell r="AM252">
            <v>2.8956558746099739E-3</v>
          </cell>
          <cell r="AN252">
            <v>3.0967754978559396E-3</v>
          </cell>
          <cell r="AO252">
            <v>3.6829284548685389E-3</v>
          </cell>
          <cell r="AP252">
            <v>3.4035862406613221E-3</v>
          </cell>
          <cell r="AQ252">
            <v>3.7632755759926567E-3</v>
          </cell>
          <cell r="AR252">
            <v>3.6222534643128323E-3</v>
          </cell>
          <cell r="AS252">
            <v>4.1311306556088808E-3</v>
          </cell>
          <cell r="AT252">
            <v>3.5857146844678433E-3</v>
          </cell>
          <cell r="AU252">
            <v>3.706959739405602E-3</v>
          </cell>
          <cell r="AV252">
            <v>3.8053753394131605E-3</v>
          </cell>
          <cell r="AW252">
            <v>3.3172419134161139E-3</v>
          </cell>
          <cell r="AX252">
            <v>3.896718661028926E-3</v>
          </cell>
          <cell r="AY252">
            <v>4.4420658282044419E-3</v>
          </cell>
          <cell r="AZ252">
            <v>3.8783481109897636E-3</v>
          </cell>
          <cell r="BA252">
            <v>3.8442266950253754E-3</v>
          </cell>
          <cell r="BB252">
            <v>3.0708073707693237E-3</v>
          </cell>
          <cell r="BC252">
            <v>3.4445583865793696E-3</v>
          </cell>
          <cell r="BD252">
            <v>3.4531178653702884E-3</v>
          </cell>
          <cell r="BE252">
            <v>4.4902316643535816E-3</v>
          </cell>
          <cell r="BF252">
            <v>4.2599913163464094E-3</v>
          </cell>
          <cell r="BG252">
            <v>4.810819927556601E-3</v>
          </cell>
          <cell r="BH252">
            <v>4.531746759761957E-3</v>
          </cell>
          <cell r="BI252">
            <v>4.4835535873730915E-3</v>
          </cell>
          <cell r="BJ252">
            <v>4.736732251097925E-3</v>
          </cell>
          <cell r="BK252">
            <v>4.5125310920690141E-3</v>
          </cell>
          <cell r="BL252">
            <v>4.5763973908120661E-3</v>
          </cell>
          <cell r="BM252">
            <v>4.206687331820275E-3</v>
          </cell>
          <cell r="BN252">
            <v>4.66544822725261E-3</v>
          </cell>
          <cell r="BO252">
            <v>4.7928820070871252E-3</v>
          </cell>
          <cell r="BP252">
            <v>4.5545157348461781E-3</v>
          </cell>
        </row>
        <row r="253">
          <cell r="A253" t="str">
            <v>Price Change (YoY)</v>
          </cell>
          <cell r="AN253">
            <v>0</v>
          </cell>
          <cell r="AR253">
            <v>0</v>
          </cell>
          <cell r="AV253">
            <v>0</v>
          </cell>
          <cell r="AZ253">
            <v>0</v>
          </cell>
          <cell r="BD253">
            <v>0</v>
          </cell>
          <cell r="BE253">
            <v>7.4340527577937632E-2</v>
          </cell>
          <cell r="BH253">
            <v>7.4340527577937632E-2</v>
          </cell>
          <cell r="BL253">
            <v>7.4340527577937632E-2</v>
          </cell>
          <cell r="BP253">
            <v>7.4340527577937632E-2</v>
          </cell>
        </row>
        <row r="254">
          <cell r="A254" t="str">
            <v>BOTOX COSMETIC</v>
          </cell>
        </row>
        <row r="255">
          <cell r="A255" t="str">
            <v>Sales (IMS)</v>
          </cell>
          <cell r="AI255">
            <v>1.6459999999999999</v>
          </cell>
          <cell r="AJ255">
            <v>1.6459999999999999</v>
          </cell>
          <cell r="AK255">
            <v>1.242</v>
          </cell>
        </row>
        <row r="256">
          <cell r="A256" t="str">
            <v>TRx</v>
          </cell>
          <cell r="AH256">
            <v>2</v>
          </cell>
          <cell r="AI256">
            <v>2</v>
          </cell>
          <cell r="AJ256">
            <v>4</v>
          </cell>
          <cell r="AK256">
            <v>8</v>
          </cell>
          <cell r="AL256">
            <v>13</v>
          </cell>
          <cell r="AM256">
            <v>13</v>
          </cell>
          <cell r="AN256">
            <v>34</v>
          </cell>
        </row>
        <row r="257">
          <cell r="A257" t="str">
            <v xml:space="preserve">  % Change</v>
          </cell>
        </row>
        <row r="258">
          <cell r="A258" t="str">
            <v>NRx</v>
          </cell>
          <cell r="AH258">
            <v>2</v>
          </cell>
          <cell r="AI258">
            <v>2</v>
          </cell>
          <cell r="AJ258">
            <v>4</v>
          </cell>
          <cell r="AK258">
            <v>8</v>
          </cell>
          <cell r="AL258">
            <v>13</v>
          </cell>
          <cell r="AM258">
            <v>13</v>
          </cell>
          <cell r="AN258">
            <v>34</v>
          </cell>
        </row>
        <row r="261">
          <cell r="A261" t="str">
            <v xml:space="preserve">TRx + Botox Price Change </v>
          </cell>
          <cell r="AN261">
            <v>0.60206052801030263</v>
          </cell>
          <cell r="AO261">
            <v>0.65404040404040398</v>
          </cell>
          <cell r="AP261">
            <v>0.50848972296693473</v>
          </cell>
          <cell r="AQ261">
            <v>0.6572847682119205</v>
          </cell>
          <cell r="AR261">
            <v>0.60881934566145102</v>
          </cell>
          <cell r="AS261">
            <v>0.41369863013698627</v>
          </cell>
          <cell r="AT261">
            <v>0.37543372657876484</v>
          </cell>
          <cell r="AU261">
            <v>0.37076271186440679</v>
          </cell>
          <cell r="AV261">
            <v>0.38684271484827426</v>
          </cell>
          <cell r="AZ261">
            <v>0.39948513924643114</v>
          </cell>
          <cell r="BD261">
            <v>0.18147106109324751</v>
          </cell>
          <cell r="BH261">
            <v>0.38397801652577135</v>
          </cell>
          <cell r="BL261">
            <v>0.3569528542858047</v>
          </cell>
          <cell r="BP261">
            <v>0.40243417306288753</v>
          </cell>
        </row>
        <row r="263">
          <cell r="A263" t="str">
            <v xml:space="preserve">TOTAL BOTOX REPORTED SALES </v>
          </cell>
          <cell r="H263">
            <v>66.7</v>
          </cell>
          <cell r="L263">
            <v>67.599999999999994</v>
          </cell>
          <cell r="P263">
            <v>76.400000000000006</v>
          </cell>
          <cell r="T263">
            <v>77.2</v>
          </cell>
          <cell r="X263">
            <v>88.3</v>
          </cell>
          <cell r="AB263">
            <v>88.6</v>
          </cell>
          <cell r="AF263">
            <v>112.2</v>
          </cell>
          <cell r="AJ263">
            <v>110.7</v>
          </cell>
          <cell r="AN263">
            <v>128.19999999999999</v>
          </cell>
          <cell r="AR263">
            <v>123.1</v>
          </cell>
          <cell r="AV263">
            <v>143.1</v>
          </cell>
          <cell r="AZ263">
            <v>139.9</v>
          </cell>
          <cell r="BD263">
            <v>157.80000000000001</v>
          </cell>
          <cell r="BH263">
            <v>150.69999999999999</v>
          </cell>
          <cell r="BL263">
            <v>176.9</v>
          </cell>
          <cell r="BP263">
            <v>174.6</v>
          </cell>
        </row>
        <row r="264">
          <cell r="A264" t="str">
            <v xml:space="preserve">  % Change</v>
          </cell>
          <cell r="X264">
            <v>0.32383808095952005</v>
          </cell>
          <cell r="AB264">
            <v>0.31065088757396442</v>
          </cell>
          <cell r="AF264">
            <v>0.46858638743455483</v>
          </cell>
          <cell r="AJ264">
            <v>0.43393782383419688</v>
          </cell>
          <cell r="AN264">
            <v>0.45186862967157415</v>
          </cell>
          <cell r="AR264">
            <v>0.38939051918735901</v>
          </cell>
          <cell r="AV264">
            <v>0.27540106951871657</v>
          </cell>
          <cell r="AZ264">
            <v>0.26377597109304429</v>
          </cell>
          <cell r="BD264">
            <v>0.23088923556942298</v>
          </cell>
          <cell r="BH264">
            <v>0.22420796100731111</v>
          </cell>
          <cell r="BL264">
            <v>0.23619846261355715</v>
          </cell>
          <cell r="BP264">
            <v>0.24803431022158673</v>
          </cell>
        </row>
        <row r="266">
          <cell r="A266" t="str">
            <v>TOTAL BOTOX SALES (IMS)</v>
          </cell>
          <cell r="C266">
            <v>0.99888399999999999</v>
          </cell>
          <cell r="D266">
            <v>1.124096</v>
          </cell>
          <cell r="E266">
            <v>1.237852</v>
          </cell>
          <cell r="F266">
            <v>1.2961990000000001</v>
          </cell>
          <cell r="G266">
            <v>1.978207</v>
          </cell>
          <cell r="H266">
            <v>4.5122580000000001</v>
          </cell>
          <cell r="I266">
            <v>1.3151809999999999</v>
          </cell>
          <cell r="J266">
            <v>0.86337399999999997</v>
          </cell>
          <cell r="K266">
            <v>1.1648480000000001</v>
          </cell>
          <cell r="L266">
            <v>3.3434029999999999</v>
          </cell>
          <cell r="M266">
            <v>1.9060809999999999</v>
          </cell>
          <cell r="N266">
            <v>1.466496</v>
          </cell>
          <cell r="O266">
            <v>2.0885020000000001</v>
          </cell>
          <cell r="P266">
            <v>5.4610789999999998</v>
          </cell>
          <cell r="Q266">
            <v>1.704466</v>
          </cell>
          <cell r="R266">
            <v>2.10283</v>
          </cell>
          <cell r="S266">
            <v>2.013029</v>
          </cell>
          <cell r="T266">
            <v>5.8203250000000004</v>
          </cell>
          <cell r="U266">
            <v>1.7837479999999999</v>
          </cell>
          <cell r="V266">
            <v>1.995161</v>
          </cell>
          <cell r="W266">
            <v>2.5006930000000001</v>
          </cell>
          <cell r="X266">
            <v>6.2796019999999997</v>
          </cell>
          <cell r="Y266">
            <v>1.8905810000000001</v>
          </cell>
          <cell r="Z266">
            <v>1.1331640000000001</v>
          </cell>
          <cell r="AA266">
            <v>1.530966</v>
          </cell>
          <cell r="AB266">
            <v>4.5547110000000002</v>
          </cell>
          <cell r="AC266">
            <v>1.7391890000000001</v>
          </cell>
          <cell r="AD266">
            <v>1.695225</v>
          </cell>
          <cell r="AE266">
            <v>2.1534200000000001</v>
          </cell>
          <cell r="AF266">
            <v>5.5878340000000009</v>
          </cell>
          <cell r="AG266">
            <v>1.930474</v>
          </cell>
          <cell r="AH266">
            <v>1.832465</v>
          </cell>
          <cell r="AI266">
            <v>2.6867969999999999</v>
          </cell>
          <cell r="AJ266">
            <v>6.4497359999999997</v>
          </cell>
          <cell r="AK266">
            <v>1.385251</v>
          </cell>
          <cell r="AL266">
            <v>1.498586</v>
          </cell>
          <cell r="AM266">
            <v>2.0298189999999998</v>
          </cell>
          <cell r="AN266">
            <v>4.9136559999999996</v>
          </cell>
          <cell r="AO266">
            <v>1.567518</v>
          </cell>
          <cell r="AP266">
            <v>1.6816009999999999</v>
          </cell>
          <cell r="AQ266">
            <v>2.0321850000000001</v>
          </cell>
          <cell r="AR266">
            <v>5.2813039999999996</v>
          </cell>
          <cell r="AS266">
            <v>1.6797930000000001</v>
          </cell>
          <cell r="AT266">
            <v>1.7350589999999999</v>
          </cell>
          <cell r="AU266">
            <v>2.4844659999999998</v>
          </cell>
          <cell r="AV266">
            <v>5.8993180000000001</v>
          </cell>
          <cell r="AW266">
            <v>1.554799</v>
          </cell>
          <cell r="AX266">
            <v>1.692097</v>
          </cell>
          <cell r="AY266">
            <v>1.372333</v>
          </cell>
          <cell r="AZ266">
            <v>4.6192289999999998</v>
          </cell>
          <cell r="BA266">
            <v>1.830203</v>
          </cell>
          <cell r="BB266">
            <v>1.6501699999999999</v>
          </cell>
          <cell r="BC266">
            <v>1.907543</v>
          </cell>
          <cell r="BD266">
            <v>5.3879159999999997</v>
          </cell>
          <cell r="BE266">
            <v>2.0179909999999999</v>
          </cell>
          <cell r="BF266">
            <v>2.3106230000000001</v>
          </cell>
          <cell r="BG266">
            <v>3.1032959999999998</v>
          </cell>
          <cell r="BH266">
            <v>7.4319100000000002</v>
          </cell>
          <cell r="BI266">
            <v>2.883362</v>
          </cell>
          <cell r="BJ266">
            <v>3.641451</v>
          </cell>
          <cell r="BK266">
            <v>3.0138609999999999</v>
          </cell>
          <cell r="BL266">
            <v>9.5386740000000003</v>
          </cell>
          <cell r="BM266">
            <v>3.0870289999999998</v>
          </cell>
          <cell r="BN266">
            <v>3.1398519999999999</v>
          </cell>
          <cell r="BO266">
            <v>2.994974</v>
          </cell>
          <cell r="BP266">
            <v>9.2218549999999997</v>
          </cell>
        </row>
        <row r="267">
          <cell r="A267" t="str">
            <v xml:space="preserve">  % Change</v>
          </cell>
          <cell r="R267">
            <v>1.1051793801882903</v>
          </cell>
          <cell r="S267">
            <v>0.7907981168868139</v>
          </cell>
          <cell r="U267">
            <v>0.44100264005713119</v>
          </cell>
          <cell r="V267">
            <v>0.53923973093637612</v>
          </cell>
          <cell r="W267">
            <v>0.26412099441565018</v>
          </cell>
          <cell r="X267">
            <v>0.39167618518267333</v>
          </cell>
          <cell r="Y267">
            <v>0.43750632042281645</v>
          </cell>
          <cell r="Z267">
            <v>0.31248335020512563</v>
          </cell>
          <cell r="AA267">
            <v>0.3143053857670699</v>
          </cell>
          <cell r="AB267">
            <v>0.36229793417066403</v>
          </cell>
          <cell r="AC267">
            <v>-8.7557664128649182E-2</v>
          </cell>
          <cell r="AD267">
            <v>0.15596974011521336</v>
          </cell>
          <cell r="AE267">
            <v>3.1083523022721549E-2</v>
          </cell>
          <cell r="AF267">
            <v>2.321061460564855E-2</v>
          </cell>
          <cell r="AG267">
            <v>0.13259754081336905</v>
          </cell>
          <cell r="AH267">
            <v>-0.12857197205670456</v>
          </cell>
          <cell r="AI267">
            <v>0.33470357356997837</v>
          </cell>
          <cell r="AJ267">
            <v>0.10814018117544966</v>
          </cell>
          <cell r="AK267">
            <v>-0.22340431495928792</v>
          </cell>
          <cell r="AL267">
            <v>-0.24888968860157146</v>
          </cell>
          <cell r="AM267">
            <v>-0.18829740395962247</v>
          </cell>
          <cell r="AN267">
            <v>-0.21752111041432243</v>
          </cell>
          <cell r="AO267">
            <v>-0.17088027437068287</v>
          </cell>
          <cell r="AP267">
            <v>0.48398731339858991</v>
          </cell>
          <cell r="AQ267">
            <v>0.32738741422082529</v>
          </cell>
          <cell r="AR267">
            <v>0.1595255988799289</v>
          </cell>
          <cell r="AS267">
            <v>-3.4151549946555559E-2</v>
          </cell>
          <cell r="AT267">
            <v>2.3497765783303093E-2</v>
          </cell>
          <cell r="AU267">
            <v>0.15373034521830387</v>
          </cell>
          <cell r="AV267">
            <v>5.5743245057029212E-2</v>
          </cell>
          <cell r="AW267">
            <v>-0.19460246550847093</v>
          </cell>
          <cell r="AX267">
            <v>-7.6600644487070713E-2</v>
          </cell>
          <cell r="AY267">
            <v>-0.4892308574112596</v>
          </cell>
          <cell r="AZ267">
            <v>-0.28381115134014789</v>
          </cell>
          <cell r="BA267">
            <v>0.3212067704697561</v>
          </cell>
          <cell r="BB267">
            <v>0.10115135200782599</v>
          </cell>
          <cell r="BC267">
            <v>-6.0239853898303219E-2</v>
          </cell>
          <cell r="BD267">
            <v>9.6518763218263581E-2</v>
          </cell>
          <cell r="BE267">
            <v>0.28737979404383229</v>
          </cell>
          <cell r="BF267">
            <v>0.37406138554865298</v>
          </cell>
          <cell r="BG267">
            <v>0.52707356859734711</v>
          </cell>
          <cell r="BH267">
            <v>0.40721117360409487</v>
          </cell>
          <cell r="BI267">
            <v>0.71649840188642289</v>
          </cell>
          <cell r="BJ267">
            <v>1.0987476506562603</v>
          </cell>
          <cell r="BK267">
            <v>0.21308200635468544</v>
          </cell>
          <cell r="BL267">
            <v>0.61691131076507499</v>
          </cell>
          <cell r="BM267">
            <v>0.98548429732717846</v>
          </cell>
          <cell r="BN267">
            <v>0.85559811287414367</v>
          </cell>
          <cell r="BO267">
            <v>1.182395963661881</v>
          </cell>
          <cell r="BP267">
            <v>0.99640567722448914</v>
          </cell>
        </row>
        <row r="269">
          <cell r="A269" t="str">
            <v>REPORTED SALES/TRx BOTOX</v>
          </cell>
          <cell r="H269">
            <v>24486.049926578562</v>
          </cell>
          <cell r="L269">
            <v>21820.529373789541</v>
          </cell>
          <cell r="P269">
            <v>24146.649810366624</v>
          </cell>
          <cell r="T269">
            <v>26178.365547643269</v>
          </cell>
          <cell r="X269">
            <v>28428.847392144238</v>
          </cell>
          <cell r="AB269">
            <v>25206.258890469417</v>
          </cell>
          <cell r="AF269">
            <v>25990.27102154274</v>
          </cell>
          <cell r="AJ269">
            <v>25906.857009127078</v>
          </cell>
          <cell r="AN269">
            <v>25763.665594855302</v>
          </cell>
          <cell r="AR269">
            <v>21768.346595932802</v>
          </cell>
          <cell r="AV269">
            <v>23901.78720561216</v>
          </cell>
          <cell r="AZ269">
            <v>23394.648829431437</v>
          </cell>
          <cell r="BD269">
            <v>26841.299540738222</v>
          </cell>
          <cell r="BH269">
            <v>20348.36618957602</v>
          </cell>
          <cell r="BL269">
            <v>23036.853756999608</v>
          </cell>
          <cell r="BP269">
            <v>21984.386804331403</v>
          </cell>
        </row>
        <row r="270">
          <cell r="A270" t="str">
            <v>IMS SALES/REPORTED SALES</v>
          </cell>
          <cell r="H270">
            <v>6.7650044977511245E-2</v>
          </cell>
          <cell r="L270">
            <v>4.9458624260355029E-2</v>
          </cell>
          <cell r="P270">
            <v>7.1480091623036646E-2</v>
          </cell>
          <cell r="T270">
            <v>7.5392810880829011E-2</v>
          </cell>
          <cell r="X270">
            <v>7.1116670441676105E-2</v>
          </cell>
          <cell r="AB270">
            <v>5.1407573363431158E-2</v>
          </cell>
          <cell r="AF270">
            <v>4.9802442067736194E-2</v>
          </cell>
          <cell r="AJ270">
            <v>5.8263197831978315E-2</v>
          </cell>
          <cell r="AN270">
            <v>3.8328049921996878E-2</v>
          </cell>
          <cell r="AR270">
            <v>4.2902550771730302E-2</v>
          </cell>
          <cell r="AV270">
            <v>4.1225143256464016E-2</v>
          </cell>
          <cell r="AZ270">
            <v>3.3018077197998569E-2</v>
          </cell>
          <cell r="BD270">
            <v>3.4143954372623568E-2</v>
          </cell>
          <cell r="BH270">
            <v>4.9315925680159259E-2</v>
          </cell>
          <cell r="BL270">
            <v>5.3921277557942342E-2</v>
          </cell>
          <cell r="BP270">
            <v>5.2817038946162659E-2</v>
          </cell>
        </row>
        <row r="271">
          <cell r="A271" t="str">
            <v>Projected Sales for Quarter (based on TRx and Price)</v>
          </cell>
          <cell r="AJ271">
            <v>111.05642807505212</v>
          </cell>
        </row>
        <row r="273">
          <cell r="A273" t="str">
            <v>TRx AGN PRODUCTS</v>
          </cell>
          <cell r="C273">
            <v>885505</v>
          </cell>
          <cell r="D273">
            <v>836391</v>
          </cell>
          <cell r="E273">
            <v>869061</v>
          </cell>
          <cell r="F273">
            <v>854564</v>
          </cell>
          <cell r="G273">
            <v>858466</v>
          </cell>
          <cell r="H273">
            <v>2582091</v>
          </cell>
          <cell r="I273">
            <v>897939</v>
          </cell>
          <cell r="J273">
            <v>820684</v>
          </cell>
          <cell r="K273">
            <v>931379</v>
          </cell>
          <cell r="L273">
            <v>2650002</v>
          </cell>
          <cell r="M273">
            <v>902847</v>
          </cell>
          <cell r="N273">
            <v>982742</v>
          </cell>
          <cell r="O273">
            <v>900436</v>
          </cell>
          <cell r="P273">
            <v>2786025</v>
          </cell>
          <cell r="Q273">
            <v>896137</v>
          </cell>
          <cell r="R273">
            <v>934701</v>
          </cell>
          <cell r="S273">
            <v>842238</v>
          </cell>
          <cell r="T273">
            <v>2673076</v>
          </cell>
          <cell r="U273">
            <v>950060</v>
          </cell>
          <cell r="V273">
            <v>898778</v>
          </cell>
          <cell r="W273">
            <v>920958</v>
          </cell>
          <cell r="X273">
            <v>2769796</v>
          </cell>
          <cell r="Y273">
            <v>950838</v>
          </cell>
          <cell r="Z273">
            <v>872778</v>
          </cell>
          <cell r="AA273">
            <v>956071</v>
          </cell>
          <cell r="AB273">
            <v>2779687</v>
          </cell>
          <cell r="AC273">
            <v>1004566</v>
          </cell>
          <cell r="AD273">
            <v>1022057</v>
          </cell>
          <cell r="AE273">
            <v>943128</v>
          </cell>
          <cell r="AF273">
            <v>2969751</v>
          </cell>
          <cell r="AG273">
            <v>988109</v>
          </cell>
          <cell r="AH273">
            <v>985910</v>
          </cell>
          <cell r="AI273">
            <v>929906</v>
          </cell>
          <cell r="AJ273">
            <v>2903925</v>
          </cell>
          <cell r="AK273">
            <v>982241</v>
          </cell>
          <cell r="AL273">
            <v>944231</v>
          </cell>
          <cell r="AM273">
            <v>974984</v>
          </cell>
          <cell r="AN273">
            <v>2901456</v>
          </cell>
          <cell r="AO273">
            <v>989681</v>
          </cell>
          <cell r="AP273">
            <v>895878</v>
          </cell>
          <cell r="AQ273">
            <v>996633</v>
          </cell>
          <cell r="AR273">
            <v>2882192</v>
          </cell>
          <cell r="AS273">
            <v>1020392</v>
          </cell>
          <cell r="AT273">
            <v>1073615</v>
          </cell>
          <cell r="AU273">
            <v>1021383</v>
          </cell>
          <cell r="AV273">
            <v>3115390</v>
          </cell>
          <cell r="AW273">
            <v>1033845</v>
          </cell>
          <cell r="AX273">
            <v>1000706</v>
          </cell>
          <cell r="AY273">
            <v>990760</v>
          </cell>
          <cell r="AZ273">
            <v>3025311</v>
          </cell>
          <cell r="BA273">
            <v>1030700</v>
          </cell>
          <cell r="BB273">
            <v>935451</v>
          </cell>
          <cell r="BC273">
            <v>1026387</v>
          </cell>
          <cell r="BD273">
            <v>2992538</v>
          </cell>
          <cell r="BE273">
            <v>1001814</v>
          </cell>
          <cell r="BF273">
            <v>942068</v>
          </cell>
          <cell r="BG273">
            <v>1094306</v>
          </cell>
          <cell r="BH273">
            <v>3038188</v>
          </cell>
          <cell r="BI273">
            <v>1058102</v>
          </cell>
          <cell r="BJ273">
            <v>1052103</v>
          </cell>
          <cell r="BK273">
            <v>1037512</v>
          </cell>
          <cell r="BL273">
            <v>3147717</v>
          </cell>
          <cell r="BM273">
            <v>1021974</v>
          </cell>
          <cell r="BN273">
            <v>1046000</v>
          </cell>
          <cell r="BO273">
            <v>1023354</v>
          </cell>
          <cell r="BP273">
            <v>3091328</v>
          </cell>
        </row>
        <row r="274">
          <cell r="A274" t="str">
            <v xml:space="preserve">  % Change</v>
          </cell>
          <cell r="X274">
            <v>7.2694959240398482E-2</v>
          </cell>
          <cell r="AB274">
            <v>4.893769891494415E-2</v>
          </cell>
          <cell r="AF274">
            <v>6.5945567609766664E-2</v>
          </cell>
          <cell r="AG274">
            <v>0.10263162886924659</v>
          </cell>
          <cell r="AH274">
            <v>5.4786503919435292E-2</v>
          </cell>
          <cell r="AI274">
            <v>0.10408934291732264</v>
          </cell>
          <cell r="AJ274">
            <v>8.6360806800854117E-2</v>
          </cell>
          <cell r="AK274">
            <v>3.3872597520156589E-2</v>
          </cell>
          <cell r="AL274">
            <v>5.0571998869576307E-2</v>
          </cell>
          <cell r="AM274">
            <v>5.866282718647331E-2</v>
          </cell>
          <cell r="AN274">
            <v>4.7534186633239495E-2</v>
          </cell>
          <cell r="AO274">
            <v>4.085133324499024E-2</v>
          </cell>
          <cell r="AP274">
            <v>2.6467211593326212E-2</v>
          </cell>
          <cell r="AQ274">
            <v>4.2425719428787145E-2</v>
          </cell>
          <cell r="AR274">
            <v>3.6876454075584819E-2</v>
          </cell>
          <cell r="AS274">
            <v>1.5754066930395716E-2</v>
          </cell>
          <cell r="AT274">
            <v>5.0445327413245922E-2</v>
          </cell>
          <cell r="AU274">
            <v>8.2973891136727929E-2</v>
          </cell>
          <cell r="AV274">
            <v>4.9040811839107024E-2</v>
          </cell>
          <cell r="AW274">
            <v>4.6286391481101807E-2</v>
          </cell>
          <cell r="AX274">
            <v>1.5007455041535334E-2</v>
          </cell>
          <cell r="AY274">
            <v>6.5441023071149074E-2</v>
          </cell>
          <cell r="AZ274">
            <v>4.1800666339523174E-2</v>
          </cell>
          <cell r="BA274">
            <v>4.9335142801002929E-2</v>
          </cell>
          <cell r="BB274">
            <v>-9.2985720655220927E-3</v>
          </cell>
          <cell r="BC274">
            <v>5.2721890820772499E-2</v>
          </cell>
          <cell r="BD274">
            <v>3.1391825345619573E-2</v>
          </cell>
          <cell r="BE274">
            <v>1.2259505840770846E-2</v>
          </cell>
          <cell r="BF274">
            <v>5.15583595087723E-2</v>
          </cell>
          <cell r="BG274">
            <v>9.8002976020260313E-2</v>
          </cell>
          <cell r="BH274">
            <v>5.4124083336571704E-2</v>
          </cell>
          <cell r="BI274">
            <v>3.6956385389144586E-2</v>
          </cell>
          <cell r="BJ274">
            <v>-2.0036977873818862E-2</v>
          </cell>
          <cell r="BK274">
            <v>1.5791333907065219E-2</v>
          </cell>
          <cell r="BL274">
            <v>1.0376549966456761E-2</v>
          </cell>
          <cell r="BM274">
            <v>-1.1482378886583544E-2</v>
          </cell>
          <cell r="BN274">
            <v>4.5262044996232653E-2</v>
          </cell>
          <cell r="BO274">
            <v>3.2897977310347715E-2</v>
          </cell>
          <cell r="BP274">
            <v>2.1821558180299405E-2</v>
          </cell>
        </row>
        <row r="275">
          <cell r="A275" t="str">
            <v xml:space="preserve">TOTAL AGN REPORTED SALES </v>
          </cell>
          <cell r="H275">
            <v>247.7</v>
          </cell>
          <cell r="L275">
            <v>275.3</v>
          </cell>
          <cell r="P275">
            <v>278</v>
          </cell>
          <cell r="T275">
            <v>282.10000000000002</v>
          </cell>
          <cell r="X275">
            <v>306.89999999999998</v>
          </cell>
          <cell r="AB275">
            <v>318.10000000000002</v>
          </cell>
          <cell r="AF275">
            <v>338</v>
          </cell>
          <cell r="AJ275">
            <v>340.1</v>
          </cell>
          <cell r="AN275">
            <v>360.9</v>
          </cell>
          <cell r="AR275">
            <v>370</v>
          </cell>
          <cell r="AV275">
            <v>421.1</v>
          </cell>
          <cell r="AZ275">
            <v>421.9</v>
          </cell>
          <cell r="BD275">
            <v>459.7</v>
          </cell>
          <cell r="BH275">
            <v>447.5</v>
          </cell>
          <cell r="BL275">
            <v>478.9</v>
          </cell>
          <cell r="BP275">
            <v>484.8</v>
          </cell>
        </row>
        <row r="276">
          <cell r="A276" t="str">
            <v xml:space="preserve">  % Change</v>
          </cell>
          <cell r="X276">
            <v>0.23899878885748893</v>
          </cell>
          <cell r="AB276">
            <v>0.15546676353069389</v>
          </cell>
          <cell r="AF276">
            <v>0.21582733812949639</v>
          </cell>
          <cell r="AJ276">
            <v>0.20560085076214096</v>
          </cell>
          <cell r="AN276">
            <v>0.1759530791788857</v>
          </cell>
          <cell r="AR276">
            <v>0.16315624017604513</v>
          </cell>
          <cell r="AV276">
            <v>0.24585798816568061</v>
          </cell>
          <cell r="AZ276">
            <v>0.24051749485445439</v>
          </cell>
          <cell r="BD276">
            <v>0.27376004433361056</v>
          </cell>
          <cell r="BH276">
            <v>0.20945945945945943</v>
          </cell>
          <cell r="BL276">
            <v>0.13725955829969116</v>
          </cell>
          <cell r="BP276">
            <v>0.14908746148376406</v>
          </cell>
        </row>
        <row r="277">
          <cell r="A277" t="str">
            <v>TOTAL AGN SALES (IMS)</v>
          </cell>
          <cell r="C277">
            <v>38.535483999999997</v>
          </cell>
          <cell r="D277">
            <v>49.462077999999998</v>
          </cell>
          <cell r="E277">
            <v>40.339925000000001</v>
          </cell>
          <cell r="F277">
            <v>39.513981999999999</v>
          </cell>
          <cell r="G277">
            <v>51.662509</v>
          </cell>
          <cell r="H277">
            <v>131.51641599999999</v>
          </cell>
          <cell r="I277">
            <v>42.345182000000001</v>
          </cell>
          <cell r="J277">
            <v>43.747746999999997</v>
          </cell>
          <cell r="K277">
            <v>56.618304999999999</v>
          </cell>
          <cell r="L277">
            <v>142.71123399999999</v>
          </cell>
          <cell r="M277">
            <v>46.69791</v>
          </cell>
          <cell r="N277">
            <v>51.360253999999998</v>
          </cell>
          <cell r="O277">
            <v>59.583694999999999</v>
          </cell>
          <cell r="P277">
            <v>157.64185900000001</v>
          </cell>
          <cell r="Q277">
            <v>46.858777000000003</v>
          </cell>
          <cell r="R277">
            <v>49.432704999999999</v>
          </cell>
          <cell r="S277">
            <v>59.033163000000002</v>
          </cell>
          <cell r="T277">
            <v>155.324645</v>
          </cell>
          <cell r="U277">
            <v>51.120983000000003</v>
          </cell>
          <cell r="V277">
            <v>60.420707</v>
          </cell>
          <cell r="W277">
            <v>57.985959000000001</v>
          </cell>
          <cell r="X277">
            <v>169.527649</v>
          </cell>
          <cell r="Y277">
            <v>52.79063</v>
          </cell>
          <cell r="Z277">
            <v>51.622531000000002</v>
          </cell>
          <cell r="AA277">
            <v>79.678183000000004</v>
          </cell>
          <cell r="AB277">
            <v>184.09134399999999</v>
          </cell>
          <cell r="AC277">
            <v>55.714962</v>
          </cell>
          <cell r="AD277">
            <v>56.6038</v>
          </cell>
          <cell r="AE277">
            <v>69.248166999999995</v>
          </cell>
          <cell r="AF277">
            <v>181.56692900000002</v>
          </cell>
          <cell r="AG277">
            <v>54.720339000000003</v>
          </cell>
          <cell r="AH277">
            <v>54.228749000000001</v>
          </cell>
          <cell r="AI277">
            <v>69.678505000000001</v>
          </cell>
          <cell r="AJ277">
            <v>178.62759299999999</v>
          </cell>
          <cell r="AK277">
            <v>56.646867999999998</v>
          </cell>
          <cell r="AL277">
            <v>57.177816999999997</v>
          </cell>
          <cell r="AM277">
            <v>70.879312999999996</v>
          </cell>
          <cell r="AN277">
            <v>184.70399800000001</v>
          </cell>
          <cell r="AO277">
            <v>59.014330000000001</v>
          </cell>
          <cell r="AP277">
            <v>58.961621000000001</v>
          </cell>
          <cell r="AQ277">
            <v>80.446520000000007</v>
          </cell>
          <cell r="AR277">
            <v>198.422471</v>
          </cell>
          <cell r="AS277">
            <v>69.460740999999999</v>
          </cell>
          <cell r="AT277">
            <v>70.860516000000004</v>
          </cell>
          <cell r="AU277">
            <v>89.051884999999999</v>
          </cell>
          <cell r="AV277">
            <v>229.37314199999997</v>
          </cell>
          <cell r="AW277">
            <v>70.034814999999995</v>
          </cell>
          <cell r="AX277">
            <v>71.484855999999994</v>
          </cell>
          <cell r="AY277">
            <v>85.643601000000004</v>
          </cell>
          <cell r="AZ277">
            <v>227.16327200000001</v>
          </cell>
          <cell r="BA277">
            <v>70.582633999999999</v>
          </cell>
          <cell r="BB277">
            <v>69.193380000000005</v>
          </cell>
          <cell r="BC277">
            <v>82.193016</v>
          </cell>
          <cell r="BD277">
            <v>221.96902999999998</v>
          </cell>
          <cell r="BE277">
            <v>72.771968000000001</v>
          </cell>
          <cell r="BF277">
            <v>73.231966</v>
          </cell>
          <cell r="BG277">
            <v>104.029624</v>
          </cell>
          <cell r="BH277">
            <v>250.03355800000003</v>
          </cell>
          <cell r="BI277">
            <v>79.228156999999996</v>
          </cell>
          <cell r="BJ277">
            <v>82.558940000000007</v>
          </cell>
          <cell r="BK277">
            <v>96.921419999999998</v>
          </cell>
          <cell r="BL277">
            <v>258.70851700000003</v>
          </cell>
          <cell r="BM277">
            <v>76.728035000000006</v>
          </cell>
          <cell r="BN277">
            <v>79.084795</v>
          </cell>
          <cell r="BO277">
            <v>96.343137999999996</v>
          </cell>
          <cell r="BP277">
            <v>252.155968</v>
          </cell>
        </row>
        <row r="278">
          <cell r="A278" t="str">
            <v xml:space="preserve">  % Change</v>
          </cell>
          <cell r="X278">
            <v>0.2890227254976292</v>
          </cell>
          <cell r="AB278">
            <v>0.28995692098072667</v>
          </cell>
          <cell r="AF278">
            <v>0.15176850965707023</v>
          </cell>
          <cell r="AJ278">
            <v>0.15002737009313605</v>
          </cell>
          <cell r="AN278">
            <v>8.9521379488958885E-2</v>
          </cell>
          <cell r="AO278">
            <v>0.11789402778485503</v>
          </cell>
          <cell r="AP278">
            <v>0.14216834893275565</v>
          </cell>
          <cell r="AQ278">
            <v>9.6430035308410211E-3</v>
          </cell>
          <cell r="AR278">
            <v>7.7847913370657995E-2</v>
          </cell>
          <cell r="AV278">
            <v>0.26329802053324336</v>
          </cell>
          <cell r="AW278">
            <v>0.27986807610968922</v>
          </cell>
          <cell r="AX278">
            <v>0.31820957182692888</v>
          </cell>
          <cell r="AY278">
            <v>0.22912512258981454</v>
          </cell>
          <cell r="AZ278">
            <v>0.27171434258759808</v>
          </cell>
          <cell r="BA278">
            <v>0.24601123578447437</v>
          </cell>
          <cell r="BB278">
            <v>0.21014378705643844</v>
          </cell>
          <cell r="BC278">
            <v>0.15961925308164315</v>
          </cell>
          <cell r="BD278">
            <v>0.201755416252549</v>
          </cell>
          <cell r="BE278">
            <v>0.23312368368835168</v>
          </cell>
          <cell r="BF278">
            <v>0.2420276911993311</v>
          </cell>
          <cell r="BG278">
            <v>0.2931525689364809</v>
          </cell>
          <cell r="BH278">
            <v>0.26010706720812893</v>
          </cell>
          <cell r="BI278">
            <v>0.14061779156660581</v>
          </cell>
          <cell r="BJ278">
            <v>0.16509086668237072</v>
          </cell>
          <cell r="BK278">
            <v>8.83702237184536E-2</v>
          </cell>
          <cell r="BL278">
            <v>0.12789367902541993</v>
          </cell>
          <cell r="BM278">
            <v>9.5569896200911053E-2</v>
          </cell>
          <cell r="BN278">
            <v>0.10631537118854939</v>
          </cell>
          <cell r="BO278">
            <v>0.12493095660468545</v>
          </cell>
          <cell r="BP278">
            <v>0.11002084879284535</v>
          </cell>
        </row>
        <row r="280">
          <cell r="A280" t="str">
            <v>REPORTED SALES/TRx AGN PRODUCTS</v>
          </cell>
          <cell r="H280">
            <v>95.930004016124911</v>
          </cell>
          <cell r="L280">
            <v>103.88671404776298</v>
          </cell>
          <cell r="P280">
            <v>99.783742069794783</v>
          </cell>
          <cell r="T280">
            <v>105.53384939298397</v>
          </cell>
          <cell r="X280">
            <v>110.80238400228754</v>
          </cell>
          <cell r="AB280">
            <v>114.43734492408677</v>
          </cell>
          <cell r="AF280">
            <v>113.81425580797851</v>
          </cell>
          <cell r="AJ280">
            <v>117.11734979381355</v>
          </cell>
          <cell r="AN280">
            <v>124.38582559928533</v>
          </cell>
          <cell r="AR280">
            <v>128.37451495250838</v>
          </cell>
          <cell r="AV280">
            <v>135.1676676114387</v>
          </cell>
          <cell r="AZ280">
            <v>139.45673684457566</v>
          </cell>
          <cell r="BD280">
            <v>153.61542610319401</v>
          </cell>
          <cell r="BH280">
            <v>147.29174099825292</v>
          </cell>
          <cell r="BL280">
            <v>152.14201276671315</v>
          </cell>
          <cell r="BP280">
            <v>156.82580431452115</v>
          </cell>
        </row>
        <row r="281">
          <cell r="A281" t="str">
            <v>IMS SALES/REPORTED SALES</v>
          </cell>
          <cell r="H281">
            <v>0.53095040775131208</v>
          </cell>
          <cell r="L281">
            <v>0.51838443152924074</v>
          </cell>
          <cell r="P281">
            <v>0.56705704676258994</v>
          </cell>
          <cell r="T281">
            <v>0.55060136476426791</v>
          </cell>
          <cell r="X281">
            <v>0.55238725643532094</v>
          </cell>
          <cell r="AB281">
            <v>0.57872160955674312</v>
          </cell>
          <cell r="AF281">
            <v>0.53718026331360946</v>
          </cell>
          <cell r="AJ281">
            <v>0.52522079682446332</v>
          </cell>
          <cell r="AN281">
            <v>0.51178719312829046</v>
          </cell>
          <cell r="AR281">
            <v>0.53627694864864861</v>
          </cell>
          <cell r="AV281">
            <v>0.54469993350748036</v>
          </cell>
          <cell r="AZ281">
            <v>0.53842918227068026</v>
          </cell>
          <cell r="BD281">
            <v>0.48285627583206436</v>
          </cell>
          <cell r="BH281">
            <v>0.55873420782122907</v>
          </cell>
          <cell r="BL281">
            <v>0.54021406765504287</v>
          </cell>
          <cell r="BP281">
            <v>0.52012369636963696</v>
          </cell>
        </row>
        <row r="282">
          <cell r="A282" t="str">
            <v>1.  Other Eye Care Pharma = Total AGN Products - Alphagan Franchise - Lumigan - Tears Franchise - Restasis - Skin Care - Botox.</v>
          </cell>
        </row>
        <row r="283">
          <cell r="A283" t="str">
            <v>2.  Total Eye Care Pharma = Other Eye Care Pharma + Alphagan Franchise + Lumigan + Tears Franchise + Restasis.</v>
          </cell>
        </row>
      </sheetData>
      <sheetData sheetId="8"/>
      <sheetData sheetId="9"/>
      <sheetData sheetId="10"/>
      <sheetData sheetId="11"/>
      <sheetData sheetId="12">
        <row r="7">
          <cell r="J7" t="str">
            <v>Allergan</v>
          </cell>
        </row>
      </sheetData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HC"/>
      <sheetName val="CashFlow"/>
      <sheetName val="BalanceSheet"/>
      <sheetName val="E&amp;P"/>
      <sheetName val="Upstream Profile"/>
      <sheetName val="Sheet2"/>
      <sheetName val="E&amp;P_Quarters"/>
      <sheetName val="Consolidated"/>
      <sheetName val="Historical"/>
      <sheetName val="iQ_US_CoreIndustrials"/>
      <sheetName val="iQ_Measure_Validations_Errors"/>
      <sheetName val="Production Drivers"/>
      <sheetName val="HOVENSA"/>
      <sheetName val="R&amp;M"/>
      <sheetName val="Annual Model"/>
    </sheetNames>
    <sheetDataSet>
      <sheetData sheetId="0" refreshError="1"/>
      <sheetData sheetId="1" refreshError="1"/>
      <sheetData sheetId="2" refreshError="1">
        <row r="75">
          <cell r="A75" t="str">
            <v>Capital Expenditures</v>
          </cell>
          <cell r="E75">
            <v>1461</v>
          </cell>
          <cell r="F75">
            <v>1712</v>
          </cell>
          <cell r="G75">
            <v>1558</v>
          </cell>
          <cell r="H75">
            <v>1348</v>
          </cell>
          <cell r="I75">
            <v>596</v>
          </cell>
          <cell r="J75">
            <v>692</v>
          </cell>
          <cell r="K75">
            <v>861.3</v>
          </cell>
          <cell r="L75">
            <v>1351</v>
          </cell>
          <cell r="M75">
            <v>1441.9380000000001</v>
          </cell>
          <cell r="N75">
            <v>797</v>
          </cell>
          <cell r="O75">
            <v>1010</v>
          </cell>
          <cell r="P75">
            <v>1581</v>
          </cell>
          <cell r="Q75">
            <v>1534</v>
          </cell>
          <cell r="R75">
            <v>1358</v>
          </cell>
          <cell r="S75">
            <v>1500</v>
          </cell>
          <cell r="T75">
            <v>1500</v>
          </cell>
          <cell r="U75">
            <v>1500</v>
          </cell>
          <cell r="V75">
            <v>1500</v>
          </cell>
          <cell r="W75">
            <v>1500</v>
          </cell>
        </row>
        <row r="76">
          <cell r="B76" t="str">
            <v>Exploration and production</v>
          </cell>
          <cell r="E76">
            <v>1265</v>
          </cell>
          <cell r="F76">
            <v>1293</v>
          </cell>
          <cell r="G76">
            <v>916</v>
          </cell>
          <cell r="H76">
            <v>755</v>
          </cell>
          <cell r="I76">
            <v>531</v>
          </cell>
          <cell r="J76">
            <v>626</v>
          </cell>
          <cell r="K76">
            <v>788.3</v>
          </cell>
          <cell r="L76">
            <v>1158</v>
          </cell>
          <cell r="M76">
            <v>1307</v>
          </cell>
          <cell r="N76">
            <v>727</v>
          </cell>
          <cell r="O76">
            <v>868</v>
          </cell>
          <cell r="P76">
            <v>1421</v>
          </cell>
          <cell r="Q76">
            <v>1404</v>
          </cell>
          <cell r="R76">
            <v>1286</v>
          </cell>
          <cell r="S76">
            <v>1400</v>
          </cell>
          <cell r="T76">
            <v>1400</v>
          </cell>
          <cell r="U76">
            <v>1400</v>
          </cell>
          <cell r="V76">
            <v>1400</v>
          </cell>
          <cell r="W76">
            <v>1400</v>
          </cell>
        </row>
        <row r="79">
          <cell r="B79" t="str">
            <v>Refining and Marketing</v>
          </cell>
          <cell r="E79">
            <v>182</v>
          </cell>
          <cell r="F79">
            <v>410</v>
          </cell>
          <cell r="G79">
            <v>639</v>
          </cell>
          <cell r="H79">
            <v>591</v>
          </cell>
          <cell r="I79">
            <v>62</v>
          </cell>
          <cell r="J79">
            <v>63</v>
          </cell>
          <cell r="K79">
            <v>68</v>
          </cell>
          <cell r="L79">
            <v>188</v>
          </cell>
          <cell r="M79">
            <v>132</v>
          </cell>
          <cell r="N79">
            <v>70</v>
          </cell>
          <cell r="O79">
            <v>142</v>
          </cell>
          <cell r="P79">
            <v>160</v>
          </cell>
          <cell r="Q79">
            <v>130</v>
          </cell>
          <cell r="R79">
            <v>66</v>
          </cell>
          <cell r="S79">
            <v>100</v>
          </cell>
          <cell r="T79">
            <v>100</v>
          </cell>
          <cell r="U79">
            <v>100</v>
          </cell>
          <cell r="V79">
            <v>100</v>
          </cell>
          <cell r="W79">
            <v>100</v>
          </cell>
        </row>
        <row r="82">
          <cell r="B82" t="str">
            <v>Chemicals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</row>
        <row r="85">
          <cell r="B85" t="str">
            <v>Other</v>
          </cell>
          <cell r="E85">
            <v>14</v>
          </cell>
          <cell r="F85">
            <v>9</v>
          </cell>
          <cell r="G85">
            <v>3</v>
          </cell>
          <cell r="H85">
            <v>2</v>
          </cell>
          <cell r="I85">
            <v>3</v>
          </cell>
          <cell r="J85">
            <v>3</v>
          </cell>
          <cell r="K85">
            <v>5</v>
          </cell>
          <cell r="L85">
            <v>5</v>
          </cell>
          <cell r="M85">
            <v>2.9380000000000002</v>
          </cell>
          <cell r="N85">
            <v>0</v>
          </cell>
          <cell r="O85">
            <v>0</v>
          </cell>
          <cell r="R85">
            <v>6</v>
          </cell>
        </row>
      </sheetData>
      <sheetData sheetId="3" refreshError="1">
        <row r="4">
          <cell r="P4">
            <v>49.5</v>
          </cell>
        </row>
        <row r="5">
          <cell r="P5">
            <v>156.76000000000002</v>
          </cell>
        </row>
        <row r="6">
          <cell r="P6">
            <v>75.626666666666665</v>
          </cell>
        </row>
        <row r="24">
          <cell r="P24">
            <v>243.45</v>
          </cell>
        </row>
        <row r="25">
          <cell r="P25">
            <v>578.35</v>
          </cell>
        </row>
        <row r="26">
          <cell r="P26">
            <v>339.84166666666664</v>
          </cell>
        </row>
        <row r="224">
          <cell r="P224">
            <v>-209.26388359062321</v>
          </cell>
        </row>
        <row r="230">
          <cell r="P230">
            <v>173.08615748060186</v>
          </cell>
        </row>
        <row r="235">
          <cell r="P235">
            <v>5.7200533377194018</v>
          </cell>
        </row>
        <row r="237">
          <cell r="P237">
            <v>2.3547539463261011</v>
          </cell>
        </row>
        <row r="331">
          <cell r="P331">
            <v>6.300231976720239</v>
          </cell>
        </row>
        <row r="333">
          <cell r="P333">
            <v>1.068038456642953</v>
          </cell>
        </row>
        <row r="358">
          <cell r="P358">
            <v>-939.93731090801305</v>
          </cell>
        </row>
        <row r="364">
          <cell r="P364">
            <v>792.82196715614464</v>
          </cell>
        </row>
        <row r="369">
          <cell r="P369">
            <v>6.1711219209427846</v>
          </cell>
        </row>
        <row r="371">
          <cell r="P371">
            <v>1.3543776933456455</v>
          </cell>
        </row>
        <row r="378">
          <cell r="J378">
            <v>-0.17232778168047297</v>
          </cell>
          <cell r="K378">
            <v>3.1793375312274179</v>
          </cell>
          <cell r="L378">
            <v>6.481886118998152</v>
          </cell>
          <cell r="M378">
            <v>5.5775701249426239</v>
          </cell>
          <cell r="N378">
            <v>4.2852800518764687</v>
          </cell>
          <cell r="O378">
            <v>2.9242248599931422</v>
          </cell>
          <cell r="P378">
            <v>6.3915499232779549</v>
          </cell>
          <cell r="Q378">
            <v>5.222162310082699</v>
          </cell>
          <cell r="R378">
            <v>5.9985344090672603</v>
          </cell>
          <cell r="S378">
            <v>6.0865266844187591</v>
          </cell>
          <cell r="T378">
            <v>6.165940113274857</v>
          </cell>
        </row>
        <row r="379">
          <cell r="J379">
            <v>6.4929026689741365</v>
          </cell>
          <cell r="K379">
            <v>8.6266510409013542</v>
          </cell>
          <cell r="L379">
            <v>12.582915652473249</v>
          </cell>
          <cell r="M379">
            <v>12.873259246470065</v>
          </cell>
          <cell r="N379">
            <v>13.179257518035179</v>
          </cell>
          <cell r="O379">
            <v>11.924665697911733</v>
          </cell>
          <cell r="P379">
            <v>15.799132443674175</v>
          </cell>
          <cell r="Q379">
            <v>14.544608023456462</v>
          </cell>
          <cell r="R379">
            <v>15.260996947644324</v>
          </cell>
          <cell r="S379">
            <v>15.290169529787848</v>
          </cell>
          <cell r="T379">
            <v>15.367621343131614</v>
          </cell>
        </row>
        <row r="393">
          <cell r="J393">
            <v>-5.296905492054642E-3</v>
          </cell>
          <cell r="K393">
            <v>0.11075102155840497</v>
          </cell>
          <cell r="L393">
            <v>0.2527488219334571</v>
          </cell>
          <cell r="M393">
            <v>0.16382189239332096</v>
          </cell>
          <cell r="N393">
            <v>0.10484122852680895</v>
          </cell>
          <cell r="O393">
            <v>6.6354999245965912E-2</v>
          </cell>
          <cell r="P393">
            <v>0.10983147808247258</v>
          </cell>
          <cell r="Q393">
            <v>8.6958417494516493E-2</v>
          </cell>
          <cell r="R393">
            <v>9.9648053892027799E-2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L_Model_Summary"/>
      <sheetName val="RPCWORK"/>
      <sheetName val="Sheet1"/>
      <sheetName val="2012"/>
      <sheetName val="Pro Forma"/>
      <sheetName val="Air Canada"/>
      <sheetName val="Air France"/>
      <sheetName val="AirTran"/>
      <sheetName val="Alaska"/>
      <sheetName val="Alitalia"/>
      <sheetName val="American"/>
      <sheetName val="America West"/>
      <sheetName val="Atlantic Coast"/>
      <sheetName val="British Airways"/>
      <sheetName val="Cathay Pacific"/>
      <sheetName val="China Southern--JUNK"/>
      <sheetName val="Continental"/>
      <sheetName val="Delta"/>
      <sheetName val="Finnair"/>
      <sheetName val="ROIC Trees"/>
      <sheetName val="Frontier"/>
      <sheetName val="Operating Leases"/>
      <sheetName val="Japan Airlines"/>
      <sheetName val="KLM"/>
      <sheetName val="Korean Air"/>
      <sheetName val="LAN Chile--JUNK"/>
      <sheetName val="Lufthansa"/>
      <sheetName val="Malaysia--JUNK"/>
      <sheetName val="Northwest"/>
      <sheetName val="Qantas"/>
      <sheetName val="Ryanair"/>
      <sheetName val="SAS--JUNK"/>
      <sheetName val="Singapore"/>
      <sheetName val="SkyWest"/>
      <sheetName val="Southwest"/>
      <sheetName val="Thai"/>
      <sheetName val="United"/>
      <sheetName val="US Airways"/>
      <sheetName val="Virgin Express"/>
      <sheetName val="IMS"/>
      <sheetName val="List"/>
      <sheetName val="FREUDSTD"/>
      <sheetName val="Instructions"/>
    </sheetNames>
    <sheetDataSet>
      <sheetData sheetId="0" refreshError="1"/>
      <sheetData sheetId="1" refreshError="1">
        <row r="29">
          <cell r="C29" t="str">
            <v xml:space="preserve">Other Products </v>
          </cell>
          <cell r="D29">
            <v>0</v>
          </cell>
        </row>
        <row r="30">
          <cell r="D30" t="str">
            <v>====</v>
          </cell>
        </row>
        <row r="31">
          <cell r="C31" t="str">
            <v>TOTAL REVENUES</v>
          </cell>
          <cell r="D31">
            <v>98.075000000000003</v>
          </cell>
        </row>
        <row r="32">
          <cell r="C32" t="str">
            <v>(Fiscal Yr ends Dec)</v>
          </cell>
          <cell r="D32" t="str">
            <v>1996</v>
          </cell>
        </row>
        <row r="34">
          <cell r="C34" t="str">
            <v>Total Revenues</v>
          </cell>
          <cell r="D34">
            <v>98.075000000000003</v>
          </cell>
        </row>
        <row r="35">
          <cell r="C35" t="str">
            <v>Other</v>
          </cell>
          <cell r="D35">
            <v>3.5999999999999997E-2</v>
          </cell>
        </row>
        <row r="36">
          <cell r="C36" t="str">
            <v>TOTAL REVENUE</v>
          </cell>
          <cell r="D36">
            <v>98.075000000000003</v>
          </cell>
        </row>
        <row r="38">
          <cell r="C38" t="str">
            <v>Cost of Sales</v>
          </cell>
          <cell r="D38">
            <v>49.753</v>
          </cell>
        </row>
        <row r="39">
          <cell r="C39" t="str">
            <v>New Drugs</v>
          </cell>
        </row>
        <row r="40">
          <cell r="C40" t="str">
            <v xml:space="preserve">   Net Cost</v>
          </cell>
        </row>
        <row r="41">
          <cell r="C41" t="str">
            <v>GROSS PROFIT</v>
          </cell>
          <cell r="D41">
            <v>48.322000000000003</v>
          </cell>
        </row>
        <row r="42">
          <cell r="A42" t="str">
            <v xml:space="preserve"> </v>
          </cell>
        </row>
        <row r="43">
          <cell r="C43" t="str">
            <v xml:space="preserve">S, G &amp; A </v>
          </cell>
          <cell r="D43">
            <v>57.238999999999997</v>
          </cell>
        </row>
        <row r="44">
          <cell r="C44" t="str">
            <v>R &amp; D</v>
          </cell>
          <cell r="D44">
            <v>4.008</v>
          </cell>
        </row>
        <row r="45">
          <cell r="C45" t="str">
            <v>Operating Expense</v>
          </cell>
          <cell r="D45">
            <v>61.247</v>
          </cell>
        </row>
        <row r="46">
          <cell r="D46" t="str">
            <v>--------</v>
          </cell>
        </row>
        <row r="47">
          <cell r="C47" t="str">
            <v>OPERATING INCOME</v>
          </cell>
          <cell r="D47">
            <v>-12.924999999999997</v>
          </cell>
        </row>
        <row r="49">
          <cell r="C49" t="str">
            <v>Interest  Income</v>
          </cell>
          <cell r="D49">
            <v>2.907</v>
          </cell>
        </row>
        <row r="50">
          <cell r="C50" t="str">
            <v>Interest Expense</v>
          </cell>
          <cell r="D50">
            <v>-1.75</v>
          </cell>
        </row>
        <row r="51">
          <cell r="C51" t="str">
            <v>Other Income</v>
          </cell>
          <cell r="D51">
            <v>0.187</v>
          </cell>
        </row>
        <row r="52">
          <cell r="C52" t="str">
            <v>NON-OPERATING INCOME</v>
          </cell>
          <cell r="D52">
            <v>1.3440000000000001</v>
          </cell>
        </row>
        <row r="54">
          <cell r="C54" t="str">
            <v>PRE-TAX INCOME</v>
          </cell>
          <cell r="D54">
            <v>-11.580999999999998</v>
          </cell>
        </row>
        <row r="55">
          <cell r="C55" t="str">
            <v>Tax Rate</v>
          </cell>
          <cell r="D55">
            <v>0.22916846559019086</v>
          </cell>
        </row>
        <row r="56">
          <cell r="C56" t="str">
            <v>Taxes</v>
          </cell>
          <cell r="D56">
            <v>-2.6539999999999999</v>
          </cell>
        </row>
        <row r="57">
          <cell r="D57" t="str">
            <v>--------</v>
          </cell>
        </row>
        <row r="58">
          <cell r="C58" t="str">
            <v>NET INCOME</v>
          </cell>
          <cell r="D58">
            <v>-8.9269999999999978</v>
          </cell>
        </row>
        <row r="61">
          <cell r="C61" t="str">
            <v>AVG. SHARES OUTST</v>
          </cell>
          <cell r="D61">
            <v>19.132863</v>
          </cell>
        </row>
        <row r="62">
          <cell r="C62" t="str">
            <v>EARNINGS PER SHARE</v>
          </cell>
          <cell r="D62">
            <v>-0.46657941365074312</v>
          </cell>
        </row>
        <row r="65">
          <cell r="C65" t="str">
            <v>Percentage Change</v>
          </cell>
          <cell r="D65">
            <v>1996</v>
          </cell>
        </row>
        <row r="66">
          <cell r="C66" t="str">
            <v>Total Revenue</v>
          </cell>
          <cell r="D66">
            <v>-0.13502957849541997</v>
          </cell>
        </row>
        <row r="67">
          <cell r="C67" t="str">
            <v>Cost of Sales</v>
          </cell>
          <cell r="D67">
            <v>-5.8955929638736478E-2</v>
          </cell>
        </row>
        <row r="68">
          <cell r="C68" t="str">
            <v>GROSS PROFIT</v>
          </cell>
          <cell r="D68">
            <v>-0.20144657099922392</v>
          </cell>
        </row>
        <row r="69">
          <cell r="C69" t="str">
            <v>SG&amp;A</v>
          </cell>
          <cell r="D69">
            <v>0.20310660837396999</v>
          </cell>
        </row>
        <row r="70">
          <cell r="C70" t="str">
            <v>R&amp;D</v>
          </cell>
          <cell r="D70">
            <v>-0.34381139489194495</v>
          </cell>
        </row>
        <row r="71">
          <cell r="C71" t="str">
            <v>Operating Expenses</v>
          </cell>
          <cell r="D71">
            <v>0.14087996423515392</v>
          </cell>
        </row>
        <row r="72">
          <cell r="C72" t="str">
            <v>OPERATING INCOME</v>
          </cell>
          <cell r="D72" t="str">
            <v xml:space="preserve">     nm</v>
          </cell>
        </row>
        <row r="73">
          <cell r="C73" t="str">
            <v>PRETAX INCOME</v>
          </cell>
          <cell r="D73" t="str">
            <v xml:space="preserve">     nm</v>
          </cell>
        </row>
        <row r="74">
          <cell r="C74" t="str">
            <v>NET INCOME</v>
          </cell>
          <cell r="D74" t="str">
            <v xml:space="preserve">     nm</v>
          </cell>
        </row>
        <row r="75">
          <cell r="C75" t="str">
            <v>EPS</v>
          </cell>
          <cell r="D75" t="str">
            <v xml:space="preserve">     nm</v>
          </cell>
        </row>
        <row r="77">
          <cell r="C77" t="str">
            <v>*  Taxes primarily from foreign income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VAR"/>
      <sheetName val="MKTD"/>
      <sheetName val="PPLN-generic"/>
      <sheetName val="IMS"/>
      <sheetName val="P&amp;L Review"/>
      <sheetName val="iQ_US_CoreIndustrials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A3" t="str">
            <v>Product</v>
          </cell>
          <cell r="B3">
            <v>36800</v>
          </cell>
          <cell r="C3">
            <v>36831</v>
          </cell>
          <cell r="D3">
            <v>36861</v>
          </cell>
          <cell r="E3" t="str">
            <v>Q4:00</v>
          </cell>
          <cell r="F3">
            <v>36892</v>
          </cell>
          <cell r="G3">
            <v>36923</v>
          </cell>
          <cell r="H3">
            <v>36951</v>
          </cell>
          <cell r="I3" t="str">
            <v>Q1:01</v>
          </cell>
          <cell r="J3">
            <v>36982</v>
          </cell>
          <cell r="K3">
            <v>37012</v>
          </cell>
          <cell r="L3">
            <v>37043</v>
          </cell>
          <cell r="M3" t="str">
            <v>Q2:01</v>
          </cell>
          <cell r="N3">
            <v>37073</v>
          </cell>
          <cell r="O3">
            <v>37104</v>
          </cell>
          <cell r="P3">
            <v>37135</v>
          </cell>
          <cell r="Q3" t="str">
            <v>Q3:01</v>
          </cell>
          <cell r="R3">
            <v>37165</v>
          </cell>
          <cell r="S3">
            <v>37196</v>
          </cell>
          <cell r="T3">
            <v>37226</v>
          </cell>
          <cell r="U3" t="str">
            <v>Q4:01</v>
          </cell>
          <cell r="V3">
            <v>37257</v>
          </cell>
          <cell r="W3">
            <v>37288</v>
          </cell>
          <cell r="X3">
            <v>37316</v>
          </cell>
          <cell r="Y3" t="str">
            <v>Q1:02</v>
          </cell>
          <cell r="Z3">
            <v>37347</v>
          </cell>
          <cell r="AA3">
            <v>37377</v>
          </cell>
          <cell r="AB3">
            <v>37408</v>
          </cell>
          <cell r="AC3" t="str">
            <v>Q2:02</v>
          </cell>
          <cell r="AD3">
            <v>37438</v>
          </cell>
          <cell r="AE3">
            <v>37469</v>
          </cell>
          <cell r="AF3">
            <v>37500</v>
          </cell>
          <cell r="AG3" t="str">
            <v>Q3:02</v>
          </cell>
          <cell r="AH3">
            <v>37530</v>
          </cell>
          <cell r="AI3">
            <v>37561</v>
          </cell>
          <cell r="AJ3">
            <v>37591</v>
          </cell>
          <cell r="AK3" t="str">
            <v>Q4:02</v>
          </cell>
          <cell r="AL3">
            <v>37622</v>
          </cell>
          <cell r="AM3">
            <v>37653</v>
          </cell>
          <cell r="AN3">
            <v>37681</v>
          </cell>
          <cell r="AO3" t="str">
            <v>Q1:03</v>
          </cell>
          <cell r="AP3">
            <v>37712</v>
          </cell>
          <cell r="AQ3">
            <v>37742</v>
          </cell>
          <cell r="AR3">
            <v>37773</v>
          </cell>
          <cell r="AS3" t="str">
            <v>Q2:03</v>
          </cell>
          <cell r="AT3">
            <v>37803</v>
          </cell>
          <cell r="AU3">
            <v>37834</v>
          </cell>
          <cell r="AV3">
            <v>37865</v>
          </cell>
          <cell r="AW3" t="str">
            <v>Q3:03</v>
          </cell>
          <cell r="AX3">
            <v>37895</v>
          </cell>
          <cell r="AY3">
            <v>37926</v>
          </cell>
          <cell r="AZ3">
            <v>37956</v>
          </cell>
          <cell r="BA3" t="str">
            <v>Q4:03</v>
          </cell>
          <cell r="BB3">
            <v>37987</v>
          </cell>
          <cell r="BC3">
            <v>38018</v>
          </cell>
          <cell r="BD3">
            <v>38047</v>
          </cell>
          <cell r="BE3" t="str">
            <v>Q1:04</v>
          </cell>
          <cell r="BF3">
            <v>38078</v>
          </cell>
          <cell r="BG3">
            <v>38108</v>
          </cell>
          <cell r="BH3">
            <v>38139</v>
          </cell>
          <cell r="BI3" t="str">
            <v>Q2:04</v>
          </cell>
          <cell r="BJ3">
            <v>38169</v>
          </cell>
          <cell r="BK3">
            <v>38200</v>
          </cell>
          <cell r="BL3">
            <v>38231</v>
          </cell>
          <cell r="BM3" t="str">
            <v>Q3:04E</v>
          </cell>
        </row>
        <row r="4">
          <cell r="A4" t="str">
            <v>Brands</v>
          </cell>
        </row>
        <row r="5">
          <cell r="A5" t="str">
            <v>KADIAN</v>
          </cell>
        </row>
        <row r="6">
          <cell r="A6" t="str">
            <v>TRx</v>
          </cell>
          <cell r="B6">
            <v>6144</v>
          </cell>
          <cell r="C6">
            <v>6720</v>
          </cell>
          <cell r="D6">
            <v>6986</v>
          </cell>
          <cell r="E6">
            <v>19850</v>
          </cell>
          <cell r="F6">
            <v>7581</v>
          </cell>
          <cell r="G6">
            <v>7028</v>
          </cell>
          <cell r="H6">
            <v>8423</v>
          </cell>
          <cell r="I6">
            <v>23032</v>
          </cell>
          <cell r="J6">
            <v>8329</v>
          </cell>
          <cell r="K6">
            <v>10001</v>
          </cell>
          <cell r="L6">
            <v>10352</v>
          </cell>
          <cell r="M6">
            <v>28682</v>
          </cell>
          <cell r="N6">
            <v>9989</v>
          </cell>
          <cell r="O6">
            <v>11597</v>
          </cell>
          <cell r="P6">
            <v>10976</v>
          </cell>
          <cell r="Q6">
            <v>32562</v>
          </cell>
          <cell r="R6">
            <v>13332</v>
          </cell>
          <cell r="S6">
            <v>12943</v>
          </cell>
          <cell r="T6">
            <v>13060</v>
          </cell>
          <cell r="U6">
            <v>39335</v>
          </cell>
          <cell r="V6">
            <v>13835</v>
          </cell>
          <cell r="W6">
            <v>14303</v>
          </cell>
          <cell r="X6">
            <v>15742</v>
          </cell>
          <cell r="Y6">
            <v>43880</v>
          </cell>
          <cell r="Z6">
            <v>16668</v>
          </cell>
          <cell r="AA6">
            <v>17598</v>
          </cell>
          <cell r="AB6">
            <v>17323</v>
          </cell>
          <cell r="AC6">
            <v>51589</v>
          </cell>
          <cell r="AD6">
            <v>19282</v>
          </cell>
          <cell r="AE6">
            <v>19708</v>
          </cell>
          <cell r="AF6">
            <v>19722</v>
          </cell>
          <cell r="AG6">
            <v>58712</v>
          </cell>
          <cell r="AH6">
            <v>22067</v>
          </cell>
          <cell r="AI6">
            <v>21932</v>
          </cell>
          <cell r="AJ6">
            <v>23243</v>
          </cell>
          <cell r="AK6">
            <v>67242</v>
          </cell>
          <cell r="AL6">
            <v>23835</v>
          </cell>
          <cell r="AM6">
            <v>23036</v>
          </cell>
          <cell r="AN6">
            <v>26013</v>
          </cell>
          <cell r="AO6">
            <v>72884</v>
          </cell>
          <cell r="AP6">
            <v>24466</v>
          </cell>
          <cell r="AQ6">
            <v>25660</v>
          </cell>
          <cell r="AR6">
            <v>24799</v>
          </cell>
          <cell r="AS6">
            <v>74925</v>
          </cell>
          <cell r="AT6">
            <v>26623</v>
          </cell>
          <cell r="AU6">
            <v>27197</v>
          </cell>
          <cell r="AV6">
            <v>28500</v>
          </cell>
          <cell r="AW6">
            <v>82320</v>
          </cell>
          <cell r="AX6">
            <v>32187</v>
          </cell>
          <cell r="AY6">
            <v>28836</v>
          </cell>
          <cell r="AZ6">
            <v>32131</v>
          </cell>
          <cell r="BA6">
            <v>93154</v>
          </cell>
          <cell r="BB6">
            <v>30544</v>
          </cell>
          <cell r="BC6">
            <v>29951</v>
          </cell>
          <cell r="BD6">
            <v>33231</v>
          </cell>
          <cell r="BE6">
            <v>93726</v>
          </cell>
          <cell r="BF6">
            <v>33107</v>
          </cell>
          <cell r="BG6">
            <v>32381</v>
          </cell>
          <cell r="BH6">
            <v>34195</v>
          </cell>
          <cell r="BI6">
            <v>99683</v>
          </cell>
          <cell r="BJ6">
            <v>34515</v>
          </cell>
          <cell r="BK6">
            <v>34598</v>
          </cell>
          <cell r="BL6">
            <v>35910</v>
          </cell>
          <cell r="BM6">
            <v>105023</v>
          </cell>
        </row>
        <row r="7">
          <cell r="A7" t="str">
            <v xml:space="preserve">  % Change</v>
          </cell>
          <cell r="B7" t="str">
            <v>--</v>
          </cell>
          <cell r="C7" t="str">
            <v>--</v>
          </cell>
          <cell r="D7" t="str">
            <v>--</v>
          </cell>
          <cell r="E7" t="str">
            <v>--</v>
          </cell>
          <cell r="F7" t="str">
            <v>--</v>
          </cell>
          <cell r="G7" t="str">
            <v>--</v>
          </cell>
          <cell r="H7" t="str">
            <v>--</v>
          </cell>
          <cell r="I7" t="str">
            <v>--</v>
          </cell>
          <cell r="J7" t="str">
            <v>--</v>
          </cell>
          <cell r="K7" t="str">
            <v>--</v>
          </cell>
          <cell r="L7" t="str">
            <v>--</v>
          </cell>
          <cell r="M7" t="str">
            <v>--</v>
          </cell>
          <cell r="N7" t="str">
            <v>--</v>
          </cell>
          <cell r="O7" t="str">
            <v>--</v>
          </cell>
          <cell r="P7" t="str">
            <v>--</v>
          </cell>
          <cell r="Q7" t="str">
            <v>--</v>
          </cell>
          <cell r="R7">
            <v>1.169921875</v>
          </cell>
          <cell r="S7">
            <v>0.92604166666666665</v>
          </cell>
          <cell r="T7">
            <v>0.86945319209848271</v>
          </cell>
          <cell r="U7">
            <v>0.98161209068010069</v>
          </cell>
          <cell r="V7">
            <v>0.82495712966627099</v>
          </cell>
          <cell r="W7">
            <v>1.0351451337507114</v>
          </cell>
          <cell r="X7">
            <v>0.86893030986584363</v>
          </cell>
          <cell r="Y7">
            <v>0.90517540812782227</v>
          </cell>
          <cell r="Z7">
            <v>1.0012006243246487</v>
          </cell>
          <cell r="AA7">
            <v>0.75962403759624042</v>
          </cell>
          <cell r="AB7">
            <v>0.67339644513137564</v>
          </cell>
          <cell r="AC7">
            <v>0.79865420821421096</v>
          </cell>
          <cell r="AD7">
            <v>0.93032335569126046</v>
          </cell>
          <cell r="AE7">
            <v>0.6994050185392775</v>
          </cell>
          <cell r="AF7">
            <v>0.79682944606413986</v>
          </cell>
          <cell r="AG7">
            <v>0.8030833486886555</v>
          </cell>
          <cell r="AH7">
            <v>0.65519051905190517</v>
          </cell>
          <cell r="AI7">
            <v>0.69450668314919262</v>
          </cell>
          <cell r="AJ7">
            <v>0.77970903522205215</v>
          </cell>
          <cell r="AK7">
            <v>0.70946993771450373</v>
          </cell>
          <cell r="AL7">
            <v>0.72280448138778453</v>
          </cell>
          <cell r="AM7">
            <v>0.61057120883730676</v>
          </cell>
          <cell r="AN7">
            <v>0.65245839156396901</v>
          </cell>
          <cell r="AO7">
            <v>0.66098450319051949</v>
          </cell>
          <cell r="AP7">
            <v>0.46784257259419237</v>
          </cell>
          <cell r="AQ7">
            <v>0.45812024093646997</v>
          </cell>
          <cell r="AR7">
            <v>0.43156497142527273</v>
          </cell>
          <cell r="AS7">
            <v>0.45234449204287741</v>
          </cell>
          <cell r="AT7">
            <v>0.38071776786640399</v>
          </cell>
          <cell r="AU7">
            <v>0.37999797036736349</v>
          </cell>
          <cell r="AV7">
            <v>0.44508670520231219</v>
          </cell>
          <cell r="AW7">
            <v>0.40209837852568464</v>
          </cell>
          <cell r="AX7">
            <v>0.45860334436035699</v>
          </cell>
          <cell r="AY7">
            <v>0.3147911727156667</v>
          </cell>
          <cell r="AZ7">
            <v>0.38239469947941318</v>
          </cell>
          <cell r="BA7">
            <v>0.38535439160048779</v>
          </cell>
          <cell r="BB7">
            <v>0.28147681980281103</v>
          </cell>
          <cell r="BC7">
            <v>0.30018232332002093</v>
          </cell>
          <cell r="BD7">
            <v>0.27747664629223845</v>
          </cell>
          <cell r="BE7">
            <v>0.28596125349871038</v>
          </cell>
          <cell r="BF7">
            <v>0.35318401046350045</v>
          </cell>
          <cell r="BG7">
            <v>0.26192517537022608</v>
          </cell>
          <cell r="BH7">
            <v>0.37888624541312144</v>
          </cell>
          <cell r="BI7">
            <v>0.330437103770437</v>
          </cell>
          <cell r="BJ7">
            <v>0.29643541298876919</v>
          </cell>
          <cell r="BK7">
            <v>0.2721256020884657</v>
          </cell>
          <cell r="BL7">
            <v>0.26</v>
          </cell>
          <cell r="BM7">
            <v>0.27578960155490773</v>
          </cell>
        </row>
        <row r="8">
          <cell r="A8" t="str">
            <v>NRx</v>
          </cell>
          <cell r="B8">
            <v>5850</v>
          </cell>
          <cell r="C8">
            <v>6030</v>
          </cell>
          <cell r="D8">
            <v>6376</v>
          </cell>
          <cell r="E8">
            <v>18256</v>
          </cell>
          <cell r="F8">
            <v>6993</v>
          </cell>
          <cell r="G8">
            <v>6366</v>
          </cell>
          <cell r="H8">
            <v>7671</v>
          </cell>
          <cell r="I8">
            <v>21030</v>
          </cell>
          <cell r="J8">
            <v>7661</v>
          </cell>
          <cell r="K8">
            <v>9262</v>
          </cell>
          <cell r="L8">
            <v>9690</v>
          </cell>
          <cell r="M8">
            <v>26613</v>
          </cell>
          <cell r="N8">
            <v>9690</v>
          </cell>
          <cell r="O8">
            <v>11119</v>
          </cell>
          <cell r="P8">
            <v>10526</v>
          </cell>
          <cell r="Q8">
            <v>31335</v>
          </cell>
          <cell r="R8">
            <v>12925</v>
          </cell>
          <cell r="S8">
            <v>12607</v>
          </cell>
          <cell r="T8">
            <v>12801</v>
          </cell>
          <cell r="U8">
            <v>38333</v>
          </cell>
          <cell r="V8">
            <v>13529</v>
          </cell>
          <cell r="W8">
            <v>13937</v>
          </cell>
          <cell r="X8">
            <v>15364</v>
          </cell>
          <cell r="Y8">
            <v>42830</v>
          </cell>
          <cell r="Z8">
            <v>16245</v>
          </cell>
          <cell r="AA8">
            <v>17108</v>
          </cell>
          <cell r="AB8">
            <v>16951</v>
          </cell>
          <cell r="AC8">
            <v>50304</v>
          </cell>
          <cell r="AD8">
            <v>18930</v>
          </cell>
          <cell r="AE8">
            <v>19382</v>
          </cell>
          <cell r="AF8">
            <v>19340</v>
          </cell>
          <cell r="AG8">
            <v>57652</v>
          </cell>
          <cell r="AH8">
            <v>21689</v>
          </cell>
          <cell r="AI8">
            <v>21544</v>
          </cell>
          <cell r="AJ8">
            <v>22940</v>
          </cell>
          <cell r="AK8">
            <v>66173</v>
          </cell>
          <cell r="AL8">
            <v>23490</v>
          </cell>
          <cell r="AM8">
            <v>22670</v>
          </cell>
          <cell r="AN8">
            <v>25633</v>
          </cell>
          <cell r="AO8">
            <v>71793</v>
          </cell>
          <cell r="AP8">
            <v>24059</v>
          </cell>
          <cell r="AQ8">
            <v>25358</v>
          </cell>
          <cell r="AR8">
            <v>24508</v>
          </cell>
          <cell r="AS8">
            <v>73925</v>
          </cell>
          <cell r="AT8">
            <v>26278</v>
          </cell>
          <cell r="AU8">
            <v>26887</v>
          </cell>
          <cell r="AV8">
            <v>28229</v>
          </cell>
          <cell r="AW8">
            <v>81394</v>
          </cell>
          <cell r="AX8">
            <v>31679</v>
          </cell>
          <cell r="AY8">
            <v>28512</v>
          </cell>
          <cell r="AZ8">
            <v>31643</v>
          </cell>
          <cell r="BA8">
            <v>91834</v>
          </cell>
          <cell r="BB8">
            <v>30107</v>
          </cell>
          <cell r="BC8">
            <v>29464</v>
          </cell>
          <cell r="BD8">
            <v>32749</v>
          </cell>
          <cell r="BE8">
            <v>92320</v>
          </cell>
          <cell r="BF8">
            <v>32735</v>
          </cell>
          <cell r="BG8">
            <v>32069</v>
          </cell>
          <cell r="BH8">
            <v>33810</v>
          </cell>
          <cell r="BI8">
            <v>98614</v>
          </cell>
          <cell r="BJ8">
            <v>34109</v>
          </cell>
          <cell r="BK8">
            <v>34145</v>
          </cell>
          <cell r="BL8">
            <v>35381</v>
          </cell>
          <cell r="BM8">
            <v>103635</v>
          </cell>
        </row>
        <row r="9">
          <cell r="A9" t="str">
            <v xml:space="preserve">  % Change</v>
          </cell>
          <cell r="B9" t="str">
            <v>--</v>
          </cell>
          <cell r="C9" t="str">
            <v>--</v>
          </cell>
          <cell r="D9" t="str">
            <v>--</v>
          </cell>
          <cell r="E9" t="str">
            <v>--</v>
          </cell>
          <cell r="F9" t="str">
            <v>--</v>
          </cell>
          <cell r="G9" t="str">
            <v>--</v>
          </cell>
          <cell r="H9" t="str">
            <v>--</v>
          </cell>
          <cell r="I9" t="str">
            <v>--</v>
          </cell>
          <cell r="J9" t="str">
            <v>--</v>
          </cell>
          <cell r="K9" t="str">
            <v>--</v>
          </cell>
          <cell r="L9" t="str">
            <v>--</v>
          </cell>
          <cell r="M9" t="str">
            <v>--</v>
          </cell>
          <cell r="N9" t="str">
            <v>--</v>
          </cell>
          <cell r="O9" t="str">
            <v>--</v>
          </cell>
          <cell r="P9" t="str">
            <v>--</v>
          </cell>
          <cell r="Q9" t="str">
            <v>--</v>
          </cell>
          <cell r="R9">
            <v>1.2094017094017095</v>
          </cell>
          <cell r="S9">
            <v>1.0907131011608624</v>
          </cell>
          <cell r="T9">
            <v>1.0076850690087831</v>
          </cell>
          <cell r="U9">
            <v>1.0997480280455743</v>
          </cell>
          <cell r="V9">
            <v>0.93464893464893462</v>
          </cell>
          <cell r="W9">
            <v>1.189286836317939</v>
          </cell>
          <cell r="X9">
            <v>1.0028679442054491</v>
          </cell>
          <cell r="Y9">
            <v>1.0366143604374702</v>
          </cell>
          <cell r="Z9">
            <v>1.1204803550450331</v>
          </cell>
          <cell r="AA9">
            <v>0.84711725329302534</v>
          </cell>
          <cell r="AB9">
            <v>0.74932920536635717</v>
          </cell>
          <cell r="AC9">
            <v>0.89020403562168871</v>
          </cell>
          <cell r="AD9">
            <v>0.95356037151702777</v>
          </cell>
          <cell r="AE9">
            <v>0.74314236891806806</v>
          </cell>
          <cell r="AF9">
            <v>0.83735512065361961</v>
          </cell>
          <cell r="AG9">
            <v>0.83985958193713106</v>
          </cell>
          <cell r="AH9">
            <v>0.67806576402321084</v>
          </cell>
          <cell r="AI9">
            <v>0.70889188546045845</v>
          </cell>
          <cell r="AJ9">
            <v>0.79204749628935245</v>
          </cell>
          <cell r="AK9">
            <v>0.72626718493204279</v>
          </cell>
          <cell r="AL9">
            <v>0.73627023431147909</v>
          </cell>
          <cell r="AM9">
            <v>0.62660543876013497</v>
          </cell>
          <cell r="AN9">
            <v>0.66838063004425941</v>
          </cell>
          <cell r="AO9">
            <v>0.67623161335512494</v>
          </cell>
          <cell r="AP9">
            <v>0.48100954139735297</v>
          </cell>
          <cell r="AQ9">
            <v>0.48223053542202488</v>
          </cell>
          <cell r="AR9">
            <v>0.44581440622972091</v>
          </cell>
          <cell r="AS9">
            <v>0.46956504452926207</v>
          </cell>
          <cell r="AT9">
            <v>0.38816693079767561</v>
          </cell>
          <cell r="AU9">
            <v>0.38721494169848314</v>
          </cell>
          <cell r="AV9">
            <v>0.459617373319545</v>
          </cell>
          <cell r="AW9">
            <v>0.41181572191771321</v>
          </cell>
          <cell r="AX9">
            <v>0.46060214855456683</v>
          </cell>
          <cell r="AY9">
            <v>0.32343111771258815</v>
          </cell>
          <cell r="AZ9">
            <v>0.37938099389712288</v>
          </cell>
          <cell r="BA9">
            <v>0.38778655947289686</v>
          </cell>
          <cell r="BB9">
            <v>0.28169433801617716</v>
          </cell>
          <cell r="BC9">
            <v>0.29969122187913544</v>
          </cell>
          <cell r="BD9">
            <v>0.2776108922092615</v>
          </cell>
          <cell r="BE9">
            <v>0.2859192400373296</v>
          </cell>
          <cell r="BF9">
            <v>0.36061349183257829</v>
          </cell>
          <cell r="BG9">
            <v>0.26465020900701952</v>
          </cell>
          <cell r="BH9">
            <v>0.3795495348457647</v>
          </cell>
          <cell r="BI9">
            <v>0.33397362191410207</v>
          </cell>
          <cell r="BJ9">
            <v>0.29800593652484975</v>
          </cell>
          <cell r="BK9">
            <v>0.26994458288392154</v>
          </cell>
          <cell r="BL9">
            <v>0.25335647738141631</v>
          </cell>
          <cell r="BM9">
            <v>0.27325109958965044</v>
          </cell>
        </row>
        <row r="10">
          <cell r="A10" t="str">
            <v>02222:MORPHINE/OPIUM,NON-INJ TRx</v>
          </cell>
          <cell r="B10">
            <v>522723</v>
          </cell>
          <cell r="C10">
            <v>520984</v>
          </cell>
          <cell r="D10">
            <v>524575</v>
          </cell>
          <cell r="E10">
            <v>1568282</v>
          </cell>
          <cell r="F10">
            <v>560286</v>
          </cell>
          <cell r="G10">
            <v>511837</v>
          </cell>
          <cell r="H10">
            <v>584650</v>
          </cell>
          <cell r="I10">
            <v>1656773</v>
          </cell>
          <cell r="J10">
            <v>569021</v>
          </cell>
          <cell r="K10">
            <v>600489</v>
          </cell>
          <cell r="L10">
            <v>588389</v>
          </cell>
          <cell r="M10">
            <v>1757899</v>
          </cell>
          <cell r="N10">
            <v>602720</v>
          </cell>
          <cell r="O10">
            <v>647952</v>
          </cell>
          <cell r="P10">
            <v>595195</v>
          </cell>
          <cell r="Q10">
            <v>1845867</v>
          </cell>
          <cell r="R10">
            <v>675825</v>
          </cell>
          <cell r="S10">
            <v>657986</v>
          </cell>
          <cell r="T10">
            <v>658843</v>
          </cell>
          <cell r="U10">
            <v>1992654</v>
          </cell>
          <cell r="V10">
            <v>710110</v>
          </cell>
          <cell r="W10">
            <v>653712</v>
          </cell>
          <cell r="X10">
            <v>710862</v>
          </cell>
          <cell r="Y10">
            <v>2074684</v>
          </cell>
          <cell r="Z10">
            <v>729828</v>
          </cell>
          <cell r="AA10">
            <v>760704</v>
          </cell>
          <cell r="AB10">
            <v>706904</v>
          </cell>
          <cell r="AC10">
            <v>2197436</v>
          </cell>
          <cell r="AD10">
            <v>776842</v>
          </cell>
          <cell r="AE10">
            <v>780172</v>
          </cell>
          <cell r="AF10">
            <v>748097</v>
          </cell>
          <cell r="AG10">
            <v>2305111</v>
          </cell>
          <cell r="AH10">
            <v>814786</v>
          </cell>
          <cell r="AI10">
            <v>781091</v>
          </cell>
          <cell r="AJ10">
            <v>834399</v>
          </cell>
          <cell r="AK10">
            <v>2430276</v>
          </cell>
          <cell r="AL10">
            <v>848880</v>
          </cell>
          <cell r="AM10">
            <v>775328</v>
          </cell>
          <cell r="AN10">
            <v>860760</v>
          </cell>
          <cell r="AO10">
            <v>2484968</v>
          </cell>
          <cell r="AP10">
            <v>870006</v>
          </cell>
          <cell r="AQ10">
            <v>904138</v>
          </cell>
          <cell r="AR10">
            <v>882190</v>
          </cell>
          <cell r="AS10">
            <v>2656334</v>
          </cell>
          <cell r="AT10">
            <v>938578</v>
          </cell>
          <cell r="AU10">
            <v>918883</v>
          </cell>
          <cell r="AV10">
            <v>937287</v>
          </cell>
          <cell r="AW10">
            <v>2794748</v>
          </cell>
          <cell r="AX10">
            <v>1005408</v>
          </cell>
          <cell r="AY10">
            <v>925386</v>
          </cell>
          <cell r="AZ10">
            <v>1048854</v>
          </cell>
          <cell r="BA10">
            <v>2979648</v>
          </cell>
          <cell r="BB10">
            <v>1016405</v>
          </cell>
          <cell r="BC10">
            <v>963540</v>
          </cell>
          <cell r="BD10">
            <v>1083636</v>
          </cell>
          <cell r="BE10">
            <v>3063581</v>
          </cell>
          <cell r="BF10">
            <v>1063894</v>
          </cell>
          <cell r="BG10">
            <v>1032522</v>
          </cell>
          <cell r="BH10">
            <v>1080886</v>
          </cell>
          <cell r="BI10">
            <v>3177302</v>
          </cell>
          <cell r="BJ10">
            <v>1090198</v>
          </cell>
          <cell r="BK10">
            <v>1100214</v>
          </cell>
          <cell r="BL10">
            <v>1097834</v>
          </cell>
          <cell r="BM10">
            <v>3288246</v>
          </cell>
        </row>
        <row r="11">
          <cell r="A11" t="str">
            <v>02222:MORPHINE/OPIUM,NON-INJ NRx</v>
          </cell>
          <cell r="S11">
            <v>617353</v>
          </cell>
          <cell r="T11">
            <v>615570</v>
          </cell>
          <cell r="U11">
            <v>1232923</v>
          </cell>
          <cell r="V11">
            <v>667253</v>
          </cell>
          <cell r="W11">
            <v>615344</v>
          </cell>
          <cell r="X11">
            <v>673174</v>
          </cell>
          <cell r="Y11">
            <v>1955771</v>
          </cell>
          <cell r="Z11">
            <v>689568</v>
          </cell>
          <cell r="AA11">
            <v>719009</v>
          </cell>
          <cell r="AB11">
            <v>668723</v>
          </cell>
          <cell r="AC11">
            <v>2077300</v>
          </cell>
          <cell r="AD11">
            <v>732735</v>
          </cell>
          <cell r="AE11">
            <v>736856</v>
          </cell>
          <cell r="AF11">
            <v>705657</v>
          </cell>
          <cell r="AG11">
            <v>2175248</v>
          </cell>
          <cell r="AH11">
            <v>771311</v>
          </cell>
          <cell r="AI11">
            <v>738021</v>
          </cell>
          <cell r="AJ11">
            <v>790558</v>
          </cell>
          <cell r="AK11">
            <v>2299890</v>
          </cell>
          <cell r="AL11">
            <v>803120</v>
          </cell>
          <cell r="AM11">
            <v>733184</v>
          </cell>
          <cell r="AN11">
            <v>813964</v>
          </cell>
          <cell r="AO11">
            <v>2350268</v>
          </cell>
          <cell r="AP11">
            <v>824312</v>
          </cell>
          <cell r="AQ11">
            <v>856946</v>
          </cell>
          <cell r="AR11">
            <v>836225</v>
          </cell>
          <cell r="AS11">
            <v>2517483</v>
          </cell>
          <cell r="AT11">
            <v>891441</v>
          </cell>
          <cell r="AU11">
            <v>874289</v>
          </cell>
          <cell r="AV11">
            <v>888963</v>
          </cell>
          <cell r="AW11">
            <v>2654693</v>
          </cell>
          <cell r="AX11">
            <v>951868</v>
          </cell>
          <cell r="AY11">
            <v>875384</v>
          </cell>
          <cell r="AZ11">
            <v>991442</v>
          </cell>
          <cell r="BA11">
            <v>2818694</v>
          </cell>
          <cell r="BB11">
            <v>961696</v>
          </cell>
          <cell r="BC11">
            <v>911989</v>
          </cell>
          <cell r="BD11">
            <v>1027065</v>
          </cell>
          <cell r="BE11">
            <v>2900750</v>
          </cell>
          <cell r="BF11">
            <v>1010407</v>
          </cell>
          <cell r="BG11">
            <v>981816</v>
          </cell>
          <cell r="BH11">
            <v>1027272</v>
          </cell>
          <cell r="BI11">
            <v>3019495</v>
          </cell>
          <cell r="BJ11">
            <v>1034623</v>
          </cell>
          <cell r="BK11">
            <v>1041809</v>
          </cell>
          <cell r="BL11">
            <v>1040453</v>
          </cell>
          <cell r="BM11">
            <v>3116885</v>
          </cell>
        </row>
        <row r="12">
          <cell r="A12" t="str">
            <v>TRx Market Growth</v>
          </cell>
          <cell r="B12" t="str">
            <v>--</v>
          </cell>
          <cell r="C12" t="str">
            <v>--</v>
          </cell>
          <cell r="D12" t="str">
            <v>--</v>
          </cell>
          <cell r="E12" t="str">
            <v>--</v>
          </cell>
          <cell r="F12" t="str">
            <v>--</v>
          </cell>
          <cell r="G12" t="str">
            <v>--</v>
          </cell>
          <cell r="H12" t="str">
            <v>--</v>
          </cell>
          <cell r="I12" t="str">
            <v>--</v>
          </cell>
          <cell r="J12" t="str">
            <v>--</v>
          </cell>
          <cell r="K12" t="str">
            <v>--</v>
          </cell>
          <cell r="L12" t="str">
            <v>--</v>
          </cell>
          <cell r="M12" t="str">
            <v>--</v>
          </cell>
          <cell r="N12" t="str">
            <v>--</v>
          </cell>
          <cell r="O12" t="str">
            <v>--</v>
          </cell>
          <cell r="P12" t="str">
            <v>--</v>
          </cell>
          <cell r="Q12" t="str">
            <v>--</v>
          </cell>
          <cell r="R12">
            <v>0.29289317669205306</v>
          </cell>
          <cell r="S12">
            <v>0.26296776868387517</v>
          </cell>
          <cell r="T12">
            <v>0.25595577372158407</v>
          </cell>
          <cell r="U12">
            <v>0.27059674216754392</v>
          </cell>
          <cell r="V12">
            <v>0.26740628893101026</v>
          </cell>
          <cell r="W12">
            <v>0.27718785472718843</v>
          </cell>
          <cell r="X12">
            <v>0.21587616522705888</v>
          </cell>
          <cell r="Y12">
            <v>0.2522439706586237</v>
          </cell>
          <cell r="Z12">
            <v>0.28260292678126109</v>
          </cell>
          <cell r="AA12">
            <v>0.26680755184524618</v>
          </cell>
          <cell r="AB12">
            <v>0.20142286820453825</v>
          </cell>
          <cell r="AC12">
            <v>0.25003541159076836</v>
          </cell>
          <cell r="AD12">
            <v>0.2888936819750465</v>
          </cell>
          <cell r="AE12">
            <v>0.20405832530804746</v>
          </cell>
          <cell r="AF12">
            <v>0.25689395912264046</v>
          </cell>
          <cell r="AG12">
            <v>0.24879582331771455</v>
          </cell>
          <cell r="AH12">
            <v>0.2056168386786521</v>
          </cell>
          <cell r="AI12">
            <v>0.18709364636937553</v>
          </cell>
          <cell r="AJ12">
            <v>0.26646105369564532</v>
          </cell>
          <cell r="AK12">
            <v>0.21961765564919955</v>
          </cell>
          <cell r="AL12">
            <v>0.19542042782104185</v>
          </cell>
          <cell r="AM12">
            <v>0.18603911202486723</v>
          </cell>
          <cell r="AN12">
            <v>0.21086793217248911</v>
          </cell>
          <cell r="AO12">
            <v>0.19775734521498212</v>
          </cell>
          <cell r="AP12">
            <v>0.19206991236291282</v>
          </cell>
          <cell r="AQ12">
            <v>0.18855428655561157</v>
          </cell>
          <cell r="AR12">
            <v>0.2479629482928376</v>
          </cell>
          <cell r="AS12">
            <v>0.20883338581874522</v>
          </cell>
          <cell r="AT12">
            <v>0.20819677617842491</v>
          </cell>
          <cell r="AU12">
            <v>0.17779540921745451</v>
          </cell>
          <cell r="AV12">
            <v>0.25289501227781952</v>
          </cell>
          <cell r="AW12">
            <v>0.21241363214179265</v>
          </cell>
          <cell r="AX12">
            <v>0.23395345526309974</v>
          </cell>
          <cell r="AY12">
            <v>0.1847351973073561</v>
          </cell>
          <cell r="AZ12">
            <v>0.25701732624320028</v>
          </cell>
          <cell r="BA12">
            <v>0.22605333715182963</v>
          </cell>
          <cell r="BB12">
            <v>0.19734827066252003</v>
          </cell>
          <cell r="BC12">
            <v>0.24275145486813332</v>
          </cell>
          <cell r="BD12">
            <v>0.25892931827687171</v>
          </cell>
          <cell r="BE12">
            <v>0.23284525193080952</v>
          </cell>
          <cell r="BF12">
            <v>0.22285823316161046</v>
          </cell>
          <cell r="BG12">
            <v>0.14199602273104328</v>
          </cell>
          <cell r="BH12">
            <v>0.22523039254582344</v>
          </cell>
          <cell r="BI12">
            <v>0.19612292731260461</v>
          </cell>
          <cell r="BJ12">
            <v>0.16154224795381955</v>
          </cell>
          <cell r="BK12">
            <v>0.19733850773166983</v>
          </cell>
          <cell r="BL12">
            <v>0.17128905020553997</v>
          </cell>
          <cell r="BM12">
            <v>0.17658050028124173</v>
          </cell>
        </row>
        <row r="13">
          <cell r="A13" t="str">
            <v>NRx Market Growth</v>
          </cell>
          <cell r="AI13">
            <v>0.19546029581131052</v>
          </cell>
          <cell r="AJ13">
            <v>0.28426986370355922</v>
          </cell>
          <cell r="AK13">
            <v>0.86539629806565377</v>
          </cell>
          <cell r="AL13">
            <v>0.20362141496553776</v>
          </cell>
          <cell r="AM13">
            <v>0.19150263917418542</v>
          </cell>
          <cell r="AN13">
            <v>0.20914354981030159</v>
          </cell>
          <cell r="AO13">
            <v>0.20170919806050902</v>
          </cell>
          <cell r="AP13">
            <v>0.19540349900227394</v>
          </cell>
          <cell r="AQ13">
            <v>0.19184321753969691</v>
          </cell>
          <cell r="AR13">
            <v>0.25048039322709115</v>
          </cell>
          <cell r="AS13">
            <v>0.21190150676358743</v>
          </cell>
          <cell r="AT13">
            <v>0.21659399373579813</v>
          </cell>
          <cell r="AU13">
            <v>0.18651269718913865</v>
          </cell>
          <cell r="AV13">
            <v>0.2597664304329157</v>
          </cell>
          <cell r="AW13">
            <v>0.22040935102572212</v>
          </cell>
          <cell r="AX13">
            <v>0.2340910475800293</v>
          </cell>
          <cell r="AY13">
            <v>0.18612343009209775</v>
          </cell>
          <cell r="AZ13">
            <v>0.25410406320598877</v>
          </cell>
          <cell r="BA13">
            <v>0.22557774502258798</v>
          </cell>
          <cell r="BB13">
            <v>0.19744994521366666</v>
          </cell>
          <cell r="BC13">
            <v>0.24387466174930172</v>
          </cell>
          <cell r="BD13">
            <v>0.26180641895710366</v>
          </cell>
          <cell r="BE13">
            <v>0.23422094841949948</v>
          </cell>
          <cell r="BF13">
            <v>0.22575796543056503</v>
          </cell>
          <cell r="BG13">
            <v>0.14571513257544821</v>
          </cell>
          <cell r="BH13">
            <v>0.22846363119973701</v>
          </cell>
          <cell r="BI13">
            <v>0.19941028400191785</v>
          </cell>
          <cell r="BJ13">
            <v>0.16061859393947553</v>
          </cell>
          <cell r="BK13">
            <v>0.19160712304512573</v>
          </cell>
          <cell r="BL13">
            <v>0.17041204189600689</v>
          </cell>
          <cell r="BM13">
            <v>0.17410374758964586</v>
          </cell>
        </row>
        <row r="14">
          <cell r="A14" t="str">
            <v>TRx Market Share</v>
          </cell>
          <cell r="B14">
            <v>1.1753835205261678E-2</v>
          </cell>
          <cell r="C14">
            <v>1.2898668673126237E-2</v>
          </cell>
          <cell r="D14">
            <v>1.3317447457465567E-2</v>
          </cell>
          <cell r="E14">
            <v>1.2657162423594737E-2</v>
          </cell>
          <cell r="F14">
            <v>1.3530589734528437E-2</v>
          </cell>
          <cell r="G14">
            <v>1.3730933871525505E-2</v>
          </cell>
          <cell r="H14">
            <v>1.4406910117164115E-2</v>
          </cell>
          <cell r="I14">
            <v>1.3901723410509466E-2</v>
          </cell>
          <cell r="J14">
            <v>1.4637421114510713E-2</v>
          </cell>
          <cell r="K14">
            <v>1.6654759704174432E-2</v>
          </cell>
          <cell r="L14">
            <v>1.759380273934421E-2</v>
          </cell>
          <cell r="M14">
            <v>1.6316068215523189E-2</v>
          </cell>
          <cell r="N14">
            <v>1.6573201486594108E-2</v>
          </cell>
          <cell r="O14">
            <v>1.7897930710916859E-2</v>
          </cell>
          <cell r="P14">
            <v>1.8441015129495374E-2</v>
          </cell>
          <cell r="Q14">
            <v>1.7640490891272231E-2</v>
          </cell>
          <cell r="R14">
            <v>1.9727000332926424E-2</v>
          </cell>
          <cell r="S14">
            <v>1.9670631290027447E-2</v>
          </cell>
          <cell r="T14">
            <v>1.9822628456248301E-2</v>
          </cell>
          <cell r="U14">
            <v>1.9740005038506436E-2</v>
          </cell>
          <cell r="V14">
            <v>1.9482897015955274E-2</v>
          </cell>
          <cell r="W14">
            <v>2.1879665663166653E-2</v>
          </cell>
          <cell r="X14">
            <v>2.2144945151098244E-2</v>
          </cell>
          <cell r="Y14">
            <v>2.1150208899282975E-2</v>
          </cell>
          <cell r="Z14">
            <v>2.2838257781285454E-2</v>
          </cell>
          <cell r="AA14">
            <v>2.3133833922261485E-2</v>
          </cell>
          <cell r="AB14">
            <v>2.450544911331666E-2</v>
          </cell>
          <cell r="AC14">
            <v>2.3476906722198054E-2</v>
          </cell>
          <cell r="AD14">
            <v>2.4821006073307054E-2</v>
          </cell>
          <cell r="AE14">
            <v>2.5261096271078684E-2</v>
          </cell>
          <cell r="AF14">
            <v>2.6362891443221934E-2</v>
          </cell>
          <cell r="AG14">
            <v>2.5470356958949048E-2</v>
          </cell>
          <cell r="AH14">
            <v>2.7083185032634335E-2</v>
          </cell>
          <cell r="AI14">
            <v>2.8078674571848861E-2</v>
          </cell>
          <cell r="AJ14">
            <v>2.7855977775620537E-2</v>
          </cell>
          <cell r="AK14">
            <v>2.7668462347486458E-2</v>
          </cell>
          <cell r="AL14">
            <v>2.807817359344077E-2</v>
          </cell>
          <cell r="AM14">
            <v>2.9711296380370629E-2</v>
          </cell>
          <cell r="AN14">
            <v>3.022096751707793E-2</v>
          </cell>
          <cell r="AO14">
            <v>2.9329955154352088E-2</v>
          </cell>
          <cell r="AP14">
            <v>2.8121645138079507E-2</v>
          </cell>
          <cell r="AQ14">
            <v>2.8380623311928047E-2</v>
          </cell>
          <cell r="AR14">
            <v>2.8110724447114568E-2</v>
          </cell>
          <cell r="AS14">
            <v>2.8206166844982596E-2</v>
          </cell>
          <cell r="AT14">
            <v>2.8365250410727717E-2</v>
          </cell>
          <cell r="AU14">
            <v>2.9597892223493089E-2</v>
          </cell>
          <cell r="AV14">
            <v>3.040690844959975E-2</v>
          </cell>
          <cell r="AW14">
            <v>2.9455249632525007E-2</v>
          </cell>
          <cell r="AX14">
            <v>3.2013868996467104E-2</v>
          </cell>
          <cell r="AY14">
            <v>3.1161050631844441E-2</v>
          </cell>
          <cell r="AZ14">
            <v>3.0634387626876571E-2</v>
          </cell>
          <cell r="BA14">
            <v>3.1263424404493416E-2</v>
          </cell>
          <cell r="BB14">
            <v>3.005101312960877E-2</v>
          </cell>
          <cell r="BC14">
            <v>3.1084334848579198E-2</v>
          </cell>
          <cell r="BD14">
            <v>3.0666201565839452E-2</v>
          </cell>
          <cell r="BE14">
            <v>3.0593609243561703E-2</v>
          </cell>
          <cell r="BF14">
            <v>3.1118701675166886E-2</v>
          </cell>
          <cell r="BG14">
            <v>3.1361075115106503E-2</v>
          </cell>
          <cell r="BH14">
            <v>3.1636083731309314E-2</v>
          </cell>
          <cell r="BI14">
            <v>3.1373473468999796E-2</v>
          </cell>
          <cell r="BJ14">
            <v>3.1659386643527139E-2</v>
          </cell>
          <cell r="BK14">
            <v>3.14466094777925E-2</v>
          </cell>
          <cell r="BL14">
            <v>3.2709863239797639E-2</v>
          </cell>
          <cell r="BM14">
            <v>3.1938912113023174E-2</v>
          </cell>
        </row>
        <row r="15">
          <cell r="A15" t="str">
            <v>NRx Market Share</v>
          </cell>
          <cell r="AI15">
            <v>2.9191581269367675E-2</v>
          </cell>
          <cell r="AJ15">
            <v>2.9017478793459811E-2</v>
          </cell>
          <cell r="AK15">
            <v>2.8772245629138785E-2</v>
          </cell>
          <cell r="AL15">
            <v>2.9248431118637314E-2</v>
          </cell>
          <cell r="AM15">
            <v>3.0919932786312849E-2</v>
          </cell>
          <cell r="AN15">
            <v>3.1491564737506819E-2</v>
          </cell>
          <cell r="AO15">
            <v>3.0546729138974788E-2</v>
          </cell>
          <cell r="AP15">
            <v>2.9186764234901349E-2</v>
          </cell>
          <cell r="AQ15">
            <v>2.9591129429392283E-2</v>
          </cell>
          <cell r="AR15">
            <v>2.9307901581512152E-2</v>
          </cell>
          <cell r="AS15">
            <v>2.9364647149553742E-2</v>
          </cell>
          <cell r="AT15">
            <v>2.947811464808103E-2</v>
          </cell>
          <cell r="AU15">
            <v>3.0752989000204737E-2</v>
          </cell>
          <cell r="AV15">
            <v>3.1754977428756874E-2</v>
          </cell>
          <cell r="AW15">
            <v>3.0660419114375937E-2</v>
          </cell>
          <cell r="AX15">
            <v>3.328087507931772E-2</v>
          </cell>
          <cell r="AY15">
            <v>3.2570848907450899E-2</v>
          </cell>
          <cell r="AZ15">
            <v>3.1916138311671283E-2</v>
          </cell>
          <cell r="BA15">
            <v>3.2580336851038103E-2</v>
          </cell>
          <cell r="BB15">
            <v>3.130615080025289E-2</v>
          </cell>
          <cell r="BC15">
            <v>3.2307407216534412E-2</v>
          </cell>
          <cell r="BD15">
            <v>3.1886005267436825E-2</v>
          </cell>
          <cell r="BE15">
            <v>3.182625183142291E-2</v>
          </cell>
          <cell r="BF15">
            <v>3.2397835723624244E-2</v>
          </cell>
          <cell r="BG15">
            <v>3.2662942954688044E-2</v>
          </cell>
          <cell r="BH15">
            <v>3.2912412681354114E-2</v>
          </cell>
          <cell r="BI15">
            <v>3.2659103591825785E-2</v>
          </cell>
          <cell r="BJ15">
            <v>3.2967564030569586E-2</v>
          </cell>
          <cell r="BK15">
            <v>3.2774721662032102E-2</v>
          </cell>
          <cell r="BL15">
            <v>3.4005380348751939E-2</v>
          </cell>
          <cell r="BM15">
            <v>3.3249542411734792E-2</v>
          </cell>
        </row>
        <row r="16">
          <cell r="A16" t="str">
            <v>Price Change (YoY)</v>
          </cell>
          <cell r="AF16">
            <v>0.17677862044059234</v>
          </cell>
          <cell r="AG16">
            <v>0.17677862044059234</v>
          </cell>
          <cell r="AK16">
            <v>0.17677862044059234</v>
          </cell>
          <cell r="AO16">
            <v>0.17677862044059234</v>
          </cell>
          <cell r="AS16">
            <v>0.17677862044059234</v>
          </cell>
          <cell r="AW16">
            <v>0</v>
          </cell>
          <cell r="BA16">
            <v>0</v>
          </cell>
          <cell r="BE16">
            <v>0</v>
          </cell>
          <cell r="BI16">
            <v>0</v>
          </cell>
          <cell r="BM16">
            <v>0</v>
          </cell>
        </row>
        <row r="18">
          <cell r="A18" t="str">
            <v xml:space="preserve">TRx + Kadian Price Change </v>
          </cell>
          <cell r="AS18">
            <v>0.62912311248346975</v>
          </cell>
          <cell r="AW18">
            <v>0.40209837852568464</v>
          </cell>
          <cell r="BA18">
            <v>0.38535439160048779</v>
          </cell>
          <cell r="BE18">
            <v>0.28596125349871038</v>
          </cell>
          <cell r="BI18">
            <v>0.330437103770437</v>
          </cell>
          <cell r="BM18">
            <v>0.27578960155490773</v>
          </cell>
        </row>
        <row r="20">
          <cell r="A20" t="str">
            <v xml:space="preserve">TOTAL KADIAN REPORTED SALES </v>
          </cell>
        </row>
        <row r="21">
          <cell r="A21" t="str">
            <v xml:space="preserve">  % Change</v>
          </cell>
        </row>
        <row r="23">
          <cell r="A23" t="str">
            <v>TOTAL KADIAN SALES (IMS)</v>
          </cell>
          <cell r="B23">
            <v>0.84575</v>
          </cell>
          <cell r="C23">
            <v>0.82140599999999997</v>
          </cell>
          <cell r="D23">
            <v>1.0901270000000001</v>
          </cell>
          <cell r="E23">
            <v>2.7572830000000002</v>
          </cell>
          <cell r="F23">
            <v>0.931612</v>
          </cell>
          <cell r="G23">
            <v>0.868973</v>
          </cell>
          <cell r="H23">
            <v>1.317782</v>
          </cell>
          <cell r="I23">
            <v>3.1183670000000001</v>
          </cell>
          <cell r="J23">
            <v>1.1943630000000001</v>
          </cell>
          <cell r="K23">
            <v>1.376951</v>
          </cell>
          <cell r="L23">
            <v>1.8627860000000001</v>
          </cell>
          <cell r="M23">
            <v>4.4340999999999999</v>
          </cell>
          <cell r="N23">
            <v>1.5377700000000001</v>
          </cell>
          <cell r="O23">
            <v>1.593637</v>
          </cell>
          <cell r="P23">
            <v>2.1328399999999998</v>
          </cell>
          <cell r="Q23">
            <v>5.2642470000000001</v>
          </cell>
          <cell r="R23">
            <v>1.849666</v>
          </cell>
          <cell r="S23">
            <v>2.4982989999999998</v>
          </cell>
          <cell r="T23">
            <v>2.5616669999999999</v>
          </cell>
          <cell r="U23">
            <v>6.9096320000000002</v>
          </cell>
          <cell r="V23">
            <v>2.3655349999999999</v>
          </cell>
          <cell r="W23">
            <v>2.1208459999999998</v>
          </cell>
          <cell r="X23">
            <v>2.920763</v>
          </cell>
          <cell r="Y23">
            <v>7.4071439999999997</v>
          </cell>
          <cell r="Z23">
            <v>2.4611860000000001</v>
          </cell>
          <cell r="AA23">
            <v>2.6433840000000002</v>
          </cell>
          <cell r="AB23">
            <v>3.521477</v>
          </cell>
          <cell r="AC23">
            <v>8.6260469999999998</v>
          </cell>
          <cell r="AD23">
            <v>2.8900480000000002</v>
          </cell>
          <cell r="AE23">
            <v>2.8390080000000002</v>
          </cell>
          <cell r="AF23">
            <v>3.8845730000000001</v>
          </cell>
          <cell r="AG23">
            <v>9.6136289999999995</v>
          </cell>
          <cell r="AH23">
            <v>3.6000380000000001</v>
          </cell>
          <cell r="AI23">
            <v>3.558789</v>
          </cell>
          <cell r="AJ23">
            <v>4.7723599999999999</v>
          </cell>
          <cell r="AK23">
            <v>11.931187000000001</v>
          </cell>
          <cell r="AL23">
            <v>3.7905340000000001</v>
          </cell>
          <cell r="AM23">
            <v>3.5803370000000001</v>
          </cell>
          <cell r="AN23">
            <v>5.0137590000000003</v>
          </cell>
          <cell r="AO23">
            <v>12.384630000000001</v>
          </cell>
          <cell r="AP23">
            <v>4.4259930000000001</v>
          </cell>
          <cell r="AQ23">
            <v>3.854104</v>
          </cell>
          <cell r="AR23">
            <v>5.9610120000000002</v>
          </cell>
          <cell r="AS23">
            <v>14.241109</v>
          </cell>
          <cell r="AT23">
            <v>4.6952150000000001</v>
          </cell>
          <cell r="AU23">
            <v>4.609979</v>
          </cell>
          <cell r="AV23">
            <v>5.9218929999999999</v>
          </cell>
          <cell r="AW23">
            <v>15.227087000000001</v>
          </cell>
          <cell r="AX23">
            <v>5.4861589999999998</v>
          </cell>
          <cell r="AY23">
            <v>5.3641360000000002</v>
          </cell>
          <cell r="AZ23">
            <v>6.7281550000000001</v>
          </cell>
          <cell r="BA23">
            <v>17.57845</v>
          </cell>
          <cell r="BB23">
            <v>5.7019679999999999</v>
          </cell>
          <cell r="BC23">
            <v>5.5341399999999998</v>
          </cell>
          <cell r="BD23">
            <v>7.0663270000000002</v>
          </cell>
          <cell r="BE23">
            <v>18.302434999999999</v>
          </cell>
          <cell r="BF23">
            <v>6.1895420000000003</v>
          </cell>
          <cell r="BG23">
            <v>6.4952730000000001</v>
          </cell>
          <cell r="BH23">
            <v>8.3638549999999992</v>
          </cell>
          <cell r="BI23">
            <v>21.048670000000001</v>
          </cell>
          <cell r="BJ23">
            <v>6.8559520000000003</v>
          </cell>
          <cell r="BK23">
            <v>6.7564250000000001</v>
          </cell>
        </row>
        <row r="24">
          <cell r="A24" t="str">
            <v xml:space="preserve">  % Change</v>
          </cell>
          <cell r="Y24">
            <v>1.3753278558938056</v>
          </cell>
          <cell r="Z24">
            <v>1.0606683227795903</v>
          </cell>
          <cell r="AA24">
            <v>0.91973715840287706</v>
          </cell>
          <cell r="AB24">
            <v>0.89043561632951929</v>
          </cell>
          <cell r="AC24">
            <v>0.94538846665614207</v>
          </cell>
          <cell r="AD24">
            <v>0.87937597950278645</v>
          </cell>
          <cell r="AE24">
            <v>0.78146466227880018</v>
          </cell>
          <cell r="AF24">
            <v>0.82131477279120801</v>
          </cell>
          <cell r="AG24">
            <v>0.82621161203112226</v>
          </cell>
          <cell r="AH24">
            <v>0.94631787576784143</v>
          </cell>
          <cell r="AI24">
            <v>0.42448481947116834</v>
          </cell>
          <cell r="AJ24">
            <v>0.86298999830969447</v>
          </cell>
          <cell r="AK24">
            <v>0.72674709738521548</v>
          </cell>
          <cell r="AL24">
            <v>0.6024003026799436</v>
          </cell>
          <cell r="AM24">
            <v>0.68816453434148461</v>
          </cell>
          <cell r="AN24">
            <v>0.71659220552985659</v>
          </cell>
          <cell r="AO24">
            <v>0.67198450576902546</v>
          </cell>
          <cell r="AP24">
            <v>0.79831715278731474</v>
          </cell>
          <cell r="AQ24">
            <v>0.45801896357093774</v>
          </cell>
          <cell r="AR24">
            <v>0.69275903264454097</v>
          </cell>
          <cell r="AS24">
            <v>0.6509426623805783</v>
          </cell>
          <cell r="AT24">
            <v>0.62461488528910247</v>
          </cell>
          <cell r="AU24">
            <v>0.6237992284628997</v>
          </cell>
          <cell r="AV24">
            <v>0.52446433623463884</v>
          </cell>
          <cell r="AW24">
            <v>0.58390624393764323</v>
          </cell>
          <cell r="AX24">
            <v>0.52391696976531898</v>
          </cell>
          <cell r="AY24">
            <v>0.50729250877194465</v>
          </cell>
          <cell r="AZ24">
            <v>0.4098171554534864</v>
          </cell>
          <cell r="BA24">
            <v>0.47331946100584954</v>
          </cell>
          <cell r="BB24">
            <v>0.50426509826847621</v>
          </cell>
          <cell r="BC24">
            <v>0.54570365862207937</v>
          </cell>
          <cell r="BD24">
            <v>0.40938704871933407</v>
          </cell>
          <cell r="BE24">
            <v>0.47783462243119068</v>
          </cell>
          <cell r="BF24">
            <v>0.39845273139835524</v>
          </cell>
          <cell r="BG24">
            <v>0.68528742348416127</v>
          </cell>
          <cell r="BH24">
            <v>0.40309313250837264</v>
          </cell>
          <cell r="BI24">
            <v>0.4780218310245361</v>
          </cell>
          <cell r="BJ24">
            <v>0.46019979915722709</v>
          </cell>
          <cell r="BK24">
            <v>0.46560862858594376</v>
          </cell>
        </row>
        <row r="26">
          <cell r="A26" t="str">
            <v>Generics</v>
          </cell>
        </row>
        <row r="27">
          <cell r="A27" t="str">
            <v>DILTIAZEM</v>
          </cell>
        </row>
        <row r="28">
          <cell r="A28" t="str">
            <v>TRx</v>
          </cell>
          <cell r="B28">
            <v>170982</v>
          </cell>
          <cell r="C28">
            <v>171749</v>
          </cell>
          <cell r="D28">
            <v>178122</v>
          </cell>
          <cell r="E28">
            <v>520853</v>
          </cell>
          <cell r="F28">
            <v>184740</v>
          </cell>
          <cell r="G28">
            <v>172228</v>
          </cell>
          <cell r="H28">
            <v>193105</v>
          </cell>
          <cell r="I28">
            <v>550073</v>
          </cell>
          <cell r="J28">
            <v>188074</v>
          </cell>
          <cell r="K28">
            <v>196828</v>
          </cell>
          <cell r="L28">
            <v>191037</v>
          </cell>
          <cell r="M28">
            <v>575939</v>
          </cell>
          <cell r="N28">
            <v>199271</v>
          </cell>
          <cell r="O28">
            <v>202091</v>
          </cell>
          <cell r="P28">
            <v>191860</v>
          </cell>
          <cell r="Q28">
            <v>593222</v>
          </cell>
          <cell r="R28">
            <v>209110</v>
          </cell>
          <cell r="S28">
            <v>200429</v>
          </cell>
          <cell r="T28">
            <v>205785</v>
          </cell>
          <cell r="U28">
            <v>615324</v>
          </cell>
          <cell r="V28">
            <v>210131</v>
          </cell>
          <cell r="W28">
            <v>192638</v>
          </cell>
          <cell r="X28">
            <v>204433</v>
          </cell>
          <cell r="Y28">
            <v>607202</v>
          </cell>
          <cell r="Z28">
            <v>207838</v>
          </cell>
          <cell r="AA28">
            <v>208492</v>
          </cell>
          <cell r="AB28">
            <v>197773</v>
          </cell>
          <cell r="AC28">
            <v>614103</v>
          </cell>
          <cell r="AD28">
            <v>214076</v>
          </cell>
          <cell r="AE28">
            <v>213487</v>
          </cell>
          <cell r="AF28">
            <v>208530</v>
          </cell>
          <cell r="AG28">
            <v>636093</v>
          </cell>
          <cell r="AH28">
            <v>215681</v>
          </cell>
          <cell r="AI28">
            <v>207134</v>
          </cell>
          <cell r="AJ28">
            <v>222918</v>
          </cell>
          <cell r="AK28">
            <v>645733</v>
          </cell>
          <cell r="AL28">
            <v>222898</v>
          </cell>
          <cell r="AM28">
            <v>199679</v>
          </cell>
          <cell r="AN28">
            <v>221117</v>
          </cell>
          <cell r="AO28">
            <v>643694</v>
          </cell>
          <cell r="AP28">
            <v>221723</v>
          </cell>
          <cell r="AQ28">
            <v>226927</v>
          </cell>
          <cell r="AR28">
            <v>218298</v>
          </cell>
          <cell r="AS28">
            <v>666948</v>
          </cell>
          <cell r="AT28">
            <v>221971</v>
          </cell>
          <cell r="AU28">
            <v>214005</v>
          </cell>
          <cell r="AV28">
            <v>212954</v>
          </cell>
          <cell r="AW28">
            <v>648930</v>
          </cell>
          <cell r="AX28">
            <v>224468</v>
          </cell>
          <cell r="AY28">
            <v>209423</v>
          </cell>
          <cell r="AZ28">
            <v>235892</v>
          </cell>
          <cell r="BA28">
            <v>669783</v>
          </cell>
          <cell r="BB28">
            <v>227713</v>
          </cell>
          <cell r="BC28">
            <v>214421</v>
          </cell>
          <cell r="BD28">
            <v>235943</v>
          </cell>
          <cell r="BE28">
            <v>678077</v>
          </cell>
          <cell r="BF28">
            <v>225769</v>
          </cell>
          <cell r="BG28">
            <v>222350</v>
          </cell>
          <cell r="BH28">
            <v>229720</v>
          </cell>
          <cell r="BI28">
            <v>677839</v>
          </cell>
          <cell r="BJ28">
            <v>229161</v>
          </cell>
          <cell r="BK28">
            <v>231198</v>
          </cell>
          <cell r="BL28">
            <v>230151</v>
          </cell>
          <cell r="BM28">
            <v>690510</v>
          </cell>
        </row>
        <row r="29">
          <cell r="A29" t="str">
            <v xml:space="preserve">  % Change</v>
          </cell>
          <cell r="B29" t="str">
            <v>--</v>
          </cell>
          <cell r="C29" t="str">
            <v>--</v>
          </cell>
          <cell r="D29" t="str">
            <v>--</v>
          </cell>
          <cell r="E29" t="str">
            <v>--</v>
          </cell>
          <cell r="F29" t="str">
            <v>--</v>
          </cell>
          <cell r="G29" t="str">
            <v>--</v>
          </cell>
          <cell r="H29" t="str">
            <v>--</v>
          </cell>
          <cell r="I29" t="str">
            <v>--</v>
          </cell>
          <cell r="J29" t="str">
            <v>--</v>
          </cell>
          <cell r="K29" t="str">
            <v>--</v>
          </cell>
          <cell r="L29" t="str">
            <v>--</v>
          </cell>
          <cell r="M29" t="str">
            <v>--</v>
          </cell>
          <cell r="N29" t="str">
            <v>--</v>
          </cell>
          <cell r="O29" t="str">
            <v>--</v>
          </cell>
          <cell r="P29" t="str">
            <v>--</v>
          </cell>
          <cell r="Q29" t="str">
            <v>--</v>
          </cell>
          <cell r="R29">
            <v>0.22299423331110879</v>
          </cell>
          <cell r="S29">
            <v>0.1669878718362261</v>
          </cell>
          <cell r="T29">
            <v>0.15530366827230768</v>
          </cell>
          <cell r="U29">
            <v>0.18137747118668801</v>
          </cell>
          <cell r="V29">
            <v>0.13744181011150802</v>
          </cell>
          <cell r="W29">
            <v>0.1185057017441995</v>
          </cell>
          <cell r="X29">
            <v>5.8662385748685875E-2</v>
          </cell>
          <cell r="Y29">
            <v>0.10385712441803174</v>
          </cell>
          <cell r="Z29">
            <v>0.1050862958197305</v>
          </cell>
          <cell r="AA29">
            <v>5.9259861401833147E-2</v>
          </cell>
          <cell r="AB29">
            <v>3.5260185199725624E-2</v>
          </cell>
          <cell r="AC29">
            <v>6.626396198208484E-2</v>
          </cell>
          <cell r="AD29">
            <v>7.4295808220965487E-2</v>
          </cell>
          <cell r="AE29">
            <v>5.6390437971012952E-2</v>
          </cell>
          <cell r="AF29">
            <v>8.6886271239445367E-2</v>
          </cell>
          <cell r="AG29">
            <v>7.2268054792303804E-2</v>
          </cell>
          <cell r="AH29">
            <v>3.1423652623021381E-2</v>
          </cell>
          <cell r="AI29">
            <v>3.3453242794206473E-2</v>
          </cell>
          <cell r="AJ29">
            <v>8.3256797142648775E-2</v>
          </cell>
          <cell r="AK29">
            <v>4.9419492820042876E-2</v>
          </cell>
          <cell r="AL29">
            <v>6.0757337089720309E-2</v>
          </cell>
          <cell r="AM29">
            <v>3.6550420996895649E-2</v>
          </cell>
          <cell r="AN29">
            <v>8.1611090186026747E-2</v>
          </cell>
          <cell r="AO29">
            <v>6.0098616275967576E-2</v>
          </cell>
          <cell r="AP29">
            <v>6.6806839942647578E-2</v>
          </cell>
          <cell r="AQ29">
            <v>8.8420658826237952E-2</v>
          </cell>
          <cell r="AR29">
            <v>0.10378059694700492</v>
          </cell>
          <cell r="AS29">
            <v>8.6052339754080442E-2</v>
          </cell>
          <cell r="AT29">
            <v>3.6879425998243676E-2</v>
          </cell>
          <cell r="AU29">
            <v>2.4263772501369463E-3</v>
          </cell>
          <cell r="AV29">
            <v>2.1215172876804189E-2</v>
          </cell>
          <cell r="AW29">
            <v>2.0181011267220272E-2</v>
          </cell>
          <cell r="AX29">
            <v>4.0740723568603698E-2</v>
          </cell>
          <cell r="AY29">
            <v>1.1050817345293451E-2</v>
          </cell>
          <cell r="AZ29">
            <v>5.8200773378551673E-2</v>
          </cell>
          <cell r="BA29">
            <v>3.7244495790055732E-2</v>
          </cell>
          <cell r="BB29">
            <v>2.1601808899137653E-2</v>
          </cell>
          <cell r="BC29">
            <v>7.3828494734048178E-2</v>
          </cell>
          <cell r="BD29">
            <v>6.7050475540098686E-2</v>
          </cell>
          <cell r="BE29">
            <v>5.341513203478665E-2</v>
          </cell>
          <cell r="BF29">
            <v>1.8247994118787858E-2</v>
          </cell>
          <cell r="BG29">
            <v>-2.0169481815738077E-2</v>
          </cell>
          <cell r="BH29">
            <v>5.2322971351088876E-2</v>
          </cell>
          <cell r="BI29">
            <v>1.6329608905041981E-2</v>
          </cell>
          <cell r="BJ29">
            <v>3.2391618724968652E-2</v>
          </cell>
          <cell r="BK29">
            <v>8.0339244410177368E-2</v>
          </cell>
          <cell r="BL29">
            <v>8.0754529147139653E-2</v>
          </cell>
          <cell r="BM29">
            <v>6.4074707595580316E-2</v>
          </cell>
        </row>
        <row r="30">
          <cell r="A30" t="str">
            <v>31300:CALCIUM BLOCKERS</v>
          </cell>
          <cell r="B30">
            <v>8068670</v>
          </cell>
          <cell r="C30">
            <v>7831795</v>
          </cell>
          <cell r="D30">
            <v>8007040</v>
          </cell>
          <cell r="E30">
            <v>23907505</v>
          </cell>
          <cell r="F30">
            <v>8207044</v>
          </cell>
          <cell r="G30">
            <v>7400997</v>
          </cell>
          <cell r="H30">
            <v>8157756</v>
          </cell>
          <cell r="I30">
            <v>23765797</v>
          </cell>
          <cell r="J30">
            <v>7748947</v>
          </cell>
          <cell r="K30">
            <v>8027394</v>
          </cell>
          <cell r="L30">
            <v>7702158</v>
          </cell>
          <cell r="M30">
            <v>23478499</v>
          </cell>
          <cell r="N30">
            <v>7867939</v>
          </cell>
          <cell r="O30">
            <v>7928543</v>
          </cell>
          <cell r="P30">
            <v>7363604</v>
          </cell>
          <cell r="Q30">
            <v>23160086</v>
          </cell>
          <cell r="R30">
            <v>8007406</v>
          </cell>
          <cell r="S30">
            <v>7650658</v>
          </cell>
          <cell r="T30">
            <v>7835929</v>
          </cell>
          <cell r="U30">
            <v>23493993</v>
          </cell>
          <cell r="V30">
            <v>7994718</v>
          </cell>
          <cell r="W30">
            <v>7260066</v>
          </cell>
          <cell r="X30">
            <v>7804651</v>
          </cell>
          <cell r="Y30">
            <v>23059435</v>
          </cell>
          <cell r="Z30">
            <v>7897002</v>
          </cell>
          <cell r="AA30">
            <v>7905334</v>
          </cell>
          <cell r="AB30">
            <v>7407113</v>
          </cell>
          <cell r="AC30">
            <v>23209449</v>
          </cell>
          <cell r="AD30">
            <v>7866043</v>
          </cell>
          <cell r="AE30">
            <v>7669370</v>
          </cell>
          <cell r="AF30">
            <v>7301497</v>
          </cell>
          <cell r="AG30">
            <v>22836910</v>
          </cell>
          <cell r="AH30">
            <v>7674526</v>
          </cell>
          <cell r="AI30">
            <v>7307768</v>
          </cell>
          <cell r="AJ30">
            <v>7784356</v>
          </cell>
          <cell r="AK30">
            <v>22766650</v>
          </cell>
          <cell r="AL30">
            <v>7642984</v>
          </cell>
          <cell r="AO30">
            <v>7642984</v>
          </cell>
          <cell r="AS30">
            <v>0</v>
          </cell>
          <cell r="AW30">
            <v>0</v>
          </cell>
          <cell r="BA30">
            <v>0</v>
          </cell>
          <cell r="BE30">
            <v>0</v>
          </cell>
          <cell r="BI30">
            <v>0</v>
          </cell>
          <cell r="BM30">
            <v>0</v>
          </cell>
        </row>
        <row r="31">
          <cell r="A31" t="str">
            <v>TRx Market Share</v>
          </cell>
          <cell r="B31">
            <v>2.1190853015428814E-2</v>
          </cell>
          <cell r="C31">
            <v>2.192971087726377E-2</v>
          </cell>
          <cell r="D31">
            <v>2.2245673807049796E-2</v>
          </cell>
          <cell r="E31">
            <v>2.178617132988156E-2</v>
          </cell>
          <cell r="F31">
            <v>2.2509931712319318E-2</v>
          </cell>
          <cell r="G31">
            <v>2.3270918769457683E-2</v>
          </cell>
          <cell r="H31">
            <v>2.3671338049336115E-2</v>
          </cell>
          <cell r="I31">
            <v>2.3145573447421099E-2</v>
          </cell>
          <cell r="J31">
            <v>2.4270910615339092E-2</v>
          </cell>
          <cell r="K31">
            <v>2.4519538968686475E-2</v>
          </cell>
          <cell r="L31">
            <v>2.4803048704012565E-2</v>
          </cell>
          <cell r="M31">
            <v>2.453048638245571E-2</v>
          </cell>
          <cell r="N31">
            <v>2.5326963007720318E-2</v>
          </cell>
          <cell r="O31">
            <v>2.5489046348112131E-2</v>
          </cell>
          <cell r="P31">
            <v>2.6055176242502993E-2</v>
          </cell>
          <cell r="Q31">
            <v>2.5613980880727298E-2</v>
          </cell>
          <cell r="R31">
            <v>2.6114574432718911E-2</v>
          </cell>
          <cell r="S31">
            <v>2.6197615943622105E-2</v>
          </cell>
          <cell r="T31">
            <v>2.626172340254742E-2</v>
          </cell>
          <cell r="U31">
            <v>2.6190694787386715E-2</v>
          </cell>
          <cell r="V31">
            <v>2.6283728831961301E-2</v>
          </cell>
          <cell r="W31">
            <v>2.653391856217285E-2</v>
          </cell>
          <cell r="X31">
            <v>2.6193740117271099E-2</v>
          </cell>
          <cell r="Y31">
            <v>2.6332041526602887E-2</v>
          </cell>
          <cell r="Z31">
            <v>2.6318595335293064E-2</v>
          </cell>
          <cell r="AA31">
            <v>2.6373585227392037E-2</v>
          </cell>
          <cell r="AB31">
            <v>2.6700416208042189E-2</v>
          </cell>
          <cell r="AC31">
            <v>2.6459180482914523E-2</v>
          </cell>
          <cell r="AD31">
            <v>2.721520845995884E-2</v>
          </cell>
          <cell r="AE31">
            <v>2.7836315108020607E-2</v>
          </cell>
          <cell r="AF31">
            <v>2.8559896689678843E-2</v>
          </cell>
          <cell r="AG31">
            <v>2.7853724518772462E-2</v>
          </cell>
          <cell r="AH31">
            <v>2.8103494600187687E-2</v>
          </cell>
          <cell r="AI31">
            <v>2.8344359043691588E-2</v>
          </cell>
          <cell r="AJ31">
            <v>2.8636665640677277E-2</v>
          </cell>
          <cell r="AK31">
            <v>2.8363110075483217E-2</v>
          </cell>
          <cell r="AL31">
            <v>2.9163740235489174E-2</v>
          </cell>
          <cell r="AO31">
            <v>8.4220246961134546E-2</v>
          </cell>
          <cell r="AS31" t="e">
            <v>#DIV/0!</v>
          </cell>
          <cell r="AW31" t="e">
            <v>#DIV/0!</v>
          </cell>
          <cell r="BA31" t="e">
            <v>#DIV/0!</v>
          </cell>
          <cell r="BE31" t="e">
            <v>#DIV/0!</v>
          </cell>
          <cell r="BI31" t="e">
            <v>#DIV/0!</v>
          </cell>
          <cell r="BM31" t="e">
            <v>#DIV/0!</v>
          </cell>
        </row>
        <row r="32">
          <cell r="A32" t="str">
            <v>TRx Market Growth</v>
          </cell>
          <cell r="B32" t="str">
            <v>--</v>
          </cell>
          <cell r="C32" t="str">
            <v>--</v>
          </cell>
          <cell r="D32" t="str">
            <v>--</v>
          </cell>
          <cell r="E32" t="str">
            <v>--</v>
          </cell>
          <cell r="F32" t="str">
            <v>--</v>
          </cell>
          <cell r="G32" t="str">
            <v>--</v>
          </cell>
          <cell r="H32" t="str">
            <v>--</v>
          </cell>
          <cell r="I32" t="str">
            <v>--</v>
          </cell>
          <cell r="J32" t="str">
            <v>--</v>
          </cell>
          <cell r="K32" t="str">
            <v>--</v>
          </cell>
          <cell r="L32" t="str">
            <v>--</v>
          </cell>
          <cell r="M32" t="str">
            <v>--</v>
          </cell>
          <cell r="N32" t="str">
            <v>--</v>
          </cell>
          <cell r="O32" t="str">
            <v>--</v>
          </cell>
          <cell r="P32" t="str">
            <v>--</v>
          </cell>
          <cell r="Q32" t="str">
            <v>--</v>
          </cell>
          <cell r="R32">
            <v>-7.5928250876537984E-3</v>
          </cell>
          <cell r="S32">
            <v>-2.3128414367332151E-2</v>
          </cell>
          <cell r="T32">
            <v>-2.1370069338981668E-2</v>
          </cell>
          <cell r="U32">
            <v>-1.7296325986337791E-2</v>
          </cell>
          <cell r="V32">
            <v>-2.5871190650373022E-2</v>
          </cell>
          <cell r="W32">
            <v>-1.9042164184095767E-2</v>
          </cell>
          <cell r="X32">
            <v>-4.328457482670478E-2</v>
          </cell>
          <cell r="Y32">
            <v>-2.9721788837967389E-2</v>
          </cell>
          <cell r="Z32">
            <v>1.9106466981900994E-2</v>
          </cell>
          <cell r="AA32">
            <v>-1.5205432796745688E-2</v>
          </cell>
          <cell r="AB32">
            <v>-3.8306796614663075E-2</v>
          </cell>
          <cell r="AC32">
            <v>-1.1459420808800469E-2</v>
          </cell>
          <cell r="AD32">
            <v>-2.4097797402855559E-4</v>
          </cell>
          <cell r="AE32">
            <v>-3.2688603694272733E-2</v>
          </cell>
          <cell r="AF32">
            <v>-8.4343210199787633E-3</v>
          </cell>
          <cell r="AG32">
            <v>-1.3954006906537364E-2</v>
          </cell>
          <cell r="AH32">
            <v>-4.1571515169831486E-2</v>
          </cell>
          <cell r="AI32">
            <v>-4.4818367256777125E-2</v>
          </cell>
          <cell r="AJ32">
            <v>-6.5816063417624138E-3</v>
          </cell>
          <cell r="AK32">
            <v>-3.095867952288911E-2</v>
          </cell>
          <cell r="AL32">
            <v>-4.3995798225778593E-2</v>
          </cell>
          <cell r="AO32">
            <v>-0.66855285049265079</v>
          </cell>
          <cell r="AS32">
            <v>-1</v>
          </cell>
          <cell r="AW32">
            <v>-1</v>
          </cell>
          <cell r="BA32">
            <v>-1</v>
          </cell>
          <cell r="BE32">
            <v>-1</v>
          </cell>
          <cell r="BI32" t="e">
            <v>#DIV/0!</v>
          </cell>
          <cell r="BM32" t="e">
            <v>#DIV/0!</v>
          </cell>
        </row>
        <row r="33">
          <cell r="A33" t="str">
            <v>NRx</v>
          </cell>
          <cell r="B33">
            <v>53529</v>
          </cell>
          <cell r="C33">
            <v>52913</v>
          </cell>
          <cell r="D33">
            <v>53454</v>
          </cell>
          <cell r="E33">
            <v>159896</v>
          </cell>
          <cell r="F33">
            <v>59198</v>
          </cell>
          <cell r="G33">
            <v>54786</v>
          </cell>
          <cell r="H33">
            <v>61154</v>
          </cell>
          <cell r="I33">
            <v>175138</v>
          </cell>
          <cell r="J33">
            <v>58161</v>
          </cell>
          <cell r="K33">
            <v>59654</v>
          </cell>
          <cell r="L33">
            <v>56695</v>
          </cell>
          <cell r="M33">
            <v>174510</v>
          </cell>
          <cell r="N33">
            <v>58566</v>
          </cell>
          <cell r="O33">
            <v>59068</v>
          </cell>
          <cell r="P33">
            <v>55369</v>
          </cell>
          <cell r="Q33">
            <v>173003</v>
          </cell>
          <cell r="R33">
            <v>62878</v>
          </cell>
          <cell r="S33">
            <v>58992</v>
          </cell>
          <cell r="T33">
            <v>58188</v>
          </cell>
          <cell r="U33">
            <v>180058</v>
          </cell>
          <cell r="V33">
            <v>64783</v>
          </cell>
          <cell r="W33">
            <v>58182</v>
          </cell>
          <cell r="X33">
            <v>61120</v>
          </cell>
          <cell r="Y33">
            <v>184085</v>
          </cell>
          <cell r="Z33">
            <v>62068</v>
          </cell>
          <cell r="AA33">
            <v>61197</v>
          </cell>
          <cell r="AB33">
            <v>56848</v>
          </cell>
          <cell r="AC33">
            <v>180113</v>
          </cell>
          <cell r="AD33">
            <v>60951</v>
          </cell>
          <cell r="AE33">
            <v>60459</v>
          </cell>
          <cell r="AF33">
            <v>58381</v>
          </cell>
          <cell r="AG33">
            <v>179791</v>
          </cell>
          <cell r="AH33">
            <v>62352</v>
          </cell>
          <cell r="AI33">
            <v>58251</v>
          </cell>
          <cell r="AJ33">
            <v>62391</v>
          </cell>
          <cell r="AK33">
            <v>182994</v>
          </cell>
          <cell r="AL33">
            <v>64570</v>
          </cell>
          <cell r="AM33">
            <v>57247</v>
          </cell>
          <cell r="AN33">
            <v>62739</v>
          </cell>
          <cell r="AO33">
            <v>184556</v>
          </cell>
          <cell r="AP33">
            <v>62772</v>
          </cell>
          <cell r="AQ33">
            <v>64362</v>
          </cell>
          <cell r="AR33">
            <v>61060</v>
          </cell>
          <cell r="AS33">
            <v>188194</v>
          </cell>
          <cell r="AT33">
            <v>60473</v>
          </cell>
          <cell r="AU33">
            <v>57796</v>
          </cell>
          <cell r="AV33">
            <v>58929</v>
          </cell>
          <cell r="AW33">
            <v>177198</v>
          </cell>
          <cell r="AX33">
            <v>63724</v>
          </cell>
          <cell r="AY33">
            <v>57146</v>
          </cell>
          <cell r="AZ33">
            <v>64539</v>
          </cell>
          <cell r="BA33">
            <v>185409</v>
          </cell>
          <cell r="BB33">
            <v>63908</v>
          </cell>
          <cell r="BC33">
            <v>60836</v>
          </cell>
          <cell r="BD33">
            <v>66721</v>
          </cell>
          <cell r="BE33">
            <v>191465</v>
          </cell>
          <cell r="BF33">
            <v>62583</v>
          </cell>
          <cell r="BG33">
            <v>59981</v>
          </cell>
          <cell r="BH33">
            <v>63006</v>
          </cell>
          <cell r="BI33">
            <v>185570</v>
          </cell>
          <cell r="BJ33">
            <v>61298</v>
          </cell>
          <cell r="BK33">
            <v>61928</v>
          </cell>
          <cell r="BL33">
            <v>62342</v>
          </cell>
          <cell r="BM33">
            <v>185568</v>
          </cell>
        </row>
        <row r="34">
          <cell r="A34" t="str">
            <v xml:space="preserve">  % Change</v>
          </cell>
          <cell r="B34" t="str">
            <v>--</v>
          </cell>
          <cell r="C34" t="str">
            <v>--</v>
          </cell>
          <cell r="D34" t="str">
            <v>--</v>
          </cell>
          <cell r="E34" t="str">
            <v>--</v>
          </cell>
          <cell r="F34" t="str">
            <v>--</v>
          </cell>
          <cell r="G34" t="str">
            <v>--</v>
          </cell>
          <cell r="H34" t="str">
            <v>--</v>
          </cell>
          <cell r="I34" t="str">
            <v>--</v>
          </cell>
          <cell r="J34" t="str">
            <v>--</v>
          </cell>
          <cell r="K34" t="str">
            <v>--</v>
          </cell>
          <cell r="L34" t="str">
            <v>--</v>
          </cell>
          <cell r="M34" t="str">
            <v>--</v>
          </cell>
          <cell r="N34" t="str">
            <v>--</v>
          </cell>
          <cell r="O34" t="str">
            <v>--</v>
          </cell>
          <cell r="P34" t="str">
            <v>--</v>
          </cell>
          <cell r="Q34" t="str">
            <v>--</v>
          </cell>
          <cell r="R34">
            <v>0.17465299183620098</v>
          </cell>
          <cell r="S34">
            <v>0.1148867008107648</v>
          </cell>
          <cell r="T34">
            <v>8.8562128184981548E-2</v>
          </cell>
          <cell r="U34">
            <v>0.12609446139990999</v>
          </cell>
          <cell r="V34">
            <v>9.4344403527146126E-2</v>
          </cell>
          <cell r="W34">
            <v>6.1986638922352455E-2</v>
          </cell>
          <cell r="X34">
            <v>-5.559734440919728E-4</v>
          </cell>
          <cell r="Y34">
            <v>5.1085429775377111E-2</v>
          </cell>
          <cell r="Z34">
            <v>6.7175598768934419E-2</v>
          </cell>
          <cell r="AA34">
            <v>2.5865826264793723E-2</v>
          </cell>
          <cell r="AB34">
            <v>2.6986506746626837E-3</v>
          </cell>
          <cell r="AC34">
            <v>3.2107042576356548E-2</v>
          </cell>
          <cell r="AD34">
            <v>4.072328654850943E-2</v>
          </cell>
          <cell r="AE34">
            <v>2.3549129816482717E-2</v>
          </cell>
          <cell r="AF34">
            <v>5.4398670736332644E-2</v>
          </cell>
          <cell r="AG34">
            <v>3.9236313821147561E-2</v>
          </cell>
          <cell r="AH34">
            <v>-8.3654060243646411E-3</v>
          </cell>
          <cell r="AI34">
            <v>-1.2561025223759126E-2</v>
          </cell>
          <cell r="AJ34">
            <v>7.2231387915034029E-2</v>
          </cell>
          <cell r="AK34">
            <v>1.6305857001632784E-2</v>
          </cell>
          <cell r="AL34">
            <v>-3.2878996032910113E-3</v>
          </cell>
          <cell r="AM34">
            <v>-1.6070262280430403E-2</v>
          </cell>
          <cell r="AN34">
            <v>2.6488874345549807E-2</v>
          </cell>
          <cell r="AO34">
            <v>2.5586006464404232E-3</v>
          </cell>
          <cell r="AP34">
            <v>1.134239865953468E-2</v>
          </cell>
          <cell r="AQ34">
            <v>5.1718221481445115E-2</v>
          </cell>
          <cell r="AR34">
            <v>7.409231635237834E-2</v>
          </cell>
          <cell r="AS34">
            <v>4.4866278391898495E-2</v>
          </cell>
          <cell r="AT34">
            <v>-7.8423651785860526E-3</v>
          </cell>
          <cell r="AU34">
            <v>-4.4046378537521247E-2</v>
          </cell>
          <cell r="AV34">
            <v>9.3866155084703085E-3</v>
          </cell>
          <cell r="AW34">
            <v>-1.4422301450016994E-2</v>
          </cell>
          <cell r="AX34">
            <v>2.2004105722350564E-2</v>
          </cell>
          <cell r="AY34">
            <v>-1.8969631422636524E-2</v>
          </cell>
          <cell r="AZ34">
            <v>3.442804250613074E-2</v>
          </cell>
          <cell r="BA34">
            <v>1.3197154005049283E-2</v>
          </cell>
          <cell r="BB34">
            <v>-1.0252439213256914E-2</v>
          </cell>
          <cell r="BC34">
            <v>6.2693241567243652E-2</v>
          </cell>
          <cell r="BD34">
            <v>6.3469293421954509E-2</v>
          </cell>
          <cell r="BE34">
            <v>3.7435791846377242E-2</v>
          </cell>
          <cell r="BF34">
            <v>-3.0108965780921704E-3</v>
          </cell>
          <cell r="BG34">
            <v>-6.8068114726080653E-2</v>
          </cell>
          <cell r="BH34">
            <v>3.1870291516541194E-2</v>
          </cell>
          <cell r="BI34">
            <v>-1.3943058758515203E-2</v>
          </cell>
          <cell r="BJ34">
            <v>1.3642452003373329E-2</v>
          </cell>
          <cell r="BK34">
            <v>7.1492836874524235E-2</v>
          </cell>
          <cell r="BL34">
            <v>5.7917154541906379E-2</v>
          </cell>
          <cell r="BM34">
            <v>4.7235296109436886E-2</v>
          </cell>
        </row>
        <row r="35">
          <cell r="A35" t="str">
            <v>Sales (IMS)</v>
          </cell>
          <cell r="B35">
            <v>4.55213</v>
          </cell>
          <cell r="C35">
            <v>4.5114939999999999</v>
          </cell>
          <cell r="D35">
            <v>6.1193</v>
          </cell>
          <cell r="E35">
            <v>15.182924</v>
          </cell>
          <cell r="F35">
            <v>4.9721590000000004</v>
          </cell>
          <cell r="G35">
            <v>5.1722149999999996</v>
          </cell>
          <cell r="H35">
            <v>6.6861670000000002</v>
          </cell>
          <cell r="I35">
            <v>16.830541</v>
          </cell>
          <cell r="J35">
            <v>5.3946690000000004</v>
          </cell>
          <cell r="K35">
            <v>5.4855260000000001</v>
          </cell>
          <cell r="L35">
            <v>7.1266259999999999</v>
          </cell>
          <cell r="M35">
            <v>18.006821000000002</v>
          </cell>
          <cell r="N35">
            <v>5.7364899999999999</v>
          </cell>
          <cell r="O35">
            <v>5.4423009999999996</v>
          </cell>
          <cell r="P35">
            <v>7.1427009999999997</v>
          </cell>
          <cell r="Q35">
            <v>18.321491999999999</v>
          </cell>
          <cell r="R35">
            <v>5.4219980000000003</v>
          </cell>
          <cell r="S35">
            <v>6.7743929999999999</v>
          </cell>
          <cell r="T35">
            <v>7.0178510000000003</v>
          </cell>
          <cell r="U35">
            <v>19.214241999999999</v>
          </cell>
          <cell r="V35">
            <v>5.5307370000000002</v>
          </cell>
          <cell r="W35">
            <v>5.6621509999999997</v>
          </cell>
          <cell r="X35">
            <v>6.8251330000000001</v>
          </cell>
          <cell r="Y35">
            <v>18.018021000000001</v>
          </cell>
          <cell r="Z35">
            <v>5.1328620000000003</v>
          </cell>
          <cell r="AA35">
            <v>5.3676170000000001</v>
          </cell>
          <cell r="AB35">
            <v>7.1822369999999998</v>
          </cell>
          <cell r="AC35">
            <v>17.682715999999999</v>
          </cell>
          <cell r="AD35">
            <v>5.5203179999999996</v>
          </cell>
          <cell r="AE35">
            <v>5.4259810000000002</v>
          </cell>
          <cell r="AF35">
            <v>6.6756979999999997</v>
          </cell>
          <cell r="AG35">
            <v>17.621997</v>
          </cell>
          <cell r="AH35">
            <v>5.3134949999999996</v>
          </cell>
          <cell r="AI35">
            <v>5.2461310000000001</v>
          </cell>
          <cell r="AJ35">
            <v>6.8394789999999999</v>
          </cell>
          <cell r="AK35">
            <v>17.399104999999999</v>
          </cell>
          <cell r="AL35">
            <v>5.205756</v>
          </cell>
          <cell r="AM35">
            <v>4.9369899999999998</v>
          </cell>
          <cell r="AN35">
            <v>7.5976270000000001</v>
          </cell>
          <cell r="AO35">
            <v>17.740372999999998</v>
          </cell>
          <cell r="AP35">
            <v>6.5928339999999999</v>
          </cell>
          <cell r="AQ35">
            <v>5.1599539999999999</v>
          </cell>
          <cell r="AR35">
            <v>7.321504</v>
          </cell>
          <cell r="AS35">
            <v>19.074292</v>
          </cell>
          <cell r="AT35">
            <v>5.2280569999999997</v>
          </cell>
          <cell r="AU35">
            <v>5.4076259999999996</v>
          </cell>
          <cell r="AV35">
            <v>6.5748990000000003</v>
          </cell>
          <cell r="AW35">
            <v>17.210582000000002</v>
          </cell>
          <cell r="AX35">
            <v>4.8641709999999998</v>
          </cell>
          <cell r="AY35">
            <v>6.0007010000000003</v>
          </cell>
          <cell r="AZ35">
            <v>7.3791799999999999</v>
          </cell>
          <cell r="BA35">
            <v>18.244052</v>
          </cell>
          <cell r="BB35">
            <v>6.3980399999999999</v>
          </cell>
          <cell r="BC35">
            <v>5.9773820000000004</v>
          </cell>
          <cell r="BD35">
            <v>7.5335270000000003</v>
          </cell>
          <cell r="BE35">
            <v>19.908949</v>
          </cell>
          <cell r="BF35">
            <v>6.0653779999999999</v>
          </cell>
          <cell r="BG35">
            <v>5.9099060000000003</v>
          </cell>
          <cell r="BH35">
            <v>7.2359270000000002</v>
          </cell>
          <cell r="BI35">
            <v>19.211210999999999</v>
          </cell>
          <cell r="BJ35">
            <v>5.7553089999999996</v>
          </cell>
          <cell r="BK35">
            <v>5.5828709999999999</v>
          </cell>
        </row>
        <row r="36">
          <cell r="A36" t="str">
            <v xml:space="preserve">  % Change</v>
          </cell>
          <cell r="Y36">
            <v>7.0555070095488892E-2</v>
          </cell>
          <cell r="Z36">
            <v>-4.8530688351778428E-2</v>
          </cell>
          <cell r="AA36">
            <v>-2.1494565881193584E-2</v>
          </cell>
          <cell r="AB36">
            <v>7.8032718428047154E-3</v>
          </cell>
          <cell r="AC36">
            <v>-1.7999012707462514E-2</v>
          </cell>
          <cell r="AD36">
            <v>-3.7683670676668224E-2</v>
          </cell>
          <cell r="AE36">
            <v>-2.9987316026804933E-3</v>
          </cell>
          <cell r="AF36">
            <v>-6.5381849247224566E-2</v>
          </cell>
          <cell r="AG36">
            <v>-3.8178932152468703E-2</v>
          </cell>
          <cell r="AH36">
            <v>-2.0011626710301433E-2</v>
          </cell>
          <cell r="AI36">
            <v>-0.22559393882226786</v>
          </cell>
          <cell r="AJ36">
            <v>-2.5416897565935792E-2</v>
          </cell>
          <cell r="AK36">
            <v>-9.4468311578463471E-2</v>
          </cell>
          <cell r="AL36">
            <v>-5.8759076774035801E-2</v>
          </cell>
          <cell r="AM36">
            <v>-0.12807164627011891</v>
          </cell>
          <cell r="AN36">
            <v>0.11318372843430313</v>
          </cell>
          <cell r="AO36">
            <v>-1.5409461449734319E-2</v>
          </cell>
          <cell r="AP36">
            <v>0.28443624628910724</v>
          </cell>
          <cell r="AQ36">
            <v>-3.8688118023323947E-2</v>
          </cell>
          <cell r="AR36">
            <v>1.939047681105488E-2</v>
          </cell>
          <cell r="AS36">
            <v>7.8696960353828116E-2</v>
          </cell>
          <cell r="AT36">
            <v>-5.2942783368639224E-2</v>
          </cell>
          <cell r="AU36">
            <v>-3.3827984285239587E-3</v>
          </cell>
          <cell r="AV36">
            <v>-1.5099394849796943E-2</v>
          </cell>
          <cell r="AW36">
            <v>-2.3346672911134791E-2</v>
          </cell>
          <cell r="AX36">
            <v>-8.4562797179634108E-2</v>
          </cell>
          <cell r="AY36">
            <v>0.1438336175745516</v>
          </cell>
          <cell r="AZ36">
            <v>7.8909665487678193E-2</v>
          </cell>
          <cell r="BA36">
            <v>4.8562670321260937E-2</v>
          </cell>
          <cell r="BB36">
            <v>0.22903186395981678</v>
          </cell>
          <cell r="BC36">
            <v>0.21073407075971406</v>
          </cell>
          <cell r="BD36">
            <v>-8.4368448200997648E-3</v>
          </cell>
          <cell r="BE36">
            <v>0.12223959439860721</v>
          </cell>
          <cell r="BF36">
            <v>-8.0004441185687392E-2</v>
          </cell>
          <cell r="BG36">
            <v>0.1453408305577919</v>
          </cell>
          <cell r="BH36">
            <v>-1.1688445434162142E-2</v>
          </cell>
          <cell r="BI36">
            <v>7.1781956572751771E-3</v>
          </cell>
          <cell r="BJ36">
            <v>0.10085046892181926</v>
          </cell>
          <cell r="BK36">
            <v>3.2407011875451586E-2</v>
          </cell>
        </row>
        <row r="38">
          <cell r="A38" t="str">
            <v>ALPRAZOLAM</v>
          </cell>
        </row>
        <row r="39">
          <cell r="A39" t="str">
            <v>TRx</v>
          </cell>
          <cell r="R39">
            <v>349720</v>
          </cell>
          <cell r="S39">
            <v>365081</v>
          </cell>
          <cell r="T39">
            <v>387699</v>
          </cell>
          <cell r="U39">
            <v>1102500</v>
          </cell>
          <cell r="V39">
            <v>450885</v>
          </cell>
          <cell r="W39">
            <v>446999</v>
          </cell>
          <cell r="X39">
            <v>536550</v>
          </cell>
          <cell r="Y39">
            <v>1434434</v>
          </cell>
          <cell r="Z39">
            <v>563196</v>
          </cell>
          <cell r="AA39">
            <v>577217</v>
          </cell>
          <cell r="AB39">
            <v>544988</v>
          </cell>
          <cell r="AC39">
            <v>1685401</v>
          </cell>
          <cell r="AD39">
            <v>594967</v>
          </cell>
          <cell r="AE39">
            <v>597457</v>
          </cell>
          <cell r="AF39">
            <v>564329</v>
          </cell>
          <cell r="AG39">
            <v>1756753</v>
          </cell>
          <cell r="AH39">
            <v>598998</v>
          </cell>
          <cell r="AI39">
            <v>574951</v>
          </cell>
          <cell r="AJ39">
            <v>612934</v>
          </cell>
          <cell r="AK39">
            <v>1786883</v>
          </cell>
          <cell r="AL39">
            <v>605035</v>
          </cell>
          <cell r="AM39">
            <v>560280</v>
          </cell>
          <cell r="AN39">
            <v>617281</v>
          </cell>
          <cell r="AO39">
            <v>1782596</v>
          </cell>
          <cell r="AP39">
            <v>611933</v>
          </cell>
          <cell r="AQ39">
            <v>635289</v>
          </cell>
          <cell r="AR39">
            <v>666799</v>
          </cell>
          <cell r="AS39">
            <v>1914021</v>
          </cell>
          <cell r="AT39">
            <v>765565</v>
          </cell>
          <cell r="AU39">
            <v>789841</v>
          </cell>
          <cell r="AV39">
            <v>825910</v>
          </cell>
          <cell r="AW39">
            <v>2381316</v>
          </cell>
          <cell r="AX39">
            <v>867848</v>
          </cell>
          <cell r="AY39">
            <v>796754</v>
          </cell>
          <cell r="AZ39">
            <v>884317</v>
          </cell>
          <cell r="BA39">
            <v>2548919</v>
          </cell>
          <cell r="BB39">
            <v>860444</v>
          </cell>
          <cell r="BC39">
            <v>817539</v>
          </cell>
          <cell r="BD39">
            <v>912929</v>
          </cell>
          <cell r="BE39">
            <v>2590912</v>
          </cell>
          <cell r="BF39">
            <v>869302</v>
          </cell>
          <cell r="BG39">
            <v>849632</v>
          </cell>
          <cell r="BH39">
            <v>888632</v>
          </cell>
          <cell r="BI39">
            <v>2607566</v>
          </cell>
          <cell r="BJ39">
            <v>865261</v>
          </cell>
          <cell r="BK39">
            <v>845256</v>
          </cell>
          <cell r="BL39">
            <v>815331</v>
          </cell>
          <cell r="BM39">
            <v>2525848</v>
          </cell>
        </row>
        <row r="40">
          <cell r="A40" t="str">
            <v xml:space="preserve">  % Change</v>
          </cell>
          <cell r="AH40">
            <v>0.71279309161615001</v>
          </cell>
          <cell r="AI40">
            <v>0.57485872998047016</v>
          </cell>
          <cell r="AJ40">
            <v>0.58095326529085711</v>
          </cell>
          <cell r="AK40">
            <v>0.6207555555555555</v>
          </cell>
          <cell r="AL40">
            <v>0.34188318529114969</v>
          </cell>
          <cell r="AM40">
            <v>0.25342562287611381</v>
          </cell>
          <cell r="AN40">
            <v>0.15046314416177431</v>
          </cell>
          <cell r="AO40">
            <v>0.24271733659408512</v>
          </cell>
          <cell r="AP40">
            <v>8.6536481082962302E-2</v>
          </cell>
          <cell r="AQ40">
            <v>0.10060687748281838</v>
          </cell>
          <cell r="AR40">
            <v>0.22351134336902834</v>
          </cell>
          <cell r="AS40">
            <v>0.13564724359366109</v>
          </cell>
          <cell r="AT40">
            <v>0.28673523069346696</v>
          </cell>
          <cell r="AU40">
            <v>0.32200476352273055</v>
          </cell>
          <cell r="AV40">
            <v>0.46352570929369219</v>
          </cell>
          <cell r="AW40">
            <v>0.35552123719156881</v>
          </cell>
          <cell r="AX40">
            <v>0.44883288425003087</v>
          </cell>
          <cell r="AY40">
            <v>0.38577722275463477</v>
          </cell>
          <cell r="AZ40">
            <v>0.4427605582330234</v>
          </cell>
          <cell r="BA40">
            <v>0.42646104977214505</v>
          </cell>
          <cell r="BB40">
            <v>0.42213921508673047</v>
          </cell>
          <cell r="BC40">
            <v>0.45916149068322976</v>
          </cell>
          <cell r="BD40">
            <v>0.47895204939079616</v>
          </cell>
          <cell r="BE40">
            <v>0.45344879041577557</v>
          </cell>
          <cell r="BF40">
            <v>0.42058362598519783</v>
          </cell>
          <cell r="BG40">
            <v>0.33739447715921411</v>
          </cell>
          <cell r="BH40">
            <v>0.33268346233272705</v>
          </cell>
          <cell r="BI40">
            <v>0.36234973388484248</v>
          </cell>
          <cell r="BJ40">
            <v>0.13022538909171666</v>
          </cell>
          <cell r="BK40">
            <v>7.0159690368061467E-2</v>
          </cell>
          <cell r="BL40">
            <v>-1.280890169631077E-2</v>
          </cell>
          <cell r="BM40">
            <v>6.0694170786237622E-2</v>
          </cell>
        </row>
        <row r="41">
          <cell r="A41" t="str">
            <v>NRx</v>
          </cell>
          <cell r="R41">
            <v>229626</v>
          </cell>
          <cell r="S41">
            <v>236821</v>
          </cell>
          <cell r="T41">
            <v>247695</v>
          </cell>
          <cell r="U41">
            <v>714142</v>
          </cell>
          <cell r="V41">
            <v>300886</v>
          </cell>
          <cell r="W41">
            <v>293322</v>
          </cell>
          <cell r="X41">
            <v>347427</v>
          </cell>
          <cell r="Y41">
            <v>941635</v>
          </cell>
          <cell r="Z41">
            <v>364591</v>
          </cell>
          <cell r="AA41">
            <v>370068</v>
          </cell>
          <cell r="AB41">
            <v>347014</v>
          </cell>
          <cell r="AC41">
            <v>1081673</v>
          </cell>
          <cell r="AD41">
            <v>380498</v>
          </cell>
          <cell r="AE41">
            <v>384576</v>
          </cell>
          <cell r="AF41">
            <v>360185</v>
          </cell>
          <cell r="AG41">
            <v>1125259</v>
          </cell>
          <cell r="AH41">
            <v>384246</v>
          </cell>
          <cell r="AI41">
            <v>362209</v>
          </cell>
          <cell r="AJ41">
            <v>383372</v>
          </cell>
          <cell r="AK41">
            <v>1129827</v>
          </cell>
          <cell r="AL41">
            <v>388013</v>
          </cell>
          <cell r="AM41">
            <v>357994</v>
          </cell>
          <cell r="AN41">
            <v>391363</v>
          </cell>
          <cell r="AO41">
            <v>1137370</v>
          </cell>
          <cell r="AP41">
            <v>389698</v>
          </cell>
          <cell r="AQ41">
            <v>404363</v>
          </cell>
          <cell r="AR41">
            <v>425241</v>
          </cell>
          <cell r="AS41">
            <v>1219302</v>
          </cell>
          <cell r="AT41">
            <v>482673</v>
          </cell>
          <cell r="AU41">
            <v>491626</v>
          </cell>
          <cell r="AV41">
            <v>514486</v>
          </cell>
          <cell r="AW41">
            <v>1488785</v>
          </cell>
          <cell r="AX41">
            <v>538168</v>
          </cell>
          <cell r="AY41">
            <v>481819</v>
          </cell>
          <cell r="AZ41">
            <v>535992</v>
          </cell>
          <cell r="BA41">
            <v>1555979</v>
          </cell>
          <cell r="BB41">
            <v>525128</v>
          </cell>
          <cell r="BC41">
            <v>500941</v>
          </cell>
          <cell r="BD41">
            <v>560414</v>
          </cell>
          <cell r="BE41">
            <v>1586483</v>
          </cell>
          <cell r="BF41">
            <v>531590</v>
          </cell>
          <cell r="BG41">
            <v>512953</v>
          </cell>
          <cell r="BH41">
            <v>544336</v>
          </cell>
          <cell r="BI41">
            <v>1588879</v>
          </cell>
          <cell r="BJ41">
            <v>525940</v>
          </cell>
          <cell r="BK41">
            <v>515873</v>
          </cell>
          <cell r="BL41">
            <v>505245</v>
          </cell>
          <cell r="BM41">
            <v>1547058</v>
          </cell>
        </row>
        <row r="42">
          <cell r="A42" t="str">
            <v xml:space="preserve">  % Change</v>
          </cell>
          <cell r="AH42">
            <v>0.6733558046562671</v>
          </cell>
          <cell r="AI42">
            <v>0.52946318105235601</v>
          </cell>
          <cell r="AJ42">
            <v>0.54775833181937461</v>
          </cell>
          <cell r="AK42">
            <v>0.5820761137140793</v>
          </cell>
          <cell r="AL42">
            <v>0.28956814208703618</v>
          </cell>
          <cell r="AM42">
            <v>0.22048124586631745</v>
          </cell>
          <cell r="AN42">
            <v>0.12646109830266505</v>
          </cell>
          <cell r="AO42">
            <v>0.20786716721447274</v>
          </cell>
          <cell r="AP42">
            <v>6.8863466185396849E-2</v>
          </cell>
          <cell r="AQ42">
            <v>9.2672157549423373E-2</v>
          </cell>
          <cell r="AR42">
            <v>0.22542894522987544</v>
          </cell>
          <cell r="AS42">
            <v>0.12723715947425895</v>
          </cell>
          <cell r="AT42">
            <v>0.2685296637564456</v>
          </cell>
          <cell r="AU42">
            <v>0.27835850391080053</v>
          </cell>
          <cell r="AV42">
            <v>0.42839374210475167</v>
          </cell>
          <cell r="AW42">
            <v>0.32305984666641185</v>
          </cell>
          <cell r="AX42">
            <v>0.40058191887488737</v>
          </cell>
          <cell r="AY42">
            <v>0.33022371062011158</v>
          </cell>
          <cell r="AZ42">
            <v>0.39809897436432506</v>
          </cell>
          <cell r="BA42">
            <v>0.37718340949543605</v>
          </cell>
          <cell r="BB42">
            <v>0.353377335295467</v>
          </cell>
          <cell r="BC42">
            <v>0.39929998826795976</v>
          </cell>
          <cell r="BD42">
            <v>0.43195447704560719</v>
          </cell>
          <cell r="BE42">
            <v>0.39486974335528457</v>
          </cell>
          <cell r="BF42">
            <v>0.36410759100636914</v>
          </cell>
          <cell r="BG42">
            <v>0.26854583629065965</v>
          </cell>
          <cell r="BH42">
            <v>0.28006471624325968</v>
          </cell>
          <cell r="BI42">
            <v>0.30310538324385594</v>
          </cell>
          <cell r="BJ42">
            <v>8.9640398364938534E-2</v>
          </cell>
          <cell r="BK42">
            <v>4.9320011553497967E-2</v>
          </cell>
          <cell r="BL42">
            <v>-1.7961616059523511E-2</v>
          </cell>
          <cell r="BM42">
            <v>3.9141313218497009E-2</v>
          </cell>
        </row>
        <row r="43">
          <cell r="A43" t="str">
            <v>Sales (IMS)</v>
          </cell>
          <cell r="R43">
            <v>0.41299599999999997</v>
          </cell>
          <cell r="S43">
            <v>0.46587899999999999</v>
          </cell>
          <cell r="T43">
            <v>0.75251100000000004</v>
          </cell>
          <cell r="U43">
            <v>1.631386</v>
          </cell>
          <cell r="V43">
            <v>0.63543099999999997</v>
          </cell>
          <cell r="W43">
            <v>0.85227699999999995</v>
          </cell>
          <cell r="X43">
            <v>1.0726899999999999</v>
          </cell>
          <cell r="Y43">
            <v>2.5603980000000002</v>
          </cell>
          <cell r="Z43">
            <v>0.70956300000000005</v>
          </cell>
          <cell r="AA43">
            <v>0.91728799999999999</v>
          </cell>
          <cell r="AB43">
            <v>1.124037</v>
          </cell>
          <cell r="AC43">
            <v>2.7508879999999998</v>
          </cell>
          <cell r="AD43">
            <v>0.89524099999999995</v>
          </cell>
          <cell r="AE43">
            <v>0.89410699999999999</v>
          </cell>
          <cell r="AF43">
            <v>1.0250360000000001</v>
          </cell>
          <cell r="AG43">
            <v>2.814384</v>
          </cell>
          <cell r="AH43">
            <v>0.88239299999999998</v>
          </cell>
          <cell r="AI43">
            <v>0.88855799999999996</v>
          </cell>
          <cell r="AJ43">
            <v>1.1751119999999999</v>
          </cell>
          <cell r="AK43">
            <v>2.9460629999999997</v>
          </cell>
          <cell r="AL43">
            <v>0.83293200000000001</v>
          </cell>
          <cell r="AM43">
            <v>0.91330199999999995</v>
          </cell>
          <cell r="AN43">
            <v>1.187703</v>
          </cell>
          <cell r="AO43">
            <v>2.9339369999999998</v>
          </cell>
          <cell r="AP43">
            <v>1.1953769999999999</v>
          </cell>
          <cell r="AQ43">
            <v>1.367909</v>
          </cell>
          <cell r="AR43">
            <v>2.3152270000000001</v>
          </cell>
          <cell r="AS43">
            <v>4.8785129999999999</v>
          </cell>
          <cell r="AT43">
            <v>1.8474680000000001</v>
          </cell>
          <cell r="AU43">
            <v>2.122582</v>
          </cell>
          <cell r="AV43">
            <v>2.476</v>
          </cell>
          <cell r="AW43">
            <v>6.4460499999999996</v>
          </cell>
          <cell r="AX43">
            <v>1.802038</v>
          </cell>
          <cell r="AY43">
            <v>1.886525</v>
          </cell>
          <cell r="AZ43">
            <v>2.3104140000000002</v>
          </cell>
          <cell r="BA43">
            <v>5.998977</v>
          </cell>
          <cell r="BB43">
            <v>1.688169</v>
          </cell>
          <cell r="BC43">
            <v>1.7209909999999999</v>
          </cell>
          <cell r="BD43">
            <v>1.8270900000000001</v>
          </cell>
          <cell r="BE43">
            <v>5.2362500000000001</v>
          </cell>
          <cell r="BF43">
            <v>1.1793260000000001</v>
          </cell>
          <cell r="BG43">
            <v>1.248218</v>
          </cell>
          <cell r="BH43">
            <v>1.5370550000000001</v>
          </cell>
          <cell r="BI43">
            <v>3.9645990000000002</v>
          </cell>
          <cell r="BJ43">
            <v>1.17222</v>
          </cell>
          <cell r="BK43">
            <v>1.127094</v>
          </cell>
        </row>
        <row r="44">
          <cell r="A44" t="str">
            <v xml:space="preserve">  % Change</v>
          </cell>
          <cell r="AH44">
            <v>1.1365654873170685</v>
          </cell>
          <cell r="AI44">
            <v>0.90727205991255233</v>
          </cell>
          <cell r="AJ44">
            <v>0.56158780403210029</v>
          </cell>
          <cell r="AK44">
            <v>0.80586507423748865</v>
          </cell>
          <cell r="AL44">
            <v>0.31081423474775405</v>
          </cell>
          <cell r="AM44">
            <v>7.1602307700430634E-2</v>
          </cell>
          <cell r="AN44">
            <v>0.10721923388863508</v>
          </cell>
          <cell r="AO44">
            <v>0.14589099038508846</v>
          </cell>
          <cell r="AP44">
            <v>0.68466647781803713</v>
          </cell>
          <cell r="AQ44">
            <v>0.49125356485640292</v>
          </cell>
          <cell r="AR44">
            <v>1.0597426953027349</v>
          </cell>
          <cell r="AS44">
            <v>0.7734320699352355</v>
          </cell>
          <cell r="AT44">
            <v>1.0636543679299768</v>
          </cell>
          <cell r="AU44">
            <v>1.373968663705798</v>
          </cell>
          <cell r="AV44">
            <v>1.4155249181492162</v>
          </cell>
          <cell r="AW44">
            <v>1.2903946298728246</v>
          </cell>
          <cell r="AX44">
            <v>1.0422170166807763</v>
          </cell>
          <cell r="AY44">
            <v>1.1231309605000463</v>
          </cell>
          <cell r="AZ44">
            <v>0.96612237812225588</v>
          </cell>
          <cell r="BA44">
            <v>1.0362690818220792</v>
          </cell>
          <cell r="BB44">
            <v>1.0267788967166589</v>
          </cell>
          <cell r="BC44">
            <v>0.88436136130217613</v>
          </cell>
          <cell r="BD44">
            <v>0.53833913023710478</v>
          </cell>
          <cell r="BE44">
            <v>0.78471794043294052</v>
          </cell>
          <cell r="BF44">
            <v>-1.342756301986725E-2</v>
          </cell>
          <cell r="BG44">
            <v>-8.7499241543114281E-2</v>
          </cell>
          <cell r="BH44">
            <v>-0.33611045482797153</v>
          </cell>
          <cell r="BI44">
            <v>-0.18733454230828117</v>
          </cell>
          <cell r="BJ44">
            <v>-0.3654991588487595</v>
          </cell>
          <cell r="BK44">
            <v>-0.46899860641426339</v>
          </cell>
        </row>
        <row r="46">
          <cell r="A46" t="str">
            <v>SPIRONOLACTONE</v>
          </cell>
        </row>
        <row r="47">
          <cell r="A47" t="str">
            <v>TRx</v>
          </cell>
          <cell r="B47">
            <v>50532</v>
          </cell>
          <cell r="C47">
            <v>49386</v>
          </cell>
          <cell r="D47">
            <v>48605</v>
          </cell>
          <cell r="E47">
            <v>148523</v>
          </cell>
          <cell r="F47">
            <v>50886</v>
          </cell>
          <cell r="G47">
            <v>48212</v>
          </cell>
          <cell r="H47">
            <v>56004</v>
          </cell>
          <cell r="I47">
            <v>155102</v>
          </cell>
          <cell r="J47">
            <v>54727</v>
          </cell>
          <cell r="K47">
            <v>59430</v>
          </cell>
          <cell r="L47">
            <v>57824</v>
          </cell>
          <cell r="M47">
            <v>171981</v>
          </cell>
          <cell r="N47">
            <v>60791</v>
          </cell>
          <cell r="O47">
            <v>64011</v>
          </cell>
          <cell r="P47">
            <v>60232</v>
          </cell>
          <cell r="Q47">
            <v>185034</v>
          </cell>
          <cell r="R47">
            <v>66808</v>
          </cell>
          <cell r="S47">
            <v>64987</v>
          </cell>
          <cell r="T47">
            <v>67371</v>
          </cell>
          <cell r="U47">
            <v>199166</v>
          </cell>
          <cell r="V47">
            <v>70882</v>
          </cell>
          <cell r="W47">
            <v>66499</v>
          </cell>
          <cell r="X47">
            <v>71720</v>
          </cell>
          <cell r="Y47">
            <v>209101</v>
          </cell>
          <cell r="Z47">
            <v>67774</v>
          </cell>
          <cell r="AA47">
            <v>66392</v>
          </cell>
          <cell r="AB47">
            <v>62913</v>
          </cell>
          <cell r="AC47">
            <v>197079</v>
          </cell>
          <cell r="AD47">
            <v>66103</v>
          </cell>
          <cell r="AE47">
            <v>63081</v>
          </cell>
          <cell r="AF47">
            <v>57840</v>
          </cell>
          <cell r="AG47">
            <v>187024</v>
          </cell>
          <cell r="AH47">
            <v>60031</v>
          </cell>
          <cell r="AI47">
            <v>59067</v>
          </cell>
          <cell r="AJ47">
            <v>62353</v>
          </cell>
          <cell r="AK47">
            <v>181451</v>
          </cell>
          <cell r="AL47">
            <v>64839</v>
          </cell>
          <cell r="AM47">
            <v>58978</v>
          </cell>
          <cell r="AN47">
            <v>65829</v>
          </cell>
          <cell r="AO47">
            <v>189646</v>
          </cell>
          <cell r="AP47">
            <v>64732</v>
          </cell>
          <cell r="AQ47">
            <v>68410</v>
          </cell>
          <cell r="AR47">
            <v>67221</v>
          </cell>
          <cell r="AS47">
            <v>200363</v>
          </cell>
          <cell r="AT47">
            <v>69401</v>
          </cell>
          <cell r="AU47">
            <v>67269</v>
          </cell>
          <cell r="AV47">
            <v>66922</v>
          </cell>
          <cell r="AW47">
            <v>203592</v>
          </cell>
          <cell r="AX47">
            <v>69441</v>
          </cell>
          <cell r="AY47">
            <v>63809</v>
          </cell>
          <cell r="AZ47">
            <v>70221</v>
          </cell>
          <cell r="BA47">
            <v>203471</v>
          </cell>
          <cell r="BB47">
            <v>68439</v>
          </cell>
          <cell r="BC47">
            <v>65327</v>
          </cell>
          <cell r="BD47">
            <v>72942</v>
          </cell>
          <cell r="BE47">
            <v>206708</v>
          </cell>
          <cell r="BF47">
            <v>69699</v>
          </cell>
          <cell r="BG47">
            <v>70356</v>
          </cell>
          <cell r="BH47">
            <v>71735</v>
          </cell>
          <cell r="BI47">
            <v>211790</v>
          </cell>
          <cell r="BJ47">
            <v>71909</v>
          </cell>
          <cell r="BK47">
            <v>73156</v>
          </cell>
          <cell r="BL47">
            <v>70218</v>
          </cell>
          <cell r="BM47">
            <v>215283</v>
          </cell>
        </row>
        <row r="48">
          <cell r="A48" t="str">
            <v xml:space="preserve">  % Change</v>
          </cell>
          <cell r="B48" t="str">
            <v>--</v>
          </cell>
          <cell r="C48" t="str">
            <v>--</v>
          </cell>
          <cell r="D48" t="str">
            <v>--</v>
          </cell>
          <cell r="E48" t="str">
            <v>--</v>
          </cell>
          <cell r="F48" t="str">
            <v>--</v>
          </cell>
          <cell r="G48" t="str">
            <v>--</v>
          </cell>
          <cell r="H48" t="str">
            <v>--</v>
          </cell>
          <cell r="I48" t="str">
            <v>--</v>
          </cell>
          <cell r="J48" t="str">
            <v>--</v>
          </cell>
          <cell r="K48" t="str">
            <v>--</v>
          </cell>
          <cell r="L48" t="str">
            <v>--</v>
          </cell>
          <cell r="M48" t="str">
            <v>--</v>
          </cell>
          <cell r="N48" t="str">
            <v>--</v>
          </cell>
          <cell r="O48" t="str">
            <v>--</v>
          </cell>
          <cell r="P48" t="str">
            <v>--</v>
          </cell>
          <cell r="Q48" t="str">
            <v>--</v>
          </cell>
          <cell r="R48">
            <v>0.32209293121190541</v>
          </cell>
          <cell r="S48">
            <v>0.31589924270036041</v>
          </cell>
          <cell r="T48">
            <v>0.38609196584713512</v>
          </cell>
          <cell r="U48">
            <v>0.34097749170162195</v>
          </cell>
          <cell r="V48">
            <v>0.39295680540816735</v>
          </cell>
          <cell r="W48">
            <v>0.37930390774081135</v>
          </cell>
          <cell r="X48">
            <v>0.2806228126562389</v>
          </cell>
          <cell r="Y48">
            <v>0.34815153898724716</v>
          </cell>
          <cell r="Z48">
            <v>0.23840152027335693</v>
          </cell>
          <cell r="AA48">
            <v>0.1171462224465758</v>
          </cell>
          <cell r="AB48">
            <v>8.800843940232439E-2</v>
          </cell>
          <cell r="AC48">
            <v>0.14593472534756757</v>
          </cell>
          <cell r="AD48">
            <v>8.7381355792798265E-2</v>
          </cell>
          <cell r="AE48">
            <v>-1.4528752870600403E-2</v>
          </cell>
          <cell r="AF48">
            <v>-3.9713109310665407E-2</v>
          </cell>
          <cell r="AG48">
            <v>1.0754780202557379E-2</v>
          </cell>
          <cell r="AH48">
            <v>-0.10143994731169925</v>
          </cell>
          <cell r="AI48">
            <v>-9.1095142105344196E-2</v>
          </cell>
          <cell r="AJ48">
            <v>-7.4483086194356618E-2</v>
          </cell>
          <cell r="AK48">
            <v>-8.894590442143735E-2</v>
          </cell>
          <cell r="AL48">
            <v>-8.5254366411782967E-2</v>
          </cell>
          <cell r="AM48">
            <v>-0.1130994451044377</v>
          </cell>
          <cell r="AN48">
            <v>-8.2138873396542134E-2</v>
          </cell>
          <cell r="AO48">
            <v>-9.3041161926533111E-2</v>
          </cell>
          <cell r="AP48">
            <v>-4.4884468970401659E-2</v>
          </cell>
          <cell r="AQ48">
            <v>3.0395228340764024E-2</v>
          </cell>
          <cell r="AR48">
            <v>6.8475513804778121E-2</v>
          </cell>
          <cell r="AS48">
            <v>1.6663368496897091E-2</v>
          </cell>
          <cell r="AT48">
            <v>4.9891835468889534E-2</v>
          </cell>
          <cell r="AU48">
            <v>6.6390830836543513E-2</v>
          </cell>
          <cell r="AV48">
            <v>0.15701936376210246</v>
          </cell>
          <cell r="AW48">
            <v>8.8587560954743738E-2</v>
          </cell>
          <cell r="AX48">
            <v>0.15675234462194543</v>
          </cell>
          <cell r="AY48">
            <v>8.0281713985812742E-2</v>
          </cell>
          <cell r="AZ48">
            <v>0.12618478661812582</v>
          </cell>
          <cell r="BA48">
            <v>0.12135507657714761</v>
          </cell>
          <cell r="BB48">
            <v>5.5522139453106911E-2</v>
          </cell>
          <cell r="BC48">
            <v>0.10765031028519112</v>
          </cell>
          <cell r="BD48">
            <v>0.10805268194868534</v>
          </cell>
          <cell r="BE48">
            <v>8.9967623888719039E-2</v>
          </cell>
          <cell r="BF48">
            <v>7.6731755545943248E-2</v>
          </cell>
          <cell r="BG48">
            <v>2.8446133606197854E-2</v>
          </cell>
          <cell r="BH48">
            <v>6.7151634161943363E-2</v>
          </cell>
          <cell r="BI48">
            <v>5.7031487849553031E-2</v>
          </cell>
          <cell r="BJ48">
            <v>3.6137807812567591E-2</v>
          </cell>
          <cell r="BK48">
            <v>8.7514308225185466E-2</v>
          </cell>
          <cell r="BL48">
            <v>4.9251367263381196E-2</v>
          </cell>
          <cell r="BM48">
            <v>5.7423670871153965E-2</v>
          </cell>
        </row>
        <row r="49">
          <cell r="A49" t="str">
            <v>41220:DIURETICS,POTASS-SPARING</v>
          </cell>
          <cell r="B49">
            <v>3004288</v>
          </cell>
          <cell r="C49">
            <v>2905857</v>
          </cell>
          <cell r="D49">
            <v>2968752</v>
          </cell>
          <cell r="E49">
            <v>8878897</v>
          </cell>
          <cell r="F49">
            <v>3046665</v>
          </cell>
          <cell r="G49">
            <v>2772374</v>
          </cell>
          <cell r="H49">
            <v>3080771</v>
          </cell>
          <cell r="I49">
            <v>8899810</v>
          </cell>
          <cell r="J49">
            <v>2974454</v>
          </cell>
          <cell r="K49">
            <v>3118829</v>
          </cell>
          <cell r="L49">
            <v>3011249</v>
          </cell>
          <cell r="M49">
            <v>9104532</v>
          </cell>
          <cell r="N49">
            <v>3080971</v>
          </cell>
          <cell r="O49">
            <v>3108626</v>
          </cell>
          <cell r="P49">
            <v>2859035</v>
          </cell>
          <cell r="Q49">
            <v>9048632</v>
          </cell>
          <cell r="R49">
            <v>3094489</v>
          </cell>
          <cell r="S49">
            <v>2941886</v>
          </cell>
          <cell r="T49">
            <v>3006308</v>
          </cell>
          <cell r="U49">
            <v>9042683</v>
          </cell>
          <cell r="V49">
            <v>3042005</v>
          </cell>
          <cell r="W49">
            <v>2775369</v>
          </cell>
          <cell r="X49">
            <v>2996070</v>
          </cell>
          <cell r="Y49">
            <v>8813444</v>
          </cell>
          <cell r="Z49">
            <v>3082858</v>
          </cell>
          <cell r="AA49">
            <v>3094930</v>
          </cell>
          <cell r="AB49">
            <v>2929297</v>
          </cell>
          <cell r="AC49">
            <v>9107085</v>
          </cell>
          <cell r="AD49">
            <v>3107194</v>
          </cell>
          <cell r="AE49">
            <v>3017416</v>
          </cell>
          <cell r="AF49">
            <v>2844005</v>
          </cell>
          <cell r="AG49">
            <v>8968615</v>
          </cell>
          <cell r="AH49">
            <v>2962330</v>
          </cell>
          <cell r="AI49">
            <v>2833215</v>
          </cell>
          <cell r="AJ49">
            <v>3043833</v>
          </cell>
          <cell r="AK49">
            <v>8839378</v>
          </cell>
          <cell r="AL49">
            <v>3019494</v>
          </cell>
          <cell r="AO49">
            <v>3019494</v>
          </cell>
          <cell r="AS49">
            <v>0</v>
          </cell>
          <cell r="AW49">
            <v>0</v>
          </cell>
          <cell r="BA49">
            <v>0</v>
          </cell>
          <cell r="BE49">
            <v>0</v>
          </cell>
          <cell r="BI49">
            <v>0</v>
          </cell>
          <cell r="BM49">
            <v>0</v>
          </cell>
        </row>
        <row r="50">
          <cell r="A50" t="str">
            <v>TRx Market Share</v>
          </cell>
          <cell r="B50">
            <v>1.6819958672404243E-2</v>
          </cell>
          <cell r="C50">
            <v>1.6995330465332602E-2</v>
          </cell>
          <cell r="D50">
            <v>1.6372199496623496E-2</v>
          </cell>
          <cell r="E50">
            <v>1.6727640831963701E-2</v>
          </cell>
          <cell r="F50">
            <v>1.6702197320676872E-2</v>
          </cell>
          <cell r="G50">
            <v>1.7390150102403211E-2</v>
          </cell>
          <cell r="H50">
            <v>1.8178566339400105E-2</v>
          </cell>
          <cell r="I50">
            <v>1.7427563060334997E-2</v>
          </cell>
          <cell r="J50">
            <v>1.839900701103463E-2</v>
          </cell>
          <cell r="K50">
            <v>1.9055228741300018E-2</v>
          </cell>
          <cell r="L50">
            <v>1.9202663081000607E-2</v>
          </cell>
          <cell r="M50">
            <v>1.8889603551286327E-2</v>
          </cell>
          <cell r="N50">
            <v>1.973111723544298E-2</v>
          </cell>
          <cell r="O50">
            <v>2.0591412411785786E-2</v>
          </cell>
          <cell r="P50">
            <v>2.1067248214869702E-2</v>
          </cell>
          <cell r="Q50">
            <v>2.0448836907059544E-2</v>
          </cell>
          <cell r="R50">
            <v>2.1589348031290465E-2</v>
          </cell>
          <cell r="S50">
            <v>2.2090250947861337E-2</v>
          </cell>
          <cell r="T50">
            <v>2.2409879493385243E-2</v>
          </cell>
          <cell r="U50">
            <v>2.2025100293795546E-2</v>
          </cell>
          <cell r="V50">
            <v>2.3301079386786019E-2</v>
          </cell>
          <cell r="W50">
            <v>2.3960417515652872E-2</v>
          </cell>
          <cell r="X50">
            <v>2.3938025480045526E-2</v>
          </cell>
          <cell r="Y50">
            <v>2.3725231589376412E-2</v>
          </cell>
          <cell r="Z50">
            <v>2.1984145880218939E-2</v>
          </cell>
          <cell r="AA50">
            <v>2.1451858361901562E-2</v>
          </cell>
          <cell r="AB50">
            <v>2.1477166705868335E-2</v>
          </cell>
          <cell r="AC50">
            <v>2.1640184537642944E-2</v>
          </cell>
          <cell r="AD50">
            <v>2.1274178567543579E-2</v>
          </cell>
          <cell r="AE50">
            <v>2.0905635815545488E-2</v>
          </cell>
          <cell r="AF50">
            <v>2.0337516987487717E-2</v>
          </cell>
          <cell r="AG50">
            <v>2.0853164061563574E-2</v>
          </cell>
          <cell r="AH50">
            <v>2.0264791566098308E-2</v>
          </cell>
          <cell r="AI50">
            <v>2.0848047183147062E-2</v>
          </cell>
          <cell r="AJ50">
            <v>2.0485026609541324E-2</v>
          </cell>
          <cell r="AK50">
            <v>2.0527575582806844E-2</v>
          </cell>
          <cell r="AL50">
            <v>2.1473465421689861E-2</v>
          </cell>
          <cell r="AO50">
            <v>6.2807212069306978E-2</v>
          </cell>
          <cell r="AS50" t="e">
            <v>#DIV/0!</v>
          </cell>
          <cell r="AW50" t="e">
            <v>#DIV/0!</v>
          </cell>
          <cell r="BA50" t="e">
            <v>#DIV/0!</v>
          </cell>
          <cell r="BE50" t="e">
            <v>#DIV/0!</v>
          </cell>
          <cell r="BI50" t="e">
            <v>#DIV/0!</v>
          </cell>
          <cell r="BM50" t="e">
            <v>#DIV/0!</v>
          </cell>
        </row>
        <row r="51">
          <cell r="A51" t="str">
            <v>TRx Market Growth</v>
          </cell>
          <cell r="B51" t="str">
            <v>--</v>
          </cell>
          <cell r="C51" t="str">
            <v>--</v>
          </cell>
          <cell r="D51" t="str">
            <v>--</v>
          </cell>
          <cell r="E51" t="str">
            <v>--</v>
          </cell>
          <cell r="F51" t="str">
            <v>--</v>
          </cell>
          <cell r="G51" t="str">
            <v>--</v>
          </cell>
          <cell r="H51" t="str">
            <v>--</v>
          </cell>
          <cell r="I51" t="str">
            <v>--</v>
          </cell>
          <cell r="J51" t="str">
            <v>--</v>
          </cell>
          <cell r="K51" t="str">
            <v>--</v>
          </cell>
          <cell r="L51" t="str">
            <v>--</v>
          </cell>
          <cell r="M51" t="str">
            <v>--</v>
          </cell>
          <cell r="N51" t="str">
            <v>--</v>
          </cell>
          <cell r="O51" t="str">
            <v>--</v>
          </cell>
          <cell r="P51" t="str">
            <v>--</v>
          </cell>
          <cell r="Q51" t="str">
            <v>--</v>
          </cell>
          <cell r="R51">
            <v>3.0024085573686632E-2</v>
          </cell>
          <cell r="S51">
            <v>1.2398751900041916E-2</v>
          </cell>
          <cell r="T51">
            <v>1.2650433582865883E-2</v>
          </cell>
          <cell r="U51">
            <v>1.844666066066547E-2</v>
          </cell>
          <cell r="V51">
            <v>-1.5295413181298789E-3</v>
          </cell>
          <cell r="W51">
            <v>1.0803015754727863E-3</v>
          </cell>
          <cell r="X51">
            <v>-2.7493442388285216E-2</v>
          </cell>
          <cell r="Y51">
            <v>-9.7042521132473247E-3</v>
          </cell>
          <cell r="Z51">
            <v>3.6445008058621831E-2</v>
          </cell>
          <cell r="AA51">
            <v>-7.6628119079308332E-3</v>
          </cell>
          <cell r="AB51">
            <v>-2.7215285086022445E-2</v>
          </cell>
          <cell r="AC51">
            <v>2.8040980030596963E-4</v>
          </cell>
          <cell r="AD51">
            <v>8.5112777757401226E-3</v>
          </cell>
          <cell r="AE51">
            <v>-2.9340937121416388E-2</v>
          </cell>
          <cell r="AF51">
            <v>-5.2570185394722468E-3</v>
          </cell>
          <cell r="AG51">
            <v>-8.842994167516105E-3</v>
          </cell>
          <cell r="AH51">
            <v>-4.2707859035853724E-2</v>
          </cell>
          <cell r="AI51">
            <v>-3.6939228780448974E-2</v>
          </cell>
          <cell r="AJ51">
            <v>1.2482087663672425E-2</v>
          </cell>
          <cell r="AK51">
            <v>-2.2482818428999463E-2</v>
          </cell>
          <cell r="AL51">
            <v>-7.4000535830809344E-3</v>
          </cell>
          <cell r="AO51">
            <v>-0.65739908258338065</v>
          </cell>
          <cell r="AS51">
            <v>-1</v>
          </cell>
          <cell r="AW51">
            <v>-1</v>
          </cell>
          <cell r="BA51">
            <v>-1</v>
          </cell>
          <cell r="BE51">
            <v>-1</v>
          </cell>
          <cell r="BI51" t="e">
            <v>#DIV/0!</v>
          </cell>
          <cell r="BM51" t="e">
            <v>#DIV/0!</v>
          </cell>
        </row>
        <row r="52">
          <cell r="A52" t="str">
            <v>NRx</v>
          </cell>
          <cell r="B52">
            <v>20751</v>
          </cell>
          <cell r="C52">
            <v>20275</v>
          </cell>
          <cell r="D52">
            <v>18675</v>
          </cell>
          <cell r="E52">
            <v>59701</v>
          </cell>
          <cell r="F52">
            <v>21168</v>
          </cell>
          <cell r="G52">
            <v>20395</v>
          </cell>
          <cell r="H52">
            <v>23674</v>
          </cell>
          <cell r="I52">
            <v>65237</v>
          </cell>
          <cell r="J52">
            <v>22659</v>
          </cell>
          <cell r="K52">
            <v>24298</v>
          </cell>
          <cell r="L52">
            <v>23156</v>
          </cell>
          <cell r="M52">
            <v>70113</v>
          </cell>
          <cell r="N52">
            <v>23338</v>
          </cell>
          <cell r="O52">
            <v>25470</v>
          </cell>
          <cell r="P52">
            <v>23146</v>
          </cell>
          <cell r="Q52">
            <v>71954</v>
          </cell>
          <cell r="R52">
            <v>26994</v>
          </cell>
          <cell r="S52">
            <v>25047</v>
          </cell>
          <cell r="T52">
            <v>24403</v>
          </cell>
          <cell r="U52">
            <v>76444</v>
          </cell>
          <cell r="V52">
            <v>28357</v>
          </cell>
          <cell r="W52">
            <v>26805</v>
          </cell>
          <cell r="X52">
            <v>28189</v>
          </cell>
          <cell r="Y52">
            <v>83351</v>
          </cell>
          <cell r="Z52">
            <v>26954</v>
          </cell>
          <cell r="AA52">
            <v>26285</v>
          </cell>
          <cell r="AB52">
            <v>25105</v>
          </cell>
          <cell r="AC52">
            <v>78344</v>
          </cell>
          <cell r="AD52">
            <v>25793</v>
          </cell>
          <cell r="AE52">
            <v>24661</v>
          </cell>
          <cell r="AF52">
            <v>22507</v>
          </cell>
          <cell r="AG52">
            <v>72961</v>
          </cell>
          <cell r="AH52">
            <v>23393</v>
          </cell>
          <cell r="AI52">
            <v>23055</v>
          </cell>
          <cell r="AJ52">
            <v>23708</v>
          </cell>
          <cell r="AK52">
            <v>70156</v>
          </cell>
          <cell r="AL52">
            <v>25342</v>
          </cell>
          <cell r="AM52">
            <v>22522</v>
          </cell>
          <cell r="AN52">
            <v>25377</v>
          </cell>
          <cell r="AO52">
            <v>73241</v>
          </cell>
          <cell r="AP52">
            <v>24828</v>
          </cell>
          <cell r="AQ52">
            <v>26298</v>
          </cell>
          <cell r="AR52">
            <v>25530</v>
          </cell>
          <cell r="AS52">
            <v>76656</v>
          </cell>
          <cell r="AT52">
            <v>26537</v>
          </cell>
          <cell r="AU52">
            <v>25366</v>
          </cell>
          <cell r="AV52">
            <v>25389</v>
          </cell>
          <cell r="AW52">
            <v>77292</v>
          </cell>
          <cell r="AX52">
            <v>26281</v>
          </cell>
          <cell r="AY52">
            <v>23475</v>
          </cell>
          <cell r="AZ52">
            <v>25421</v>
          </cell>
          <cell r="BA52">
            <v>75177</v>
          </cell>
          <cell r="BB52">
            <v>26102</v>
          </cell>
          <cell r="BC52">
            <v>24897</v>
          </cell>
          <cell r="BD52">
            <v>28034</v>
          </cell>
          <cell r="BE52">
            <v>79033</v>
          </cell>
          <cell r="BF52">
            <v>26176</v>
          </cell>
          <cell r="BG52">
            <v>25936</v>
          </cell>
          <cell r="BH52">
            <v>26805</v>
          </cell>
          <cell r="BI52">
            <v>78917</v>
          </cell>
          <cell r="BJ52">
            <v>26451</v>
          </cell>
          <cell r="BK52">
            <v>27281</v>
          </cell>
          <cell r="BL52">
            <v>26192</v>
          </cell>
          <cell r="BM52">
            <v>79924</v>
          </cell>
        </row>
        <row r="53">
          <cell r="A53" t="str">
            <v xml:space="preserve">  % Change</v>
          </cell>
          <cell r="B53" t="str">
            <v>--</v>
          </cell>
          <cell r="C53" t="str">
            <v>--</v>
          </cell>
          <cell r="D53" t="str">
            <v>--</v>
          </cell>
          <cell r="E53" t="str">
            <v>--</v>
          </cell>
          <cell r="F53" t="str">
            <v>--</v>
          </cell>
          <cell r="G53" t="str">
            <v>--</v>
          </cell>
          <cell r="H53" t="str">
            <v>--</v>
          </cell>
          <cell r="I53" t="str">
            <v>--</v>
          </cell>
          <cell r="J53" t="str">
            <v>--</v>
          </cell>
          <cell r="K53" t="str">
            <v>--</v>
          </cell>
          <cell r="L53" t="str">
            <v>--</v>
          </cell>
          <cell r="M53" t="str">
            <v>--</v>
          </cell>
          <cell r="N53" t="str">
            <v>--</v>
          </cell>
          <cell r="O53" t="str">
            <v>--</v>
          </cell>
          <cell r="P53" t="str">
            <v>--</v>
          </cell>
          <cell r="Q53" t="str">
            <v>--</v>
          </cell>
          <cell r="R53">
            <v>0.30085297094115937</v>
          </cell>
          <cell r="S53">
            <v>0.23536374845869301</v>
          </cell>
          <cell r="T53">
            <v>0.30672021419009377</v>
          </cell>
          <cell r="U53">
            <v>0.28044756369240043</v>
          </cell>
          <cell r="V53">
            <v>0.33961640211640209</v>
          </cell>
          <cell r="W53">
            <v>0.31429271880362841</v>
          </cell>
          <cell r="X53">
            <v>0.19071555292726194</v>
          </cell>
          <cell r="Y53">
            <v>0.27766451553566229</v>
          </cell>
          <cell r="Z53">
            <v>0.18954940641687634</v>
          </cell>
          <cell r="AA53">
            <v>8.1776277882953385E-2</v>
          </cell>
          <cell r="AB53">
            <v>8.4168250129555977E-2</v>
          </cell>
          <cell r="AC53">
            <v>0.11739620327186118</v>
          </cell>
          <cell r="AD53">
            <v>0.10519324706487265</v>
          </cell>
          <cell r="AE53">
            <v>-3.1762858264625105E-2</v>
          </cell>
          <cell r="AF53">
            <v>-2.7607361963190136E-2</v>
          </cell>
          <cell r="AG53">
            <v>1.3995052394585539E-2</v>
          </cell>
          <cell r="AH53">
            <v>-0.1334000148181077</v>
          </cell>
          <cell r="AI53">
            <v>-7.953048269253804E-2</v>
          </cell>
          <cell r="AJ53">
            <v>-2.848010490513464E-2</v>
          </cell>
          <cell r="AK53">
            <v>-8.2256292187745328E-2</v>
          </cell>
          <cell r="AL53">
            <v>-0.10632295376802903</v>
          </cell>
          <cell r="AM53">
            <v>-0.15978362245849653</v>
          </cell>
          <cell r="AN53">
            <v>-9.9755223668806958E-2</v>
          </cell>
          <cell r="AO53">
            <v>-0.12129428561145039</v>
          </cell>
          <cell r="AP53">
            <v>-7.8875120575795821E-2</v>
          </cell>
          <cell r="AQ53">
            <v>4.9457865702873249E-4</v>
          </cell>
          <cell r="AR53">
            <v>1.6928898625771849E-2</v>
          </cell>
          <cell r="AS53">
            <v>-2.1546002246502605E-2</v>
          </cell>
          <cell r="AT53">
            <v>2.8845035474741154E-2</v>
          </cell>
          <cell r="AU53">
            <v>2.8587648513847874E-2</v>
          </cell>
          <cell r="AV53">
            <v>0.12804905140622913</v>
          </cell>
          <cell r="AW53">
            <v>5.9360480256575476E-2</v>
          </cell>
          <cell r="AX53">
            <v>0.12345573462146797</v>
          </cell>
          <cell r="AY53">
            <v>1.8217306441119074E-2</v>
          </cell>
          <cell r="AZ53">
            <v>7.2254091445925317E-2</v>
          </cell>
          <cell r="BA53">
            <v>7.1569074633673457E-2</v>
          </cell>
          <cell r="BB53">
            <v>2.9989740351984873E-2</v>
          </cell>
          <cell r="BC53">
            <v>0.10545244649675878</v>
          </cell>
          <cell r="BD53">
            <v>0.10470110730188753</v>
          </cell>
          <cell r="BE53">
            <v>7.9081388839584488E-2</v>
          </cell>
          <cell r="BF53">
            <v>5.4293539552118686E-2</v>
          </cell>
          <cell r="BG53">
            <v>-1.3765305346414181E-2</v>
          </cell>
          <cell r="BH53">
            <v>4.9941245593419614E-2</v>
          </cell>
          <cell r="BI53">
            <v>2.9495408056773087E-2</v>
          </cell>
          <cell r="BJ53">
            <v>-3.2407581866827906E-3</v>
          </cell>
          <cell r="BK53">
            <v>7.5494756761018689E-2</v>
          </cell>
          <cell r="BL53">
            <v>3.1627870337547659E-2</v>
          </cell>
          <cell r="BM53">
            <v>3.4052683330745737E-2</v>
          </cell>
        </row>
        <row r="54">
          <cell r="A54" t="str">
            <v>Sales (IMS)</v>
          </cell>
          <cell r="B54">
            <v>1.4415309999999999</v>
          </cell>
          <cell r="C54">
            <v>1.10171</v>
          </cell>
          <cell r="D54">
            <v>1.869429</v>
          </cell>
          <cell r="E54">
            <v>4.4126700000000003</v>
          </cell>
          <cell r="F54">
            <v>1.506515</v>
          </cell>
          <cell r="G54">
            <v>1.451298</v>
          </cell>
          <cell r="H54">
            <v>2.0859290000000001</v>
          </cell>
          <cell r="I54">
            <v>5.0437419999999999</v>
          </cell>
          <cell r="J54">
            <v>1.7134879999999999</v>
          </cell>
          <cell r="K54">
            <v>1.7080919999999999</v>
          </cell>
          <cell r="L54">
            <v>2.1303070000000002</v>
          </cell>
          <cell r="M54">
            <v>5.5518869999999998</v>
          </cell>
          <cell r="N54">
            <v>1.742432</v>
          </cell>
          <cell r="O54">
            <v>1.8187990000000001</v>
          </cell>
          <cell r="P54">
            <v>2.2966319999999998</v>
          </cell>
          <cell r="Q54">
            <v>5.857863</v>
          </cell>
          <cell r="R54">
            <v>1.965497</v>
          </cell>
          <cell r="S54">
            <v>2.5228000000000002</v>
          </cell>
          <cell r="T54">
            <v>2.5629520000000001</v>
          </cell>
          <cell r="U54">
            <v>7.0512490000000003</v>
          </cell>
          <cell r="V54">
            <v>2.2562449999999998</v>
          </cell>
          <cell r="W54">
            <v>2.25684</v>
          </cell>
          <cell r="X54">
            <v>2.330158</v>
          </cell>
          <cell r="Y54">
            <v>6.8432430000000002</v>
          </cell>
          <cell r="Z54">
            <v>1.792378</v>
          </cell>
          <cell r="AA54">
            <v>1.7190479999999999</v>
          </cell>
          <cell r="AB54">
            <v>2.2825220000000002</v>
          </cell>
          <cell r="AC54">
            <v>5.7939480000000003</v>
          </cell>
          <cell r="AD54">
            <v>1.4061589999999999</v>
          </cell>
          <cell r="AE54">
            <v>1.687762</v>
          </cell>
          <cell r="AF54">
            <v>1.9586110000000001</v>
          </cell>
          <cell r="AG54">
            <v>5.0525320000000002</v>
          </cell>
          <cell r="AH54">
            <v>1.5622879999999999</v>
          </cell>
          <cell r="AI54">
            <v>1.6002430000000001</v>
          </cell>
          <cell r="AJ54">
            <v>2.0826530000000001</v>
          </cell>
          <cell r="AK54">
            <v>5.2451840000000001</v>
          </cell>
          <cell r="AL54">
            <v>1.6672469999999999</v>
          </cell>
          <cell r="AM54">
            <v>1.72078</v>
          </cell>
          <cell r="AN54">
            <v>2.1490719999999999</v>
          </cell>
          <cell r="AO54">
            <v>5.5370989999999995</v>
          </cell>
          <cell r="AP54">
            <v>1.9629730000000001</v>
          </cell>
          <cell r="AQ54">
            <v>2.0774710000000001</v>
          </cell>
          <cell r="AR54">
            <v>2.6895449999999999</v>
          </cell>
          <cell r="AS54">
            <v>6.7299889999999998</v>
          </cell>
          <cell r="AT54">
            <v>2.0783510000000001</v>
          </cell>
          <cell r="AU54">
            <v>2.0585900000000001</v>
          </cell>
          <cell r="AV54">
            <v>2.4266779999999999</v>
          </cell>
          <cell r="AW54">
            <v>6.5636190000000001</v>
          </cell>
          <cell r="AX54">
            <v>1.900412</v>
          </cell>
          <cell r="AY54">
            <v>2.1930079999999998</v>
          </cell>
          <cell r="AZ54">
            <v>2.6331180000000001</v>
          </cell>
          <cell r="BA54">
            <v>6.7265379999999997</v>
          </cell>
          <cell r="BB54">
            <v>2.0835279999999998</v>
          </cell>
          <cell r="BC54">
            <v>2.1452849999999999</v>
          </cell>
          <cell r="BD54">
            <v>2.6971530000000001</v>
          </cell>
          <cell r="BE54">
            <v>6.9259659999999998</v>
          </cell>
          <cell r="BF54">
            <v>2.142963</v>
          </cell>
          <cell r="BG54">
            <v>2.2815400000000001</v>
          </cell>
          <cell r="BH54">
            <v>2.831172</v>
          </cell>
          <cell r="BI54">
            <v>7.2556750000000001</v>
          </cell>
          <cell r="BJ54">
            <v>2.2548650000000001</v>
          </cell>
          <cell r="BK54">
            <v>2.2227329999999998</v>
          </cell>
        </row>
        <row r="55">
          <cell r="A55" t="str">
            <v xml:space="preserve">  % Change</v>
          </cell>
          <cell r="Y55">
            <v>0.3567789549901641</v>
          </cell>
          <cell r="Z55">
            <v>4.6040590888293487E-2</v>
          </cell>
          <cell r="AA55">
            <v>6.4141744121510857E-3</v>
          </cell>
          <cell r="AB55">
            <v>7.1452142813218877E-2</v>
          </cell>
          <cell r="AC55">
            <v>4.359977067256593E-2</v>
          </cell>
          <cell r="AD55">
            <v>-0.19299060164184312</v>
          </cell>
          <cell r="AE55">
            <v>-7.2045894021274481E-2</v>
          </cell>
          <cell r="AF55">
            <v>-0.14718117660992258</v>
          </cell>
          <cell r="AG55">
            <v>-0.13747863341972999</v>
          </cell>
          <cell r="AH55">
            <v>-0.20514353367112748</v>
          </cell>
          <cell r="AI55">
            <v>-0.36568772792135718</v>
          </cell>
          <cell r="AJ55">
            <v>-0.1874007004423025</v>
          </cell>
          <cell r="AK55">
            <v>-0.25613405511562559</v>
          </cell>
          <cell r="AL55">
            <v>-0.26105232366165909</v>
          </cell>
          <cell r="AM55">
            <v>-0.2375268073944099</v>
          </cell>
          <cell r="AN55">
            <v>-7.7714043425381463E-2</v>
          </cell>
          <cell r="AO55">
            <v>-0.19086623111293877</v>
          </cell>
          <cell r="AP55">
            <v>9.517802606369874E-2</v>
          </cell>
          <cell r="AQ55">
            <v>0.20850086792224554</v>
          </cell>
          <cell r="AR55">
            <v>0.17832161091985088</v>
          </cell>
          <cell r="AS55">
            <v>0.16155495354808136</v>
          </cell>
          <cell r="AT55">
            <v>0.47803413411996809</v>
          </cell>
          <cell r="AU55">
            <v>0.21971581301155041</v>
          </cell>
          <cell r="AV55">
            <v>0.23897905199143676</v>
          </cell>
          <cell r="AW55">
            <v>0.29907519635699487</v>
          </cell>
          <cell r="AX55">
            <v>0.21642872504941479</v>
          </cell>
          <cell r="AY55">
            <v>0.37042186717892212</v>
          </cell>
          <cell r="AZ55">
            <v>0.26430951291453741</v>
          </cell>
          <cell r="BA55">
            <v>0.28242174154424315</v>
          </cell>
          <cell r="BB55">
            <v>0.24968166084569354</v>
          </cell>
          <cell r="BC55">
            <v>0.24669335998791242</v>
          </cell>
          <cell r="BD55">
            <v>0.25503147405019488</v>
          </cell>
          <cell r="BE55">
            <v>0.25082936028414893</v>
          </cell>
          <cell r="BF55">
            <v>9.1692550024885744E-2</v>
          </cell>
          <cell r="BG55">
            <v>9.8229530039167789E-2</v>
          </cell>
          <cell r="BH55">
            <v>5.2658349274691485E-2</v>
          </cell>
          <cell r="BI55">
            <v>7.8110974624178375E-2</v>
          </cell>
          <cell r="BJ55">
            <v>8.4929831390366806E-2</v>
          </cell>
          <cell r="BK55">
            <v>7.9735644300224839E-2</v>
          </cell>
        </row>
        <row r="57">
          <cell r="A57" t="str">
            <v>LORAZEPAM</v>
          </cell>
        </row>
        <row r="58">
          <cell r="A58" t="str">
            <v>TRx</v>
          </cell>
          <cell r="R58">
            <v>339951</v>
          </cell>
          <cell r="S58">
            <v>321995</v>
          </cell>
          <cell r="T58">
            <v>330879</v>
          </cell>
          <cell r="U58">
            <v>992825</v>
          </cell>
          <cell r="V58">
            <v>351872</v>
          </cell>
          <cell r="W58">
            <v>315916</v>
          </cell>
          <cell r="X58">
            <v>343978</v>
          </cell>
          <cell r="Y58">
            <v>1011766</v>
          </cell>
          <cell r="Z58">
            <v>345364</v>
          </cell>
          <cell r="AA58">
            <v>348485</v>
          </cell>
          <cell r="AB58">
            <v>327322</v>
          </cell>
          <cell r="AC58">
            <v>1021171</v>
          </cell>
          <cell r="AD58">
            <v>352280</v>
          </cell>
          <cell r="AE58">
            <v>351667</v>
          </cell>
          <cell r="AF58">
            <v>339067</v>
          </cell>
          <cell r="AG58">
            <v>1043014</v>
          </cell>
          <cell r="AH58">
            <v>362369</v>
          </cell>
          <cell r="AI58">
            <v>349310</v>
          </cell>
          <cell r="AJ58">
            <v>367926</v>
          </cell>
          <cell r="AK58">
            <v>1079605</v>
          </cell>
          <cell r="AL58">
            <v>363537</v>
          </cell>
          <cell r="AM58">
            <v>332160</v>
          </cell>
          <cell r="AN58">
            <v>357308</v>
          </cell>
          <cell r="AO58">
            <v>1053005</v>
          </cell>
          <cell r="AP58">
            <v>347360</v>
          </cell>
          <cell r="AQ58">
            <v>358881</v>
          </cell>
          <cell r="AR58">
            <v>352960</v>
          </cell>
          <cell r="AS58">
            <v>1059201</v>
          </cell>
          <cell r="AT58">
            <v>364418</v>
          </cell>
          <cell r="AU58">
            <v>356604</v>
          </cell>
          <cell r="AV58">
            <v>372188</v>
          </cell>
          <cell r="AW58">
            <v>1093210</v>
          </cell>
          <cell r="AX58">
            <v>394342</v>
          </cell>
          <cell r="AY58">
            <v>359178</v>
          </cell>
          <cell r="AZ58">
            <v>394354</v>
          </cell>
          <cell r="BA58">
            <v>1147874</v>
          </cell>
          <cell r="BB58">
            <v>382072</v>
          </cell>
          <cell r="BC58">
            <v>357273</v>
          </cell>
          <cell r="BD58">
            <v>396761</v>
          </cell>
          <cell r="BE58">
            <v>1136106</v>
          </cell>
          <cell r="BF58">
            <v>374650</v>
          </cell>
          <cell r="BG58">
            <v>357296</v>
          </cell>
          <cell r="BH58">
            <v>363074</v>
          </cell>
          <cell r="BI58">
            <v>1095020</v>
          </cell>
          <cell r="BJ58">
            <v>364223</v>
          </cell>
          <cell r="BK58">
            <v>376949</v>
          </cell>
          <cell r="BL58">
            <v>369358</v>
          </cell>
          <cell r="BM58">
            <v>1110530</v>
          </cell>
        </row>
        <row r="59">
          <cell r="A59" t="str">
            <v xml:space="preserve">  % Change</v>
          </cell>
          <cell r="AH59">
            <v>6.5944797926760002E-2</v>
          </cell>
          <cell r="AI59">
            <v>8.4830509790524644E-2</v>
          </cell>
          <cell r="AJ59">
            <v>0.11196540124939935</v>
          </cell>
          <cell r="AK59">
            <v>8.740714627451962E-2</v>
          </cell>
          <cell r="AL59">
            <v>3.3151259548926948E-2</v>
          </cell>
          <cell r="AM59">
            <v>5.1418731561554409E-2</v>
          </cell>
          <cell r="AN59">
            <v>3.8752478356173903E-2</v>
          </cell>
          <cell r="AO59">
            <v>4.0759424610038231E-2</v>
          </cell>
          <cell r="AP59">
            <v>5.7794095505032672E-3</v>
          </cell>
          <cell r="AQ59">
            <v>2.9831987029570906E-2</v>
          </cell>
          <cell r="AR59">
            <v>7.832654083746271E-2</v>
          </cell>
          <cell r="AS59">
            <v>3.724155895535608E-2</v>
          </cell>
          <cell r="AT59">
            <v>3.4455546724196706E-2</v>
          </cell>
          <cell r="AU59">
            <v>1.4038849252275609E-2</v>
          </cell>
          <cell r="AV59">
            <v>9.7682758864767072E-2</v>
          </cell>
          <cell r="AW59">
            <v>4.8125912020356321E-2</v>
          </cell>
          <cell r="AX59">
            <v>8.8233264986795179E-2</v>
          </cell>
          <cell r="AY59">
            <v>2.8249978529100161E-2</v>
          </cell>
          <cell r="AZ59">
            <v>7.1829661399303024E-2</v>
          </cell>
          <cell r="BA59">
            <v>6.3235164713020042E-2</v>
          </cell>
          <cell r="BB59">
            <v>5.0985181700899718E-2</v>
          </cell>
          <cell r="BC59">
            <v>7.560513005780356E-2</v>
          </cell>
          <cell r="BD59">
            <v>0.11041734302058726</v>
          </cell>
          <cell r="BE59">
            <v>7.8917953855869527E-2</v>
          </cell>
          <cell r="BF59">
            <v>7.8564025794564785E-2</v>
          </cell>
          <cell r="BG59">
            <v>-4.4165057498167792E-3</v>
          </cell>
          <cell r="BH59">
            <v>2.8654805077062528E-2</v>
          </cell>
          <cell r="BI59">
            <v>3.3816999795128533E-2</v>
          </cell>
          <cell r="BJ59">
            <v>-5.3509980297350435E-4</v>
          </cell>
          <cell r="BK59">
            <v>5.7052080178573439E-2</v>
          </cell>
          <cell r="BL59">
            <v>-7.603684159618207E-3</v>
          </cell>
          <cell r="BM59">
            <v>1.5843250610587223E-2</v>
          </cell>
        </row>
        <row r="60">
          <cell r="A60" t="str">
            <v>NRx</v>
          </cell>
          <cell r="R60">
            <v>206559</v>
          </cell>
          <cell r="S60">
            <v>192483</v>
          </cell>
          <cell r="T60">
            <v>193530</v>
          </cell>
          <cell r="U60">
            <v>592572</v>
          </cell>
          <cell r="V60">
            <v>212294</v>
          </cell>
          <cell r="W60">
            <v>190219</v>
          </cell>
          <cell r="X60">
            <v>203862</v>
          </cell>
          <cell r="Y60">
            <v>606375</v>
          </cell>
          <cell r="Z60">
            <v>207002</v>
          </cell>
          <cell r="AA60">
            <v>210823</v>
          </cell>
          <cell r="AB60">
            <v>195771</v>
          </cell>
          <cell r="AC60">
            <v>613596</v>
          </cell>
          <cell r="AD60">
            <v>212658</v>
          </cell>
          <cell r="AE60">
            <v>214425</v>
          </cell>
          <cell r="AF60">
            <v>205833</v>
          </cell>
          <cell r="AG60">
            <v>632916</v>
          </cell>
          <cell r="AH60">
            <v>218502</v>
          </cell>
          <cell r="AI60">
            <v>208748</v>
          </cell>
          <cell r="AJ60">
            <v>217020</v>
          </cell>
          <cell r="AK60">
            <v>644270</v>
          </cell>
          <cell r="AL60">
            <v>221973</v>
          </cell>
          <cell r="AM60">
            <v>201814</v>
          </cell>
          <cell r="AN60">
            <v>215320</v>
          </cell>
          <cell r="AO60">
            <v>639107</v>
          </cell>
          <cell r="AP60">
            <v>209889</v>
          </cell>
          <cell r="AQ60">
            <v>215041</v>
          </cell>
          <cell r="AR60">
            <v>211675</v>
          </cell>
          <cell r="AS60">
            <v>636605</v>
          </cell>
          <cell r="AT60">
            <v>219296</v>
          </cell>
          <cell r="AU60">
            <v>216339</v>
          </cell>
          <cell r="AV60">
            <v>228132</v>
          </cell>
          <cell r="AW60">
            <v>663767</v>
          </cell>
          <cell r="AX60">
            <v>241855</v>
          </cell>
          <cell r="AY60">
            <v>215394</v>
          </cell>
          <cell r="AZ60">
            <v>236235</v>
          </cell>
          <cell r="BA60">
            <v>693484</v>
          </cell>
          <cell r="BB60">
            <v>233959</v>
          </cell>
          <cell r="BC60">
            <v>218507</v>
          </cell>
          <cell r="BD60">
            <v>243944</v>
          </cell>
          <cell r="BE60">
            <v>696410</v>
          </cell>
          <cell r="BF60">
            <v>228197</v>
          </cell>
          <cell r="BG60">
            <v>216689</v>
          </cell>
          <cell r="BH60">
            <v>222877</v>
          </cell>
          <cell r="BI60">
            <v>667763</v>
          </cell>
          <cell r="BJ60">
            <v>224181</v>
          </cell>
          <cell r="BK60">
            <v>233376</v>
          </cell>
          <cell r="BL60">
            <v>230588</v>
          </cell>
          <cell r="BM60">
            <v>688145</v>
          </cell>
        </row>
        <row r="61">
          <cell r="A61" t="str">
            <v xml:space="preserve">  % Change</v>
          </cell>
          <cell r="AH61">
            <v>5.7818831423467332E-2</v>
          </cell>
          <cell r="AI61">
            <v>8.450096891673553E-2</v>
          </cell>
          <cell r="AJ61">
            <v>0.1213765307704231</v>
          </cell>
          <cell r="AK61">
            <v>8.7243406708383153E-2</v>
          </cell>
          <cell r="AL61">
            <v>4.5592433135180466E-2</v>
          </cell>
          <cell r="AM61">
            <v>6.0956055914498597E-2</v>
          </cell>
          <cell r="AN61">
            <v>5.6204687484671112E-2</v>
          </cell>
          <cell r="AO61">
            <v>5.3979797979798017E-2</v>
          </cell>
          <cell r="AP61">
            <v>1.3946725152413908E-2</v>
          </cell>
          <cell r="AQ61">
            <v>2.0007304705843332E-2</v>
          </cell>
          <cell r="AR61">
            <v>8.1237772703822264E-2</v>
          </cell>
          <cell r="AS61">
            <v>3.7498614723694423E-2</v>
          </cell>
          <cell r="AT61">
            <v>3.1214438205945605E-2</v>
          </cell>
          <cell r="AU61">
            <v>8.9261979713186612E-3</v>
          </cell>
          <cell r="AV61">
            <v>0.10833539811400494</v>
          </cell>
          <cell r="AW61">
            <v>4.8744225142040909E-2</v>
          </cell>
          <cell r="AX61">
            <v>0.10687774024951713</v>
          </cell>
          <cell r="AY61">
            <v>3.1837430777780007E-2</v>
          </cell>
          <cell r="AZ61">
            <v>8.8540226707215952E-2</v>
          </cell>
          <cell r="BA61">
            <v>7.6387228956803721E-2</v>
          </cell>
          <cell r="BB61">
            <v>5.3997558261590362E-2</v>
          </cell>
          <cell r="BC61">
            <v>8.271477697285623E-2</v>
          </cell>
          <cell r="BD61">
            <v>0.13293702396433216</v>
          </cell>
          <cell r="BE61">
            <v>8.9661042673605529E-2</v>
          </cell>
          <cell r="BF61">
            <v>8.7227058111668532E-2</v>
          </cell>
          <cell r="BG61">
            <v>7.6636548379145353E-3</v>
          </cell>
          <cell r="BH61">
            <v>5.2920751151529499E-2</v>
          </cell>
          <cell r="BI61">
            <v>4.894400766566398E-2</v>
          </cell>
          <cell r="BJ61">
            <v>2.22758281044797E-2</v>
          </cell>
          <cell r="BK61">
            <v>7.875140404642722E-2</v>
          </cell>
          <cell r="BL61">
            <v>1.0765697052583567E-2</v>
          </cell>
          <cell r="BM61">
            <v>3.6726742968541615E-2</v>
          </cell>
        </row>
        <row r="62">
          <cell r="A62" t="str">
            <v>Sales (IMS)</v>
          </cell>
          <cell r="R62">
            <v>2.6033080000000002</v>
          </cell>
          <cell r="S62">
            <v>2.5917849999999998</v>
          </cell>
          <cell r="T62">
            <v>3.340427</v>
          </cell>
          <cell r="U62">
            <v>8.53552</v>
          </cell>
          <cell r="V62">
            <v>1.840964</v>
          </cell>
          <cell r="W62">
            <v>1.76939</v>
          </cell>
          <cell r="X62">
            <v>2.3106949999999999</v>
          </cell>
          <cell r="Y62">
            <v>5.921049</v>
          </cell>
          <cell r="Z62">
            <v>1.6513279999999999</v>
          </cell>
          <cell r="AA62">
            <v>1.6858439999999999</v>
          </cell>
          <cell r="AB62">
            <v>2.1305890000000001</v>
          </cell>
          <cell r="AC62">
            <v>5.4677609999999994</v>
          </cell>
          <cell r="AD62">
            <v>1.4086639999999999</v>
          </cell>
          <cell r="AE62">
            <v>1.549075</v>
          </cell>
          <cell r="AF62">
            <v>2.0518649999999998</v>
          </cell>
          <cell r="AG62">
            <v>5.0096039999999995</v>
          </cell>
          <cell r="AH62">
            <v>1.5643739999999999</v>
          </cell>
          <cell r="AI62">
            <v>1.5061359999999999</v>
          </cell>
          <cell r="AJ62">
            <v>2.0670790000000001</v>
          </cell>
          <cell r="AK62">
            <v>5.1375890000000002</v>
          </cell>
          <cell r="AL62">
            <v>1.6636960000000001</v>
          </cell>
          <cell r="AM62">
            <v>1.7060010000000001</v>
          </cell>
          <cell r="AN62">
            <v>2.150954</v>
          </cell>
          <cell r="AO62">
            <v>5.5206510000000009</v>
          </cell>
          <cell r="AP62">
            <v>1.725333</v>
          </cell>
          <cell r="AQ62">
            <v>1.5973679999999999</v>
          </cell>
          <cell r="AR62">
            <v>2.033283</v>
          </cell>
          <cell r="AS62">
            <v>5.3559839999999994</v>
          </cell>
          <cell r="AT62">
            <v>1.472607</v>
          </cell>
          <cell r="AU62">
            <v>1.758426</v>
          </cell>
          <cell r="AV62">
            <v>1.951333</v>
          </cell>
          <cell r="AW62">
            <v>5.182366</v>
          </cell>
          <cell r="AX62">
            <v>1.499771</v>
          </cell>
          <cell r="AY62">
            <v>1.6143810000000001</v>
          </cell>
          <cell r="AZ62">
            <v>1.531485</v>
          </cell>
          <cell r="BA62">
            <v>4.6456369999999998</v>
          </cell>
          <cell r="BB62">
            <v>0.44647999999999999</v>
          </cell>
          <cell r="BC62">
            <v>0.98565599999999998</v>
          </cell>
          <cell r="BD62">
            <v>1.20248</v>
          </cell>
          <cell r="BE62">
            <v>2.6346159999999998</v>
          </cell>
          <cell r="BF62">
            <v>0.92222499999999996</v>
          </cell>
          <cell r="BG62">
            <v>0.94756099999999999</v>
          </cell>
          <cell r="BH62">
            <v>1.170661</v>
          </cell>
          <cell r="BI62">
            <v>3.0404469999999999</v>
          </cell>
          <cell r="BJ62">
            <v>1.0080199999999999</v>
          </cell>
          <cell r="BK62">
            <v>0.95350900000000005</v>
          </cell>
        </row>
        <row r="63">
          <cell r="A63" t="str">
            <v xml:space="preserve">  % Change</v>
          </cell>
          <cell r="AH63">
            <v>-0.39908224459034436</v>
          </cell>
          <cell r="AI63">
            <v>-0.41888080994372601</v>
          </cell>
          <cell r="AJ63">
            <v>-0.38119318278770942</v>
          </cell>
          <cell r="AK63">
            <v>-0.39809302772414568</v>
          </cell>
          <cell r="AL63">
            <v>-9.6290856312236439E-2</v>
          </cell>
          <cell r="AM63">
            <v>-3.5825340936706973E-2</v>
          </cell>
          <cell r="AN63">
            <v>-6.9131148853483482E-2</v>
          </cell>
          <cell r="AO63">
            <v>-6.7622814808659615E-2</v>
          </cell>
          <cell r="AP63">
            <v>4.4815445508100238E-2</v>
          </cell>
          <cell r="AQ63">
            <v>-5.2481724287656517E-2</v>
          </cell>
          <cell r="AR63">
            <v>-4.5670938881220202E-2</v>
          </cell>
          <cell r="AS63">
            <v>-2.0442919871589083E-2</v>
          </cell>
          <cell r="AT63">
            <v>4.5392655736215426E-2</v>
          </cell>
          <cell r="AU63">
            <v>0.13514581282378191</v>
          </cell>
          <cell r="AV63">
            <v>-4.8995426112341645E-2</v>
          </cell>
          <cell r="AW63">
            <v>3.4486158985820081E-2</v>
          </cell>
          <cell r="AX63">
            <v>-4.129639076077718E-2</v>
          </cell>
          <cell r="AY63">
            <v>7.1869339820574085E-2</v>
          </cell>
          <cell r="AZ63">
            <v>-0.25910669113275309</v>
          </cell>
          <cell r="BA63">
            <v>-9.5755421463258439E-2</v>
          </cell>
          <cell r="BB63">
            <v>-0.73163366384243278</v>
          </cell>
          <cell r="BC63">
            <v>-0.4222418392486289</v>
          </cell>
          <cell r="BD63">
            <v>-0.44095503669534541</v>
          </cell>
          <cell r="BE63">
            <v>-0.52277077467856614</v>
          </cell>
          <cell r="BF63">
            <v>-0.46547999719474442</v>
          </cell>
          <cell r="BG63">
            <v>-0.40679855862894454</v>
          </cell>
          <cell r="BH63">
            <v>-0.42425082981562334</v>
          </cell>
          <cell r="BI63">
            <v>-0.43232709433037886</v>
          </cell>
          <cell r="BJ63">
            <v>-0.31548607333796463</v>
          </cell>
          <cell r="BK63">
            <v>-0.45774857742094344</v>
          </cell>
        </row>
        <row r="65">
          <cell r="A65" t="str">
            <v>APAP/CD</v>
          </cell>
        </row>
        <row r="66">
          <cell r="A66" t="str">
            <v>TRx</v>
          </cell>
          <cell r="R66">
            <v>393662</v>
          </cell>
          <cell r="S66">
            <v>352404</v>
          </cell>
          <cell r="T66">
            <v>326814</v>
          </cell>
          <cell r="U66">
            <v>1072880</v>
          </cell>
          <cell r="V66">
            <v>360709</v>
          </cell>
          <cell r="W66">
            <v>331086</v>
          </cell>
          <cell r="X66">
            <v>352836</v>
          </cell>
          <cell r="Y66">
            <v>1044631</v>
          </cell>
          <cell r="Z66">
            <v>346712</v>
          </cell>
          <cell r="AA66">
            <v>320507</v>
          </cell>
          <cell r="AB66">
            <v>273252</v>
          </cell>
          <cell r="AC66">
            <v>940471</v>
          </cell>
          <cell r="AD66">
            <v>280898</v>
          </cell>
          <cell r="AE66">
            <v>273147</v>
          </cell>
          <cell r="AF66">
            <v>253496</v>
          </cell>
          <cell r="AG66">
            <v>807541</v>
          </cell>
          <cell r="AH66">
            <v>264498</v>
          </cell>
          <cell r="AI66">
            <v>251098</v>
          </cell>
          <cell r="AJ66">
            <v>255441</v>
          </cell>
          <cell r="AK66">
            <v>771037</v>
          </cell>
          <cell r="AL66">
            <v>260718</v>
          </cell>
          <cell r="AM66">
            <v>235590</v>
          </cell>
          <cell r="AN66">
            <v>255091</v>
          </cell>
          <cell r="AO66">
            <v>751399</v>
          </cell>
          <cell r="AP66">
            <v>249994</v>
          </cell>
          <cell r="AQ66">
            <v>252733</v>
          </cell>
          <cell r="AR66">
            <v>241785</v>
          </cell>
          <cell r="AS66">
            <v>744512</v>
          </cell>
          <cell r="AT66">
            <v>245964</v>
          </cell>
          <cell r="AU66">
            <v>233057</v>
          </cell>
          <cell r="AV66">
            <v>241860</v>
          </cell>
          <cell r="AW66">
            <v>720881</v>
          </cell>
          <cell r="AX66">
            <v>252177</v>
          </cell>
          <cell r="AY66">
            <v>226752</v>
          </cell>
          <cell r="AZ66">
            <v>246947</v>
          </cell>
          <cell r="BA66">
            <v>725876</v>
          </cell>
          <cell r="BB66">
            <v>243589</v>
          </cell>
          <cell r="BC66">
            <v>231756</v>
          </cell>
          <cell r="BD66">
            <v>262836</v>
          </cell>
          <cell r="BE66">
            <v>738181</v>
          </cell>
          <cell r="BF66">
            <v>249743</v>
          </cell>
          <cell r="BG66">
            <v>240198</v>
          </cell>
          <cell r="BH66">
            <v>243915</v>
          </cell>
          <cell r="BI66">
            <v>733856</v>
          </cell>
          <cell r="BJ66">
            <v>241334</v>
          </cell>
          <cell r="BK66">
            <v>243789</v>
          </cell>
          <cell r="BL66">
            <v>236340</v>
          </cell>
          <cell r="BM66">
            <v>721463</v>
          </cell>
        </row>
        <row r="67">
          <cell r="A67" t="str">
            <v xml:space="preserve">  % Change</v>
          </cell>
          <cell r="AH67">
            <v>-0.32810888528737847</v>
          </cell>
          <cell r="AI67">
            <v>-0.2874711978297636</v>
          </cell>
          <cell r="AJ67">
            <v>-0.21839027703831537</v>
          </cell>
          <cell r="AK67">
            <v>-0.28133901275072704</v>
          </cell>
          <cell r="AL67">
            <v>-0.27720683431796822</v>
          </cell>
          <cell r="AM67">
            <v>-0.28843261267465248</v>
          </cell>
          <cell r="AN67">
            <v>-0.27702672062941425</v>
          </cell>
          <cell r="AO67">
            <v>-0.28070390405798795</v>
          </cell>
          <cell r="AP67">
            <v>-0.27895775167862669</v>
          </cell>
          <cell r="AQ67">
            <v>-0.21145872009035682</v>
          </cell>
          <cell r="AR67">
            <v>-0.11515743709103687</v>
          </cell>
          <cell r="AS67">
            <v>-0.20836261830508329</v>
          </cell>
          <cell r="AT67">
            <v>-0.12436542802013539</v>
          </cell>
          <cell r="AU67">
            <v>-0.14677078642635655</v>
          </cell>
          <cell r="AV67">
            <v>-4.5902104964180901E-2</v>
          </cell>
          <cell r="AW67">
            <v>-0.10731343671714499</v>
          </cell>
          <cell r="AX67">
            <v>-4.6582582855068888E-2</v>
          </cell>
          <cell r="AY67">
            <v>-9.6958159762323914E-2</v>
          </cell>
          <cell r="AZ67">
            <v>-3.3252297007919651E-2</v>
          </cell>
          <cell r="BA67">
            <v>-5.8571767632422334E-2</v>
          </cell>
          <cell r="BB67">
            <v>-6.5699337982034201E-2</v>
          </cell>
          <cell r="BC67">
            <v>-1.6274035400483888E-2</v>
          </cell>
          <cell r="BD67">
            <v>3.0361714054984335E-2</v>
          </cell>
          <cell r="BE67">
            <v>-1.7591186573311934E-2</v>
          </cell>
          <cell r="BF67">
            <v>-1.0040240965782932E-3</v>
          </cell>
          <cell r="BG67">
            <v>-4.9597796884459089E-2</v>
          </cell>
          <cell r="BH67">
            <v>8.8094794962467748E-3</v>
          </cell>
          <cell r="BI67">
            <v>-1.4312731023811587E-2</v>
          </cell>
          <cell r="BJ67">
            <v>-1.882389292742026E-2</v>
          </cell>
          <cell r="BK67">
            <v>4.6048820674770452E-2</v>
          </cell>
          <cell r="BL67">
            <v>-2.2823120813693865E-2</v>
          </cell>
          <cell r="BM67">
            <v>8.0734545646232725E-4</v>
          </cell>
        </row>
        <row r="68">
          <cell r="A68" t="str">
            <v>NRx</v>
          </cell>
          <cell r="R68">
            <v>329075</v>
          </cell>
          <cell r="S68">
            <v>294083</v>
          </cell>
          <cell r="T68">
            <v>269998</v>
          </cell>
          <cell r="U68">
            <v>893156</v>
          </cell>
          <cell r="V68">
            <v>301430</v>
          </cell>
          <cell r="W68">
            <v>276193</v>
          </cell>
          <cell r="X68">
            <v>294203</v>
          </cell>
          <cell r="Y68">
            <v>871826</v>
          </cell>
          <cell r="Z68">
            <v>290378</v>
          </cell>
          <cell r="AA68">
            <v>269341</v>
          </cell>
          <cell r="AB68">
            <v>231050</v>
          </cell>
          <cell r="AC68">
            <v>790769</v>
          </cell>
          <cell r="AD68">
            <v>238926</v>
          </cell>
          <cell r="AE68">
            <v>233303</v>
          </cell>
          <cell r="AF68">
            <v>217721</v>
          </cell>
          <cell r="AG68">
            <v>689950</v>
          </cell>
          <cell r="AH68">
            <v>227838</v>
          </cell>
          <cell r="AI68">
            <v>216180</v>
          </cell>
          <cell r="AJ68">
            <v>218422</v>
          </cell>
          <cell r="AK68">
            <v>662440</v>
          </cell>
          <cell r="AL68">
            <v>227080</v>
          </cell>
          <cell r="AM68">
            <v>204498</v>
          </cell>
          <cell r="AN68">
            <v>220974</v>
          </cell>
          <cell r="AO68">
            <v>652552</v>
          </cell>
          <cell r="AP68">
            <v>216169</v>
          </cell>
          <cell r="AQ68">
            <v>217935</v>
          </cell>
          <cell r="AR68">
            <v>208829</v>
          </cell>
          <cell r="AS68">
            <v>642933</v>
          </cell>
          <cell r="AT68">
            <v>213150</v>
          </cell>
          <cell r="AU68">
            <v>202110</v>
          </cell>
          <cell r="AV68">
            <v>210250</v>
          </cell>
          <cell r="AW68">
            <v>625510</v>
          </cell>
          <cell r="AX68">
            <v>219178</v>
          </cell>
          <cell r="AY68">
            <v>195706</v>
          </cell>
          <cell r="AZ68">
            <v>213825</v>
          </cell>
          <cell r="BA68">
            <v>628709</v>
          </cell>
          <cell r="BB68">
            <v>211889</v>
          </cell>
          <cell r="BC68">
            <v>201970</v>
          </cell>
          <cell r="BD68">
            <v>228812</v>
          </cell>
          <cell r="BE68">
            <v>642671</v>
          </cell>
          <cell r="BF68">
            <v>217226</v>
          </cell>
          <cell r="BG68">
            <v>207556</v>
          </cell>
          <cell r="BH68">
            <v>212187</v>
          </cell>
          <cell r="BI68">
            <v>636969</v>
          </cell>
          <cell r="BJ68">
            <v>210100</v>
          </cell>
          <cell r="BK68">
            <v>212692</v>
          </cell>
          <cell r="BL68">
            <v>206381</v>
          </cell>
          <cell r="BM68">
            <v>629173</v>
          </cell>
        </row>
        <row r="69">
          <cell r="A69" t="str">
            <v xml:space="preserve">  % Change</v>
          </cell>
          <cell r="AH69">
            <v>-0.3076411152472841</v>
          </cell>
          <cell r="AI69">
            <v>-0.2649014053855544</v>
          </cell>
          <cell r="AJ69">
            <v>-0.19102363721212745</v>
          </cell>
          <cell r="AK69">
            <v>-0.25831545665034994</v>
          </cell>
          <cell r="AL69">
            <v>-0.24665759877915272</v>
          </cell>
          <cell r="AM69">
            <v>-0.25958297277628328</v>
          </cell>
          <cell r="AN69">
            <v>-0.24890636737218863</v>
          </cell>
          <cell r="AO69">
            <v>-0.25151119604141192</v>
          </cell>
          <cell r="AP69">
            <v>-0.25555999421443776</v>
          </cell>
          <cell r="AQ69">
            <v>-0.19085842853483126</v>
          </cell>
          <cell r="AR69">
            <v>-9.6173988314217751E-2</v>
          </cell>
          <cell r="AS69">
            <v>-0.18695219463585444</v>
          </cell>
          <cell r="AT69">
            <v>-0.10788277542000457</v>
          </cell>
          <cell r="AU69">
            <v>-0.13370166693098673</v>
          </cell>
          <cell r="AV69">
            <v>-3.4314558540517459E-2</v>
          </cell>
          <cell r="AW69">
            <v>-9.3398072324081483E-2</v>
          </cell>
          <cell r="AX69">
            <v>-3.8009462863964782E-2</v>
          </cell>
          <cell r="AY69">
            <v>-9.4708113609029532E-2</v>
          </cell>
          <cell r="AZ69">
            <v>-2.1046414738442043E-2</v>
          </cell>
          <cell r="BA69">
            <v>-5.0919328542962328E-2</v>
          </cell>
          <cell r="BB69">
            <v>-6.6897128765192937E-2</v>
          </cell>
          <cell r="BC69">
            <v>-1.2361979090260045E-2</v>
          </cell>
          <cell r="BD69">
            <v>3.5470236317394876E-2</v>
          </cell>
          <cell r="BE69">
            <v>-1.5142088293346734E-2</v>
          </cell>
          <cell r="BF69">
            <v>4.8896927866621809E-3</v>
          </cell>
          <cell r="BG69">
            <v>-4.7624291646591876E-2</v>
          </cell>
          <cell r="BH69">
            <v>1.6080142125854069E-2</v>
          </cell>
          <cell r="BI69">
            <v>-9.2762387371623234E-3</v>
          </cell>
          <cell r="BJ69">
            <v>-1.4309171944639876E-2</v>
          </cell>
          <cell r="BK69">
            <v>5.2357627034782972E-2</v>
          </cell>
          <cell r="BL69">
            <v>-1.8401902497027334E-2</v>
          </cell>
          <cell r="BM69">
            <v>5.8560214864671334E-3</v>
          </cell>
        </row>
        <row r="70">
          <cell r="A70" t="str">
            <v>Sales (IMS)</v>
          </cell>
          <cell r="R70">
            <v>1.87747</v>
          </cell>
          <cell r="S70">
            <v>1.592659</v>
          </cell>
          <cell r="T70">
            <v>1.8950549999999999</v>
          </cell>
          <cell r="U70">
            <v>5.3651840000000002</v>
          </cell>
          <cell r="V70">
            <v>1.772915</v>
          </cell>
          <cell r="W70">
            <v>1.7184349999999999</v>
          </cell>
          <cell r="X70">
            <v>2.1478090000000001</v>
          </cell>
          <cell r="Y70">
            <v>5.6391589999999994</v>
          </cell>
          <cell r="Z70">
            <v>1.5124359999999999</v>
          </cell>
          <cell r="AA70">
            <v>1.414172</v>
          </cell>
          <cell r="AB70">
            <v>1.583423</v>
          </cell>
          <cell r="AC70">
            <v>4.5100309999999997</v>
          </cell>
          <cell r="AD70">
            <v>1.340195</v>
          </cell>
          <cell r="AE70">
            <v>1.299858</v>
          </cell>
          <cell r="AF70">
            <v>1.586411</v>
          </cell>
          <cell r="AG70">
            <v>4.226464</v>
          </cell>
          <cell r="AH70">
            <v>1.3101739999999999</v>
          </cell>
          <cell r="AI70">
            <v>1.1536580000000001</v>
          </cell>
          <cell r="AJ70">
            <v>1.5759430000000001</v>
          </cell>
          <cell r="AK70">
            <v>4.0397750000000006</v>
          </cell>
          <cell r="AL70">
            <v>1.181878</v>
          </cell>
          <cell r="AM70">
            <v>1.210037</v>
          </cell>
          <cell r="AN70">
            <v>1.639311</v>
          </cell>
          <cell r="AO70">
            <v>4.0312260000000002</v>
          </cell>
          <cell r="AP70">
            <v>1.215082</v>
          </cell>
          <cell r="AQ70">
            <v>1.1847510000000001</v>
          </cell>
          <cell r="AR70">
            <v>1.4796480000000001</v>
          </cell>
          <cell r="AS70">
            <v>3.8794810000000002</v>
          </cell>
          <cell r="AT70">
            <v>0.69380399999999998</v>
          </cell>
          <cell r="AU70">
            <v>1.3954599999999999</v>
          </cell>
          <cell r="AV70">
            <v>1.470334</v>
          </cell>
          <cell r="AW70">
            <v>3.5595980000000003</v>
          </cell>
          <cell r="AX70">
            <v>0.65552100000000002</v>
          </cell>
          <cell r="AY70">
            <v>1.0112129999999999</v>
          </cell>
          <cell r="AZ70">
            <v>1.191829</v>
          </cell>
          <cell r="BA70">
            <v>2.8585630000000002</v>
          </cell>
          <cell r="BB70">
            <v>0.80056799999999995</v>
          </cell>
          <cell r="BC70">
            <v>0.95331100000000002</v>
          </cell>
          <cell r="BD70">
            <v>1.1700390000000001</v>
          </cell>
          <cell r="BE70">
            <v>2.923918</v>
          </cell>
          <cell r="BF70">
            <v>0.93101100000000003</v>
          </cell>
          <cell r="BG70">
            <v>0.93188599999999999</v>
          </cell>
          <cell r="BH70">
            <v>1.0832729999999999</v>
          </cell>
          <cell r="BI70">
            <v>2.94617</v>
          </cell>
          <cell r="BJ70">
            <v>0.43662099999999998</v>
          </cell>
          <cell r="BK70">
            <v>0.43487199999999998</v>
          </cell>
        </row>
        <row r="71">
          <cell r="A71" t="str">
            <v xml:space="preserve">  % Change</v>
          </cell>
          <cell r="AH71">
            <v>-0.30215982146186093</v>
          </cell>
          <cell r="AI71">
            <v>-0.27564029713830762</v>
          </cell>
          <cell r="AJ71">
            <v>-0.16839194640788779</v>
          </cell>
          <cell r="AK71">
            <v>-0.24703887136023661</v>
          </cell>
          <cell r="AL71">
            <v>-0.33337018413178299</v>
          </cell>
          <cell r="AM71">
            <v>-0.29584942113027257</v>
          </cell>
          <cell r="AN71">
            <v>-0.23675196444376578</v>
          </cell>
          <cell r="AO71">
            <v>-0.28513702131824969</v>
          </cell>
          <cell r="AP71">
            <v>-0.19660600514666404</v>
          </cell>
          <cell r="AQ71">
            <v>-0.16222991262731823</v>
          </cell>
          <cell r="AR71">
            <v>-6.5538393720439792E-2</v>
          </cell>
          <cell r="AS71">
            <v>-0.13981056892957044</v>
          </cell>
          <cell r="AT71">
            <v>-0.48231115621234222</v>
          </cell>
          <cell r="AU71">
            <v>7.3548033708297433E-2</v>
          </cell>
          <cell r="AV71">
            <v>-7.3169563246850866E-2</v>
          </cell>
          <cell r="AW71">
            <v>-0.15778343314884491</v>
          </cell>
          <cell r="AX71">
            <v>-0.49966874628866087</v>
          </cell>
          <cell r="AY71">
            <v>-0.12347246757704633</v>
          </cell>
          <cell r="AZ71">
            <v>-0.24373597268429126</v>
          </cell>
          <cell r="BA71">
            <v>-0.29239549232321116</v>
          </cell>
          <cell r="BB71">
            <v>-0.32263059300536945</v>
          </cell>
          <cell r="BC71">
            <v>-0.21216376028171036</v>
          </cell>
          <cell r="BD71">
            <v>-0.28626172825046614</v>
          </cell>
          <cell r="BE71">
            <v>-0.27468268958376441</v>
          </cell>
          <cell r="BF71">
            <v>-0.23378751392910102</v>
          </cell>
          <cell r="BG71">
            <v>-0.21343303360790589</v>
          </cell>
          <cell r="BH71">
            <v>-0.26788465905404535</v>
          </cell>
          <cell r="BI71">
            <v>-0.24057625233890823</v>
          </cell>
          <cell r="BJ71">
            <v>-0.37068538088566805</v>
          </cell>
          <cell r="BK71">
            <v>-0.68836656013070963</v>
          </cell>
        </row>
        <row r="73">
          <cell r="A73" t="str">
            <v>CLONAZEPAM</v>
          </cell>
        </row>
        <row r="74">
          <cell r="A74" t="str">
            <v>TRx</v>
          </cell>
          <cell r="R74">
            <v>292388</v>
          </cell>
          <cell r="S74">
            <v>282154</v>
          </cell>
          <cell r="T74">
            <v>285678</v>
          </cell>
          <cell r="U74">
            <v>860220</v>
          </cell>
          <cell r="V74">
            <v>313780</v>
          </cell>
          <cell r="W74">
            <v>294079</v>
          </cell>
          <cell r="X74">
            <v>318278</v>
          </cell>
          <cell r="Y74">
            <v>926137</v>
          </cell>
          <cell r="Z74">
            <v>325866</v>
          </cell>
          <cell r="AA74">
            <v>335635</v>
          </cell>
          <cell r="AB74">
            <v>313201</v>
          </cell>
          <cell r="AC74">
            <v>974702</v>
          </cell>
          <cell r="AD74">
            <v>339984</v>
          </cell>
          <cell r="AE74">
            <v>338554</v>
          </cell>
          <cell r="AF74">
            <v>329422</v>
          </cell>
          <cell r="AG74">
            <v>1007960</v>
          </cell>
          <cell r="AH74">
            <v>353212</v>
          </cell>
          <cell r="AI74">
            <v>340459</v>
          </cell>
          <cell r="AJ74">
            <v>364209</v>
          </cell>
          <cell r="AK74">
            <v>1057880</v>
          </cell>
          <cell r="AL74">
            <v>367405</v>
          </cell>
          <cell r="AM74">
            <v>333734</v>
          </cell>
          <cell r="AN74">
            <v>368437</v>
          </cell>
          <cell r="AO74">
            <v>1069576</v>
          </cell>
          <cell r="AP74">
            <v>370325</v>
          </cell>
          <cell r="AQ74">
            <v>382397</v>
          </cell>
          <cell r="AR74">
            <v>373901</v>
          </cell>
          <cell r="AS74">
            <v>1126623</v>
          </cell>
          <cell r="AT74">
            <v>392692</v>
          </cell>
          <cell r="AU74">
            <v>381303</v>
          </cell>
          <cell r="AV74">
            <v>390770</v>
          </cell>
          <cell r="AW74">
            <v>1164765</v>
          </cell>
          <cell r="AX74">
            <v>406355</v>
          </cell>
          <cell r="AY74">
            <v>374413</v>
          </cell>
          <cell r="AZ74">
            <v>417095</v>
          </cell>
          <cell r="BA74">
            <v>1197863</v>
          </cell>
          <cell r="BB74">
            <v>403079</v>
          </cell>
          <cell r="BC74">
            <v>385101</v>
          </cell>
          <cell r="BD74">
            <v>425002</v>
          </cell>
          <cell r="BE74">
            <v>1213182</v>
          </cell>
          <cell r="BF74">
            <v>402009</v>
          </cell>
          <cell r="BG74">
            <v>392264</v>
          </cell>
          <cell r="BH74">
            <v>409853</v>
          </cell>
          <cell r="BI74">
            <v>1204126</v>
          </cell>
          <cell r="BJ74">
            <v>412548</v>
          </cell>
          <cell r="BK74">
            <v>423743</v>
          </cell>
          <cell r="BL74">
            <v>422864</v>
          </cell>
          <cell r="BM74">
            <v>1259155</v>
          </cell>
        </row>
        <row r="75">
          <cell r="A75" t="str">
            <v xml:space="preserve">  % Change</v>
          </cell>
          <cell r="AH75">
            <v>0.2080249531444518</v>
          </cell>
          <cell r="AI75">
            <v>0.20664247184161844</v>
          </cell>
          <cell r="AJ75">
            <v>0.27489341146325574</v>
          </cell>
          <cell r="AK75">
            <v>0.22977842877403454</v>
          </cell>
          <cell r="AL75">
            <v>0.17089999362610753</v>
          </cell>
          <cell r="AM75">
            <v>0.13484471859602354</v>
          </cell>
          <cell r="AN75">
            <v>0.15759493273176273</v>
          </cell>
          <cell r="AO75">
            <v>0.15487881382560031</v>
          </cell>
          <cell r="AP75">
            <v>0.13643338059202259</v>
          </cell>
          <cell r="AQ75">
            <v>0.13932396800095348</v>
          </cell>
          <cell r="AR75">
            <v>0.1938052560496295</v>
          </cell>
          <cell r="AS75">
            <v>0.15586404870411674</v>
          </cell>
          <cell r="AT75">
            <v>0.15503082497999898</v>
          </cell>
          <cell r="AU75">
            <v>0.12626936914052123</v>
          </cell>
          <cell r="AV75">
            <v>0.18622921359229205</v>
          </cell>
          <cell r="AW75">
            <v>0.15556668915433147</v>
          </cell>
          <cell r="AX75">
            <v>0.15045638313534071</v>
          </cell>
          <cell r="AY75">
            <v>9.9730070287464834E-2</v>
          </cell>
          <cell r="AZ75">
            <v>0.14520783396346593</v>
          </cell>
          <cell r="BA75">
            <v>0.13232408212651725</v>
          </cell>
          <cell r="BB75">
            <v>9.7097208802275459E-2</v>
          </cell>
          <cell r="BC75">
            <v>0.15391599297644221</v>
          </cell>
          <cell r="BD75">
            <v>0.15352692590592154</v>
          </cell>
          <cell r="BE75">
            <v>0.1342644187977291</v>
          </cell>
          <cell r="BF75">
            <v>8.555728076689384E-2</v>
          </cell>
          <cell r="BG75">
            <v>2.5803026697385212E-2</v>
          </cell>
          <cell r="BH75">
            <v>9.6153794721062447E-2</v>
          </cell>
          <cell r="BI75">
            <v>6.8792311181291366E-2</v>
          </cell>
          <cell r="BJ75">
            <v>5.0563800637649869E-2</v>
          </cell>
          <cell r="BK75">
            <v>0.11130255990642612</v>
          </cell>
          <cell r="BL75">
            <v>8.2130153287099938E-2</v>
          </cell>
          <cell r="BM75">
            <v>8.1037805909346616E-2</v>
          </cell>
        </row>
        <row r="76">
          <cell r="A76" t="str">
            <v>NRx</v>
          </cell>
          <cell r="R76">
            <v>166321</v>
          </cell>
          <cell r="S76">
            <v>158042</v>
          </cell>
          <cell r="T76">
            <v>155266</v>
          </cell>
          <cell r="U76">
            <v>479629</v>
          </cell>
          <cell r="V76">
            <v>174568</v>
          </cell>
          <cell r="W76">
            <v>163834</v>
          </cell>
          <cell r="X76">
            <v>174904</v>
          </cell>
          <cell r="Y76">
            <v>513306</v>
          </cell>
          <cell r="Z76">
            <v>180405</v>
          </cell>
          <cell r="AA76">
            <v>184706</v>
          </cell>
          <cell r="AB76">
            <v>169639</v>
          </cell>
          <cell r="AC76">
            <v>534750</v>
          </cell>
          <cell r="AD76">
            <v>186913</v>
          </cell>
          <cell r="AE76">
            <v>187713</v>
          </cell>
          <cell r="AF76">
            <v>181141</v>
          </cell>
          <cell r="AG76">
            <v>555767</v>
          </cell>
          <cell r="AH76">
            <v>197524</v>
          </cell>
          <cell r="AI76">
            <v>187689</v>
          </cell>
          <cell r="AJ76">
            <v>197583</v>
          </cell>
          <cell r="AK76">
            <v>582796</v>
          </cell>
          <cell r="AL76">
            <v>203468</v>
          </cell>
          <cell r="AM76">
            <v>184463</v>
          </cell>
          <cell r="AN76">
            <v>200112</v>
          </cell>
          <cell r="AO76">
            <v>588043</v>
          </cell>
          <cell r="AP76">
            <v>202709</v>
          </cell>
          <cell r="AQ76">
            <v>208416</v>
          </cell>
          <cell r="AR76">
            <v>202501</v>
          </cell>
          <cell r="AS76">
            <v>613626</v>
          </cell>
          <cell r="AT76">
            <v>213093</v>
          </cell>
          <cell r="AU76">
            <v>205717</v>
          </cell>
          <cell r="AV76">
            <v>213817</v>
          </cell>
          <cell r="AW76">
            <v>632627</v>
          </cell>
          <cell r="AX76">
            <v>222243</v>
          </cell>
          <cell r="AY76">
            <v>200766</v>
          </cell>
          <cell r="AZ76">
            <v>223528</v>
          </cell>
          <cell r="BA76">
            <v>646537</v>
          </cell>
          <cell r="BB76">
            <v>217815</v>
          </cell>
          <cell r="BC76">
            <v>210674</v>
          </cell>
          <cell r="BD76">
            <v>232166</v>
          </cell>
          <cell r="BE76">
            <v>660655</v>
          </cell>
          <cell r="BF76">
            <v>220400</v>
          </cell>
          <cell r="BG76">
            <v>212636</v>
          </cell>
          <cell r="BH76">
            <v>224005</v>
          </cell>
          <cell r="BI76">
            <v>657041</v>
          </cell>
          <cell r="BJ76">
            <v>225248</v>
          </cell>
          <cell r="BK76">
            <v>234398</v>
          </cell>
          <cell r="BL76">
            <v>236274</v>
          </cell>
          <cell r="BM76">
            <v>695920</v>
          </cell>
        </row>
        <row r="77">
          <cell r="A77" t="str">
            <v xml:space="preserve">  % Change</v>
          </cell>
          <cell r="AH77">
            <v>0.18760709711942569</v>
          </cell>
          <cell r="AI77">
            <v>0.18758937497627204</v>
          </cell>
          <cell r="AJ77">
            <v>0.27254518052889876</v>
          </cell>
          <cell r="AK77">
            <v>0.2150975024445978</v>
          </cell>
          <cell r="AL77">
            <v>0.16555153292699698</v>
          </cell>
          <cell r="AM77">
            <v>0.12591403493780295</v>
          </cell>
          <cell r="AN77">
            <v>0.14412477702053694</v>
          </cell>
          <cell r="AO77">
            <v>0.14559931113215119</v>
          </cell>
          <cell r="AP77">
            <v>0.1236329370028546</v>
          </cell>
          <cell r="AQ77">
            <v>0.12836616027633108</v>
          </cell>
          <cell r="AR77">
            <v>0.1937172466237127</v>
          </cell>
          <cell r="AS77">
            <v>0.14750070126227199</v>
          </cell>
          <cell r="AT77">
            <v>0.14006516400678382</v>
          </cell>
          <cell r="AU77">
            <v>9.5912376873205307E-2</v>
          </cell>
          <cell r="AV77">
            <v>0.18038986204117236</v>
          </cell>
          <cell r="AW77">
            <v>0.13829536478416316</v>
          </cell>
          <cell r="AX77">
            <v>0.12514428626394758</v>
          </cell>
          <cell r="AY77">
            <v>6.9673768841008288E-2</v>
          </cell>
          <cell r="AZ77">
            <v>0.13131190436424189</v>
          </cell>
          <cell r="BA77">
            <v>0.10937103205924537</v>
          </cell>
          <cell r="BB77">
            <v>7.0512316433051003E-2</v>
          </cell>
          <cell r="BC77">
            <v>0.14209353637314792</v>
          </cell>
          <cell r="BD77">
            <v>0.16018029903254183</v>
          </cell>
          <cell r="BE77">
            <v>0.12348076586236045</v>
          </cell>
          <cell r="BF77">
            <v>8.7272888722257136E-2</v>
          </cell>
          <cell r="BG77">
            <v>2.0247965607246954E-2</v>
          </cell>
          <cell r="BH77">
            <v>0.10619206818731763</v>
          </cell>
          <cell r="BI77">
            <v>7.075156528569515E-2</v>
          </cell>
          <cell r="BJ77">
            <v>5.7040822551655879E-2</v>
          </cell>
          <cell r="BK77">
            <v>0.13941968821244721</v>
          </cell>
          <cell r="BL77">
            <v>0.10502906691235969</v>
          </cell>
          <cell r="BM77">
            <v>0.1000478955213735</v>
          </cell>
        </row>
        <row r="78">
          <cell r="A78" t="str">
            <v>Sales (IMS)</v>
          </cell>
          <cell r="R78">
            <v>0.62836199999999998</v>
          </cell>
          <cell r="S78">
            <v>0.58505799999999997</v>
          </cell>
          <cell r="T78">
            <v>0.75874600000000003</v>
          </cell>
          <cell r="U78">
            <v>1.9721660000000001</v>
          </cell>
          <cell r="V78">
            <v>0.75377799999999995</v>
          </cell>
          <cell r="W78">
            <v>0.76244900000000004</v>
          </cell>
          <cell r="X78">
            <v>0.89776500000000004</v>
          </cell>
          <cell r="Y78">
            <v>2.4139919999999999</v>
          </cell>
          <cell r="Z78">
            <v>0.70804500000000004</v>
          </cell>
          <cell r="AA78">
            <v>0.71648000000000001</v>
          </cell>
          <cell r="AB78">
            <v>0.96019399999999999</v>
          </cell>
          <cell r="AC78">
            <v>2.384719</v>
          </cell>
          <cell r="AD78">
            <v>0.69655100000000003</v>
          </cell>
          <cell r="AE78">
            <v>0.784327</v>
          </cell>
          <cell r="AF78">
            <v>1.018022</v>
          </cell>
          <cell r="AG78">
            <v>2.4988999999999999</v>
          </cell>
          <cell r="AH78">
            <v>0.75107199999999996</v>
          </cell>
          <cell r="AI78">
            <v>0.78809200000000001</v>
          </cell>
          <cell r="AJ78">
            <v>0.974576</v>
          </cell>
          <cell r="AK78">
            <v>2.5137399999999999</v>
          </cell>
          <cell r="AL78">
            <v>0.75083500000000003</v>
          </cell>
          <cell r="AM78">
            <v>0.76837</v>
          </cell>
          <cell r="AN78">
            <v>0.97688900000000001</v>
          </cell>
          <cell r="AO78">
            <v>2.4960939999999998</v>
          </cell>
          <cell r="AP78">
            <v>0.87405500000000003</v>
          </cell>
          <cell r="AQ78">
            <v>0.85806800000000005</v>
          </cell>
          <cell r="AR78">
            <v>1.245209</v>
          </cell>
          <cell r="AS78">
            <v>2.9773320000000001</v>
          </cell>
          <cell r="AT78">
            <v>0.86613399999999996</v>
          </cell>
          <cell r="AU78">
            <v>1.0593090000000001</v>
          </cell>
          <cell r="AV78">
            <v>1.1918200000000001</v>
          </cell>
          <cell r="AW78">
            <v>3.1172630000000003</v>
          </cell>
          <cell r="AX78">
            <v>0.90778899999999996</v>
          </cell>
          <cell r="AY78">
            <v>0.93027300000000002</v>
          </cell>
          <cell r="AZ78">
            <v>1.1222220000000001</v>
          </cell>
          <cell r="BA78">
            <v>2.9602839999999997</v>
          </cell>
          <cell r="BB78">
            <v>0.42756100000000002</v>
          </cell>
          <cell r="BC78">
            <v>0.86807400000000001</v>
          </cell>
          <cell r="BD78">
            <v>1.03711</v>
          </cell>
          <cell r="BE78">
            <v>2.3327450000000001</v>
          </cell>
          <cell r="BF78">
            <v>0.82639200000000002</v>
          </cell>
          <cell r="BG78">
            <v>0.85951699999999998</v>
          </cell>
          <cell r="BH78">
            <v>1.0887119999999999</v>
          </cell>
          <cell r="BI78">
            <v>2.7746209999999998</v>
          </cell>
          <cell r="BJ78">
            <v>0.89143099999999997</v>
          </cell>
          <cell r="BK78">
            <v>0.87929500000000005</v>
          </cell>
        </row>
        <row r="79">
          <cell r="A79" t="str">
            <v xml:space="preserve">  % Change</v>
          </cell>
          <cell r="AH79">
            <v>0.19528552013011602</v>
          </cell>
          <cell r="AI79">
            <v>0.34703226004943111</v>
          </cell>
          <cell r="AJ79">
            <v>0.28445619482672724</v>
          </cell>
          <cell r="AK79">
            <v>0.27460872969111105</v>
          </cell>
          <cell r="AL79">
            <v>-3.9043325753735925E-3</v>
          </cell>
          <cell r="AM79">
            <v>7.7657653167622076E-3</v>
          </cell>
          <cell r="AN79">
            <v>8.8134422705273607E-2</v>
          </cell>
          <cell r="AO79">
            <v>3.4010883217508558E-2</v>
          </cell>
          <cell r="AP79">
            <v>0.23446249885247394</v>
          </cell>
          <cell r="AQ79">
            <v>0.19761612326931677</v>
          </cell>
          <cell r="AR79">
            <v>0.29683064047473739</v>
          </cell>
          <cell r="AS79">
            <v>0.24850433111825754</v>
          </cell>
          <cell r="AT79">
            <v>0.24346099567727264</v>
          </cell>
          <cell r="AU79">
            <v>0.35059611616073405</v>
          </cell>
          <cell r="AV79">
            <v>0.17072126142657051</v>
          </cell>
          <cell r="AW79">
            <v>0.24745407979511014</v>
          </cell>
          <cell r="AX79">
            <v>0.20865775851050228</v>
          </cell>
          <cell r="AY79">
            <v>0.18041167782441647</v>
          </cell>
          <cell r="AZ79">
            <v>0.15149767693848415</v>
          </cell>
          <cell r="BA79">
            <v>0.17764128350585184</v>
          </cell>
          <cell r="BB79">
            <v>-0.43055265138146193</v>
          </cell>
          <cell r="BC79">
            <v>0.12976040188971472</v>
          </cell>
          <cell r="BD79">
            <v>6.1645693625375975E-2</v>
          </cell>
          <cell r="BE79">
            <v>-6.5441846340722698E-2</v>
          </cell>
          <cell r="BF79">
            <v>-5.4530893364834077E-2</v>
          </cell>
          <cell r="BG79">
            <v>1.6886773542421629E-3</v>
          </cell>
          <cell r="BH79">
            <v>-0.12567930363497226</v>
          </cell>
          <cell r="BI79">
            <v>-6.8084781945715211E-2</v>
          </cell>
          <cell r="BJ79">
            <v>2.9206797100679527E-2</v>
          </cell>
          <cell r="BK79">
            <v>-0.16993530688401592</v>
          </cell>
        </row>
        <row r="81">
          <cell r="A81" t="str">
            <v>NYSTATIN</v>
          </cell>
        </row>
        <row r="82">
          <cell r="A82" t="str">
            <v>TRx</v>
          </cell>
          <cell r="S82">
            <v>151071</v>
          </cell>
          <cell r="T82">
            <v>166125</v>
          </cell>
          <cell r="U82">
            <v>317196</v>
          </cell>
          <cell r="V82">
            <v>180117</v>
          </cell>
          <cell r="W82">
            <v>167392</v>
          </cell>
          <cell r="X82">
            <v>176384</v>
          </cell>
          <cell r="Y82">
            <v>523893</v>
          </cell>
          <cell r="Z82">
            <v>168777</v>
          </cell>
          <cell r="AA82">
            <v>165937</v>
          </cell>
          <cell r="AB82">
            <v>149857</v>
          </cell>
          <cell r="AC82">
            <v>484571</v>
          </cell>
          <cell r="AD82">
            <v>162393</v>
          </cell>
          <cell r="AE82">
            <v>155542</v>
          </cell>
          <cell r="AF82">
            <v>142057</v>
          </cell>
          <cell r="AG82">
            <v>459992</v>
          </cell>
          <cell r="AH82">
            <v>151854</v>
          </cell>
          <cell r="AI82">
            <v>139456</v>
          </cell>
          <cell r="AJ82">
            <v>138039</v>
          </cell>
          <cell r="AK82">
            <v>429349</v>
          </cell>
          <cell r="AL82">
            <v>139358</v>
          </cell>
          <cell r="AM82">
            <v>127754</v>
          </cell>
          <cell r="AN82">
            <v>142484</v>
          </cell>
          <cell r="AO82">
            <v>409596</v>
          </cell>
          <cell r="AP82">
            <v>136154</v>
          </cell>
          <cell r="AQ82">
            <v>134311</v>
          </cell>
          <cell r="AR82">
            <v>130321</v>
          </cell>
          <cell r="AS82">
            <v>400786</v>
          </cell>
          <cell r="AT82">
            <v>132702</v>
          </cell>
          <cell r="AU82">
            <v>131419</v>
          </cell>
          <cell r="AV82">
            <v>133986</v>
          </cell>
          <cell r="AW82">
            <v>398107</v>
          </cell>
          <cell r="AX82">
            <v>142106</v>
          </cell>
          <cell r="AY82">
            <v>127949</v>
          </cell>
          <cell r="AZ82">
            <v>142796</v>
          </cell>
          <cell r="BA82">
            <v>412851</v>
          </cell>
          <cell r="BB82">
            <v>141842</v>
          </cell>
          <cell r="BC82">
            <v>130053</v>
          </cell>
          <cell r="BD82">
            <v>147901</v>
          </cell>
          <cell r="BE82">
            <v>419796</v>
          </cell>
          <cell r="BF82">
            <v>132145</v>
          </cell>
          <cell r="BG82">
            <v>128815</v>
          </cell>
          <cell r="BH82">
            <v>139232</v>
          </cell>
          <cell r="BI82">
            <v>400192</v>
          </cell>
          <cell r="BJ82">
            <v>138490</v>
          </cell>
          <cell r="BK82">
            <v>145349</v>
          </cell>
          <cell r="BL82">
            <v>147481</v>
          </cell>
          <cell r="BM82">
            <v>431320</v>
          </cell>
        </row>
        <row r="83">
          <cell r="A83" t="str">
            <v xml:space="preserve">  % Change</v>
          </cell>
          <cell r="AI83">
            <v>-7.6884378868214309E-2</v>
          </cell>
          <cell r="AJ83">
            <v>-0.16906546275395029</v>
          </cell>
          <cell r="AK83">
            <v>0.35357633765873464</v>
          </cell>
          <cell r="AL83">
            <v>-0.22629179921939624</v>
          </cell>
          <cell r="AM83">
            <v>-0.23679745746511183</v>
          </cell>
          <cell r="AN83">
            <v>-0.19219430333817122</v>
          </cell>
          <cell r="AO83">
            <v>-0.21816859549564516</v>
          </cell>
          <cell r="AP83">
            <v>-0.19329055499268266</v>
          </cell>
          <cell r="AQ83">
            <v>-0.19059040479218015</v>
          </cell>
          <cell r="AR83">
            <v>-0.13036428061418548</v>
          </cell>
          <cell r="AS83">
            <v>-0.1729055184895506</v>
          </cell>
          <cell r="AT83">
            <v>-0.18283423546581445</v>
          </cell>
          <cell r="AU83">
            <v>-0.15508994355222383</v>
          </cell>
          <cell r="AV83">
            <v>-5.6815222058751114E-2</v>
          </cell>
          <cell r="AW83">
            <v>-0.1345349484338858</v>
          </cell>
          <cell r="AX83">
            <v>-6.4193238241995632E-2</v>
          </cell>
          <cell r="AY83">
            <v>-8.2513480954566343E-2</v>
          </cell>
          <cell r="AZ83">
            <v>3.4461275436652006E-2</v>
          </cell>
          <cell r="BA83">
            <v>-3.84256164565423E-2</v>
          </cell>
          <cell r="BB83">
            <v>1.782459564574701E-2</v>
          </cell>
          <cell r="BC83">
            <v>1.7995522645083417E-2</v>
          </cell>
          <cell r="BD83">
            <v>3.8018303809550513E-2</v>
          </cell>
          <cell r="BE83">
            <v>2.4902586939325566E-2</v>
          </cell>
          <cell r="BF83">
            <v>-2.9444599497627677E-2</v>
          </cell>
          <cell r="BG83">
            <v>-4.0919954434111894E-2</v>
          </cell>
          <cell r="BH83">
            <v>6.8377314477328976E-2</v>
          </cell>
          <cell r="BI83">
            <v>-1.482087697674106E-3</v>
          </cell>
          <cell r="BJ83">
            <v>4.3616524242287236E-2</v>
          </cell>
          <cell r="BK83">
            <v>0.10599684977058121</v>
          </cell>
          <cell r="BL83">
            <v>0.10071947815443405</v>
          </cell>
          <cell r="BM83">
            <v>8.3427319790910559E-2</v>
          </cell>
        </row>
        <row r="84">
          <cell r="A84" t="str">
            <v>NRx</v>
          </cell>
          <cell r="S84">
            <v>128878</v>
          </cell>
          <cell r="T84">
            <v>142202</v>
          </cell>
          <cell r="U84">
            <v>271080</v>
          </cell>
          <cell r="V84">
            <v>155004</v>
          </cell>
          <cell r="W84">
            <v>143989</v>
          </cell>
          <cell r="X84">
            <v>150952</v>
          </cell>
          <cell r="Y84">
            <v>449945</v>
          </cell>
          <cell r="Z84">
            <v>144556</v>
          </cell>
          <cell r="AA84">
            <v>141508</v>
          </cell>
          <cell r="AB84">
            <v>127000</v>
          </cell>
          <cell r="AC84">
            <v>413064</v>
          </cell>
          <cell r="AD84">
            <v>137859</v>
          </cell>
          <cell r="AE84">
            <v>132528</v>
          </cell>
          <cell r="AF84">
            <v>120815</v>
          </cell>
          <cell r="AG84">
            <v>391202</v>
          </cell>
          <cell r="AH84">
            <v>129699</v>
          </cell>
          <cell r="AI84">
            <v>118714</v>
          </cell>
          <cell r="AJ84">
            <v>117139</v>
          </cell>
          <cell r="AK84">
            <v>365552</v>
          </cell>
          <cell r="AL84">
            <v>120189</v>
          </cell>
          <cell r="AM84">
            <v>109357</v>
          </cell>
          <cell r="AN84">
            <v>122487</v>
          </cell>
          <cell r="AO84">
            <v>352033</v>
          </cell>
          <cell r="AP84">
            <v>116645</v>
          </cell>
          <cell r="AQ84">
            <v>114921</v>
          </cell>
          <cell r="AR84">
            <v>111247</v>
          </cell>
          <cell r="AS84">
            <v>342813</v>
          </cell>
          <cell r="AT84">
            <v>113002</v>
          </cell>
          <cell r="AU84">
            <v>112792</v>
          </cell>
          <cell r="AV84">
            <v>115344</v>
          </cell>
          <cell r="AW84">
            <v>341138</v>
          </cell>
          <cell r="AX84">
            <v>122030</v>
          </cell>
          <cell r="AY84">
            <v>109581</v>
          </cell>
          <cell r="AZ84">
            <v>123326</v>
          </cell>
          <cell r="BA84">
            <v>354937</v>
          </cell>
          <cell r="BB84">
            <v>122999</v>
          </cell>
          <cell r="BC84">
            <v>112135</v>
          </cell>
          <cell r="BD84">
            <v>127841</v>
          </cell>
          <cell r="BE84">
            <v>362975</v>
          </cell>
          <cell r="BF84">
            <v>114146</v>
          </cell>
          <cell r="BG84">
            <v>111415</v>
          </cell>
          <cell r="BH84">
            <v>120568</v>
          </cell>
          <cell r="BI84">
            <v>346129</v>
          </cell>
          <cell r="BJ84">
            <v>119385</v>
          </cell>
          <cell r="BK84">
            <v>124899</v>
          </cell>
          <cell r="BL84">
            <v>127729</v>
          </cell>
          <cell r="BM84">
            <v>372013</v>
          </cell>
        </row>
        <row r="85">
          <cell r="A85" t="str">
            <v xml:space="preserve">  % Change</v>
          </cell>
          <cell r="AI85">
            <v>-7.8865283446360124E-2</v>
          </cell>
          <cell r="AJ85">
            <v>-0.17624927919438549</v>
          </cell>
          <cell r="AK85">
            <v>0.34850228714770548</v>
          </cell>
          <cell r="AL85">
            <v>-0.22460710691336994</v>
          </cell>
          <cell r="AM85">
            <v>-0.24051837293126554</v>
          </cell>
          <cell r="AN85">
            <v>-0.18856987651703849</v>
          </cell>
          <cell r="AO85">
            <v>-0.21760881885563788</v>
          </cell>
          <cell r="AP85">
            <v>-0.19308088214947838</v>
          </cell>
          <cell r="AQ85">
            <v>-0.18788337055148829</v>
          </cell>
          <cell r="AR85">
            <v>-0.12403937007874011</v>
          </cell>
          <cell r="AS85">
            <v>-0.17007291848236594</v>
          </cell>
          <cell r="AT85">
            <v>-0.18030741554776986</v>
          </cell>
          <cell r="AU85">
            <v>-0.14891947362066882</v>
          </cell>
          <cell r="AV85">
            <v>-4.5284112072176419E-2</v>
          </cell>
          <cell r="AW85">
            <v>-0.12797480585477583</v>
          </cell>
          <cell r="AX85">
            <v>-5.9129214566033705E-2</v>
          </cell>
          <cell r="AY85">
            <v>-7.6932796468824227E-2</v>
          </cell>
          <cell r="AZ85">
            <v>5.2817592774396127E-2</v>
          </cell>
          <cell r="BA85">
            <v>-2.9038276360134785E-2</v>
          </cell>
          <cell r="BB85">
            <v>2.3379843413290802E-2</v>
          </cell>
          <cell r="BC85">
            <v>2.5403037757070868E-2</v>
          </cell>
          <cell r="BD85">
            <v>4.3710761141998677E-2</v>
          </cell>
          <cell r="BE85">
            <v>3.108231330585487E-2</v>
          </cell>
          <cell r="BF85">
            <v>-2.1423978738908667E-2</v>
          </cell>
          <cell r="BG85">
            <v>-3.0507914132317016E-2</v>
          </cell>
          <cell r="BH85">
            <v>8.3786529074941329E-2</v>
          </cell>
          <cell r="BI85">
            <v>9.6729120540937075E-3</v>
          </cell>
          <cell r="BJ85">
            <v>5.6485725916355367E-2</v>
          </cell>
          <cell r="BK85">
            <v>0.10733917299099227</v>
          </cell>
          <cell r="BL85">
            <v>0.10737446247745863</v>
          </cell>
          <cell r="BM85">
            <v>9.0505894975054124E-2</v>
          </cell>
        </row>
        <row r="86">
          <cell r="A86" t="str">
            <v>Sales (IMS)</v>
          </cell>
          <cell r="R86">
            <v>0.55100700000000002</v>
          </cell>
          <cell r="S86">
            <v>0.62573000000000001</v>
          </cell>
          <cell r="T86">
            <v>0.91063300000000003</v>
          </cell>
          <cell r="U86">
            <v>2.0873699999999999</v>
          </cell>
          <cell r="V86">
            <v>0.61265999999999998</v>
          </cell>
          <cell r="W86">
            <v>0.66810899999999995</v>
          </cell>
          <cell r="X86">
            <v>0.79036600000000001</v>
          </cell>
          <cell r="Y86">
            <v>2.0711349999999999</v>
          </cell>
          <cell r="Z86">
            <v>0.53611799999999998</v>
          </cell>
          <cell r="AA86">
            <v>0.51648700000000003</v>
          </cell>
          <cell r="AB86">
            <v>0.63993599999999995</v>
          </cell>
          <cell r="AC86">
            <v>1.6925409999999999</v>
          </cell>
          <cell r="AD86">
            <v>0.54229000000000005</v>
          </cell>
          <cell r="AE86">
            <v>0.66899600000000004</v>
          </cell>
          <cell r="AF86">
            <v>1.15401</v>
          </cell>
          <cell r="AG86">
            <v>2.3652959999999998</v>
          </cell>
          <cell r="AH86">
            <v>1.0025500000000001</v>
          </cell>
          <cell r="AI86">
            <v>1.151699</v>
          </cell>
          <cell r="AJ86">
            <v>1.3644430000000001</v>
          </cell>
          <cell r="AK86">
            <v>3.5186920000000002</v>
          </cell>
          <cell r="AL86">
            <v>1.126101</v>
          </cell>
          <cell r="AM86">
            <v>1.182634</v>
          </cell>
          <cell r="AN86">
            <v>1.25491</v>
          </cell>
          <cell r="AO86">
            <v>3.5636450000000002</v>
          </cell>
          <cell r="AP86">
            <v>0.78607099999999996</v>
          </cell>
          <cell r="AQ86">
            <v>0.79446799999999995</v>
          </cell>
          <cell r="AR86">
            <v>1.0390299999999999</v>
          </cell>
          <cell r="AS86">
            <v>2.6195689999999998</v>
          </cell>
          <cell r="AT86">
            <v>0.78967399999999999</v>
          </cell>
          <cell r="AU86">
            <v>0.93458399999999997</v>
          </cell>
          <cell r="AV86">
            <v>1.1804300000000001</v>
          </cell>
          <cell r="AW86">
            <v>2.9046880000000002</v>
          </cell>
          <cell r="AX86">
            <v>0.95363399999999998</v>
          </cell>
          <cell r="AY86">
            <v>0.99767899999999998</v>
          </cell>
          <cell r="AZ86">
            <v>1.181827</v>
          </cell>
          <cell r="BA86">
            <v>3.13314</v>
          </cell>
          <cell r="BB86">
            <v>0.97790699999999997</v>
          </cell>
          <cell r="BC86">
            <v>0.98527500000000001</v>
          </cell>
          <cell r="BD86">
            <v>0.93396699999999999</v>
          </cell>
          <cell r="BE86">
            <v>2.8971489999999998</v>
          </cell>
          <cell r="BF86">
            <v>0.48674200000000001</v>
          </cell>
          <cell r="BG86">
            <v>1.4187650000000001</v>
          </cell>
          <cell r="BH86">
            <v>2.0234209999999999</v>
          </cell>
          <cell r="BI86">
            <v>3.928928</v>
          </cell>
          <cell r="BJ86">
            <v>1.750882</v>
          </cell>
          <cell r="BK86">
            <v>2.090789</v>
          </cell>
        </row>
        <row r="87">
          <cell r="A87" t="str">
            <v xml:space="preserve">  % Change</v>
          </cell>
          <cell r="AH87">
            <v>0.81948686677301752</v>
          </cell>
          <cell r="AI87">
            <v>0.84056861585667941</v>
          </cell>
          <cell r="AJ87">
            <v>0.49834565626328065</v>
          </cell>
          <cell r="AK87">
            <v>0.68570593617806153</v>
          </cell>
          <cell r="AL87">
            <v>0.83805210067574198</v>
          </cell>
          <cell r="AM87">
            <v>0.77012134247555419</v>
          </cell>
          <cell r="AN87">
            <v>0.58775807663791202</v>
          </cell>
          <cell r="AO87">
            <v>0.72062419880886575</v>
          </cell>
          <cell r="AP87">
            <v>0.46622758422586075</v>
          </cell>
          <cell r="AQ87">
            <v>0.53821490182715137</v>
          </cell>
          <cell r="AR87">
            <v>0.62364673967396733</v>
          </cell>
          <cell r="AS87">
            <v>0.54771376291623075</v>
          </cell>
          <cell r="AT87">
            <v>0.45618396061148081</v>
          </cell>
          <cell r="AU87">
            <v>0.39699489982002878</v>
          </cell>
          <cell r="AV87">
            <v>2.2894082373636326E-2</v>
          </cell>
          <cell r="AW87">
            <v>0.22804418559030259</v>
          </cell>
          <cell r="AX87">
            <v>-4.8791581467258593E-2</v>
          </cell>
          <cell r="AY87">
            <v>-0.13373285901958765</v>
          </cell>
          <cell r="AZ87">
            <v>-0.13383922963436368</v>
          </cell>
          <cell r="BA87">
            <v>-0.10957253433946479</v>
          </cell>
          <cell r="BB87">
            <v>-0.13159920824153437</v>
          </cell>
          <cell r="BC87">
            <v>-0.16688087776945359</v>
          </cell>
          <cell r="BD87">
            <v>-0.25574981472774938</v>
          </cell>
          <cell r="BE87">
            <v>-0.18702648552254797</v>
          </cell>
          <cell r="BF87">
            <v>-0.38079130256681648</v>
          </cell>
          <cell r="BG87">
            <v>0.78580509221265071</v>
          </cell>
          <cell r="BH87">
            <v>0.94741345293206169</v>
          </cell>
          <cell r="BI87">
            <v>0.49983756869927842</v>
          </cell>
          <cell r="BJ87">
            <v>1.2172212837196108</v>
          </cell>
          <cell r="BK87">
            <v>1.2371333127894335</v>
          </cell>
        </row>
        <row r="88">
          <cell r="A88" t="str">
            <v>Product</v>
          </cell>
          <cell r="B88">
            <v>36800</v>
          </cell>
          <cell r="C88">
            <v>36831</v>
          </cell>
          <cell r="D88">
            <v>36861</v>
          </cell>
          <cell r="E88" t="str">
            <v>Q4:00</v>
          </cell>
          <cell r="F88">
            <v>36892</v>
          </cell>
          <cell r="G88">
            <v>36923</v>
          </cell>
          <cell r="H88">
            <v>36951</v>
          </cell>
          <cell r="I88" t="str">
            <v>Q1:01</v>
          </cell>
          <cell r="J88">
            <v>36982</v>
          </cell>
          <cell r="K88">
            <v>37012</v>
          </cell>
          <cell r="L88">
            <v>37043</v>
          </cell>
          <cell r="M88" t="str">
            <v>Q2:01</v>
          </cell>
          <cell r="N88">
            <v>37073</v>
          </cell>
          <cell r="O88">
            <v>37104</v>
          </cell>
          <cell r="P88">
            <v>37135</v>
          </cell>
          <cell r="Q88" t="str">
            <v>Q3:01</v>
          </cell>
          <cell r="R88">
            <v>37165</v>
          </cell>
          <cell r="S88">
            <v>37196</v>
          </cell>
          <cell r="T88">
            <v>37226</v>
          </cell>
          <cell r="U88" t="str">
            <v>Q4:01</v>
          </cell>
          <cell r="V88">
            <v>37257</v>
          </cell>
          <cell r="W88">
            <v>37288</v>
          </cell>
          <cell r="X88">
            <v>37316</v>
          </cell>
          <cell r="Y88" t="str">
            <v>Q1:02</v>
          </cell>
          <cell r="Z88">
            <v>37347</v>
          </cell>
          <cell r="AA88">
            <v>37377</v>
          </cell>
          <cell r="AB88">
            <v>37408</v>
          </cell>
          <cell r="AC88" t="str">
            <v>Q2:02</v>
          </cell>
          <cell r="AD88">
            <v>37438</v>
          </cell>
          <cell r="AE88">
            <v>37469</v>
          </cell>
          <cell r="AF88">
            <v>37500</v>
          </cell>
          <cell r="AG88" t="str">
            <v>Q3:02</v>
          </cell>
          <cell r="AH88">
            <v>37530</v>
          </cell>
          <cell r="AI88">
            <v>37561</v>
          </cell>
          <cell r="AJ88">
            <v>37591</v>
          </cell>
          <cell r="AK88" t="str">
            <v>Q4:02</v>
          </cell>
          <cell r="AL88">
            <v>37622</v>
          </cell>
          <cell r="AM88">
            <v>37653</v>
          </cell>
          <cell r="AN88">
            <v>37681</v>
          </cell>
          <cell r="AO88" t="str">
            <v>Q1:03</v>
          </cell>
          <cell r="AP88">
            <v>37712</v>
          </cell>
          <cell r="AQ88">
            <v>37742</v>
          </cell>
          <cell r="AR88">
            <v>37773</v>
          </cell>
          <cell r="AS88" t="str">
            <v>Q2:03</v>
          </cell>
          <cell r="AT88">
            <v>37803</v>
          </cell>
          <cell r="AU88">
            <v>37834</v>
          </cell>
          <cell r="AV88">
            <v>37865</v>
          </cell>
          <cell r="AW88" t="str">
            <v>Q3:03</v>
          </cell>
          <cell r="AX88">
            <v>37895</v>
          </cell>
          <cell r="AY88">
            <v>37926</v>
          </cell>
          <cell r="AZ88">
            <v>37956</v>
          </cell>
          <cell r="BA88" t="str">
            <v>Q4:03</v>
          </cell>
          <cell r="BB88">
            <v>37987</v>
          </cell>
          <cell r="BC88">
            <v>38018</v>
          </cell>
          <cell r="BD88">
            <v>38047</v>
          </cell>
          <cell r="BE88" t="str">
            <v>Q1:04</v>
          </cell>
          <cell r="BF88">
            <v>38078</v>
          </cell>
          <cell r="BG88">
            <v>38108</v>
          </cell>
          <cell r="BH88">
            <v>38139</v>
          </cell>
          <cell r="BI88" t="str">
            <v>Q2:04</v>
          </cell>
          <cell r="BJ88">
            <v>38169</v>
          </cell>
          <cell r="BK88">
            <v>38200</v>
          </cell>
          <cell r="BL88">
            <v>38231</v>
          </cell>
          <cell r="BM88" t="str">
            <v>Q3:04E</v>
          </cell>
        </row>
        <row r="89">
          <cell r="A89" t="str">
            <v>DICLOFENAC SOD</v>
          </cell>
        </row>
        <row r="90">
          <cell r="A90" t="str">
            <v>TRx</v>
          </cell>
          <cell r="R90">
            <v>79687</v>
          </cell>
          <cell r="S90">
            <v>74676</v>
          </cell>
          <cell r="T90">
            <v>75102</v>
          </cell>
          <cell r="U90">
            <v>229465</v>
          </cell>
          <cell r="V90">
            <v>78201</v>
          </cell>
          <cell r="W90">
            <v>71761</v>
          </cell>
          <cell r="X90">
            <v>76608</v>
          </cell>
          <cell r="Y90">
            <v>226570</v>
          </cell>
          <cell r="Z90">
            <v>75228</v>
          </cell>
          <cell r="AA90">
            <v>73008</v>
          </cell>
          <cell r="AB90">
            <v>64011</v>
          </cell>
          <cell r="AC90">
            <v>212247</v>
          </cell>
          <cell r="AD90">
            <v>67085</v>
          </cell>
          <cell r="AE90">
            <v>66678</v>
          </cell>
          <cell r="AF90">
            <v>63281</v>
          </cell>
          <cell r="AG90">
            <v>197044</v>
          </cell>
          <cell r="AH90">
            <v>67487</v>
          </cell>
          <cell r="AI90">
            <v>63241</v>
          </cell>
          <cell r="AJ90">
            <v>66860</v>
          </cell>
          <cell r="AK90">
            <v>197588</v>
          </cell>
          <cell r="AL90">
            <v>66743</v>
          </cell>
          <cell r="AM90">
            <v>61875</v>
          </cell>
          <cell r="AN90">
            <v>69527</v>
          </cell>
          <cell r="AO90">
            <v>198145</v>
          </cell>
          <cell r="AP90">
            <v>70695</v>
          </cell>
          <cell r="AQ90">
            <v>75146</v>
          </cell>
          <cell r="AR90">
            <v>70246</v>
          </cell>
          <cell r="AS90">
            <v>216087</v>
          </cell>
          <cell r="AT90">
            <v>74255</v>
          </cell>
          <cell r="AU90">
            <v>73097</v>
          </cell>
          <cell r="AV90">
            <v>80486</v>
          </cell>
          <cell r="AW90">
            <v>227838</v>
          </cell>
          <cell r="AX90">
            <v>86977</v>
          </cell>
          <cell r="AY90">
            <v>80223</v>
          </cell>
          <cell r="AZ90">
            <v>85678</v>
          </cell>
          <cell r="BA90">
            <v>252878</v>
          </cell>
          <cell r="BB90">
            <v>82661</v>
          </cell>
          <cell r="BC90">
            <v>78190</v>
          </cell>
          <cell r="BD90">
            <v>86598</v>
          </cell>
          <cell r="BE90">
            <v>247449</v>
          </cell>
          <cell r="BF90">
            <v>82770</v>
          </cell>
          <cell r="BG90">
            <v>81498</v>
          </cell>
          <cell r="BH90">
            <v>83788</v>
          </cell>
          <cell r="BI90">
            <v>248056</v>
          </cell>
          <cell r="BJ90">
            <v>79211</v>
          </cell>
          <cell r="BK90">
            <v>79135</v>
          </cell>
          <cell r="BL90">
            <v>76134</v>
          </cell>
          <cell r="BM90">
            <v>234480</v>
          </cell>
        </row>
        <row r="91">
          <cell r="A91" t="str">
            <v xml:space="preserve">  % Change</v>
          </cell>
          <cell r="AH91">
            <v>-0.1530989998368617</v>
          </cell>
          <cell r="AI91">
            <v>-0.15312818040602072</v>
          </cell>
          <cell r="AJ91">
            <v>-0.1097440813826529</v>
          </cell>
          <cell r="AK91">
            <v>-0.13891878935785418</v>
          </cell>
          <cell r="AL91">
            <v>-0.14651986547486606</v>
          </cell>
          <cell r="AM91">
            <v>-0.13776285168824287</v>
          </cell>
          <cell r="AN91">
            <v>-9.2431599832915601E-2</v>
          </cell>
          <cell r="AO91">
            <v>-0.12545791587588828</v>
          </cell>
          <cell r="AP91">
            <v>-6.0256819269420947E-2</v>
          </cell>
          <cell r="AQ91">
            <v>2.9284461976769594E-2</v>
          </cell>
          <cell r="AR91">
            <v>9.7405133492680873E-2</v>
          </cell>
          <cell r="AS91">
            <v>1.809212851065034E-2</v>
          </cell>
          <cell r="AT91">
            <v>0.10687933219050461</v>
          </cell>
          <cell r="AU91">
            <v>9.6268634332163483E-2</v>
          </cell>
          <cell r="AV91">
            <v>0.27188255558540475</v>
          </cell>
          <cell r="AW91">
            <v>0.15627981567568661</v>
          </cell>
          <cell r="AX91">
            <v>0.28879636078059479</v>
          </cell>
          <cell r="AY91">
            <v>0.26852832814155381</v>
          </cell>
          <cell r="AZ91">
            <v>0.28145378402632359</v>
          </cell>
          <cell r="BA91">
            <v>0.27982468570965846</v>
          </cell>
          <cell r="BB91">
            <v>0.23849692102542597</v>
          </cell>
          <cell r="BC91">
            <v>0.26367676767676773</v>
          </cell>
          <cell r="BD91">
            <v>0.24553051332575837</v>
          </cell>
          <cell r="BE91">
            <v>0.24882787857377164</v>
          </cell>
          <cell r="BF91">
            <v>0.17080415870995114</v>
          </cell>
          <cell r="BG91">
            <v>8.4528783967210419E-2</v>
          </cell>
          <cell r="BH91">
            <v>0.1927796600518179</v>
          </cell>
          <cell r="BI91">
            <v>0.14794504065492142</v>
          </cell>
          <cell r="BJ91">
            <v>6.6742980270688923E-2</v>
          </cell>
          <cell r="BK91">
            <v>8.2602569188886088E-2</v>
          </cell>
          <cell r="BL91">
            <v>-5.4071515543075765E-2</v>
          </cell>
          <cell r="BM91">
            <v>2.9152292418297199E-2</v>
          </cell>
        </row>
        <row r="92">
          <cell r="A92" t="str">
            <v>NRx</v>
          </cell>
          <cell r="R92">
            <v>43782</v>
          </cell>
          <cell r="S92">
            <v>41633</v>
          </cell>
          <cell r="T92">
            <v>40469</v>
          </cell>
          <cell r="U92">
            <v>125884</v>
          </cell>
          <cell r="V92">
            <v>44587</v>
          </cell>
          <cell r="W92">
            <v>41491</v>
          </cell>
          <cell r="X92">
            <v>42882</v>
          </cell>
          <cell r="Y92">
            <v>128960</v>
          </cell>
          <cell r="Z92">
            <v>42425</v>
          </cell>
          <cell r="AA92">
            <v>40646</v>
          </cell>
          <cell r="AB92">
            <v>35082</v>
          </cell>
          <cell r="AC92">
            <v>118153</v>
          </cell>
          <cell r="AD92">
            <v>36880</v>
          </cell>
          <cell r="AE92">
            <v>36240</v>
          </cell>
          <cell r="AF92">
            <v>35018</v>
          </cell>
          <cell r="AG92">
            <v>108138</v>
          </cell>
          <cell r="AH92">
            <v>36951</v>
          </cell>
          <cell r="AI92">
            <v>34287</v>
          </cell>
          <cell r="AJ92">
            <v>35105</v>
          </cell>
          <cell r="AK92">
            <v>106343</v>
          </cell>
          <cell r="AL92">
            <v>38146</v>
          </cell>
          <cell r="AM92">
            <v>35278</v>
          </cell>
          <cell r="AN92">
            <v>39594</v>
          </cell>
          <cell r="AO92">
            <v>113018</v>
          </cell>
          <cell r="AP92">
            <v>39864</v>
          </cell>
          <cell r="AQ92">
            <v>42174</v>
          </cell>
          <cell r="AR92">
            <v>39482</v>
          </cell>
          <cell r="AS92">
            <v>121520</v>
          </cell>
          <cell r="AT92">
            <v>43354</v>
          </cell>
          <cell r="AU92">
            <v>42455</v>
          </cell>
          <cell r="AV92">
            <v>47783</v>
          </cell>
          <cell r="AW92">
            <v>133592</v>
          </cell>
          <cell r="AX92">
            <v>51270</v>
          </cell>
          <cell r="AY92">
            <v>45557</v>
          </cell>
          <cell r="AZ92">
            <v>47547</v>
          </cell>
          <cell r="BA92">
            <v>144374</v>
          </cell>
          <cell r="BB92">
            <v>47741</v>
          </cell>
          <cell r="BC92">
            <v>45612</v>
          </cell>
          <cell r="BD92">
            <v>51183</v>
          </cell>
          <cell r="BE92">
            <v>144536</v>
          </cell>
          <cell r="BF92">
            <v>52492</v>
          </cell>
          <cell r="BG92">
            <v>51814</v>
          </cell>
          <cell r="BH92">
            <v>52534</v>
          </cell>
          <cell r="BI92">
            <v>156840</v>
          </cell>
          <cell r="BJ92">
            <v>47733</v>
          </cell>
          <cell r="BK92">
            <v>47787</v>
          </cell>
          <cell r="BL92">
            <v>46178</v>
          </cell>
          <cell r="BM92">
            <v>141698</v>
          </cell>
        </row>
        <row r="93">
          <cell r="A93" t="str">
            <v xml:space="preserve">  % Change</v>
          </cell>
          <cell r="AH93">
            <v>-0.15602302316020278</v>
          </cell>
          <cell r="AI93">
            <v>-0.17644656882761267</v>
          </cell>
          <cell r="AJ93">
            <v>-0.13254589933035166</v>
          </cell>
          <cell r="AK93">
            <v>-0.15523021194115216</v>
          </cell>
          <cell r="AL93">
            <v>-0.14445914728508313</v>
          </cell>
          <cell r="AM93">
            <v>-0.14974331782796269</v>
          </cell>
          <cell r="AN93">
            <v>-7.6675528193647646E-2</v>
          </cell>
          <cell r="AO93">
            <v>-0.12361972704714641</v>
          </cell>
          <cell r="AP93">
            <v>-6.0365350618738933E-2</v>
          </cell>
          <cell r="AQ93">
            <v>3.7592875067657294E-2</v>
          </cell>
          <cell r="AR93">
            <v>0.12542044353229587</v>
          </cell>
          <cell r="AS93">
            <v>2.8496948871378658E-2</v>
          </cell>
          <cell r="AT93">
            <v>0.17554229934924082</v>
          </cell>
          <cell r="AU93">
            <v>0.17149558498896256</v>
          </cell>
          <cell r="AV93">
            <v>0.36452681478096971</v>
          </cell>
          <cell r="AW93">
            <v>0.23538441620891826</v>
          </cell>
          <cell r="AX93">
            <v>0.38751319314768207</v>
          </cell>
          <cell r="AY93">
            <v>0.32869600723306203</v>
          </cell>
          <cell r="AZ93">
            <v>0.35442244694487957</v>
          </cell>
          <cell r="BA93">
            <v>0.35762579577405185</v>
          </cell>
          <cell r="BB93">
            <v>0.25153358150264782</v>
          </cell>
          <cell r="BC93">
            <v>0.29293043823345988</v>
          </cell>
          <cell r="BD93">
            <v>0.29269586300954686</v>
          </cell>
          <cell r="BE93">
            <v>0.2788759312675857</v>
          </cell>
          <cell r="BF93">
            <v>0.31677704194260481</v>
          </cell>
          <cell r="BG93">
            <v>0.22857684829515823</v>
          </cell>
          <cell r="BH93">
            <v>0.33058102426422176</v>
          </cell>
          <cell r="BI93">
            <v>0.29065174456879528</v>
          </cell>
          <cell r="BJ93">
            <v>0.10100567421691187</v>
          </cell>
          <cell r="BK93">
            <v>0.12559180308562001</v>
          </cell>
          <cell r="BL93">
            <v>-3.3589351861540662E-2</v>
          </cell>
          <cell r="BM93">
            <v>6.0677286065033753E-2</v>
          </cell>
        </row>
        <row r="94">
          <cell r="A94" t="str">
            <v>Sales (IMS)</v>
          </cell>
          <cell r="R94">
            <v>1.014165</v>
          </cell>
          <cell r="S94">
            <v>1.1191720000000001</v>
          </cell>
          <cell r="T94">
            <v>0.78818999999999995</v>
          </cell>
          <cell r="U94">
            <v>2.9215270000000002</v>
          </cell>
          <cell r="V94">
            <v>1.3191090000000001</v>
          </cell>
          <cell r="W94">
            <v>1.2660020000000001</v>
          </cell>
          <cell r="X94">
            <v>1.446464</v>
          </cell>
          <cell r="Y94">
            <v>4.0315750000000001</v>
          </cell>
          <cell r="Z94">
            <v>1.39096</v>
          </cell>
          <cell r="AA94">
            <v>1.242588</v>
          </cell>
          <cell r="AB94">
            <v>1.534211</v>
          </cell>
          <cell r="AC94">
            <v>4.1677590000000002</v>
          </cell>
          <cell r="AD94">
            <v>1.1464259999999999</v>
          </cell>
          <cell r="AE94">
            <v>1.2407440000000001</v>
          </cell>
          <cell r="AF94">
            <v>1.5439179999999999</v>
          </cell>
          <cell r="AG94">
            <v>3.9310879999999999</v>
          </cell>
          <cell r="AH94">
            <v>1.349046</v>
          </cell>
          <cell r="AI94">
            <v>1.2974140000000001</v>
          </cell>
          <cell r="AJ94">
            <v>1.6728559999999999</v>
          </cell>
          <cell r="AK94">
            <v>4.3193160000000006</v>
          </cell>
          <cell r="AL94">
            <v>1.442698</v>
          </cell>
          <cell r="AM94">
            <v>1.529328</v>
          </cell>
          <cell r="AN94">
            <v>1.477006</v>
          </cell>
          <cell r="AO94">
            <v>4.4490319999999999</v>
          </cell>
          <cell r="AP94">
            <v>0.87990400000000002</v>
          </cell>
          <cell r="AQ94">
            <v>0.85001199999999999</v>
          </cell>
          <cell r="AR94">
            <v>0.861147</v>
          </cell>
          <cell r="AS94">
            <v>2.5910630000000001</v>
          </cell>
          <cell r="AT94">
            <v>0.74200699999999997</v>
          </cell>
          <cell r="AU94">
            <v>0.91753600000000002</v>
          </cell>
          <cell r="AV94">
            <v>1.0931340000000001</v>
          </cell>
          <cell r="AW94">
            <v>2.7526770000000003</v>
          </cell>
          <cell r="AX94">
            <v>0.87623200000000001</v>
          </cell>
          <cell r="AY94">
            <v>0.787605</v>
          </cell>
          <cell r="AZ94">
            <v>0.89778800000000003</v>
          </cell>
          <cell r="BA94">
            <v>2.5616250000000003</v>
          </cell>
          <cell r="BB94">
            <v>0.40281600000000001</v>
          </cell>
          <cell r="BC94">
            <v>0.70976300000000003</v>
          </cell>
          <cell r="BD94">
            <v>0.93862699999999999</v>
          </cell>
          <cell r="BE94">
            <v>2.0512060000000001</v>
          </cell>
          <cell r="BF94">
            <v>0.67346899999999998</v>
          </cell>
          <cell r="BG94">
            <v>0.73403099999999999</v>
          </cell>
          <cell r="BH94">
            <v>0.84946299999999997</v>
          </cell>
          <cell r="BI94">
            <v>2.2569629999999998</v>
          </cell>
          <cell r="BJ94">
            <v>0.63648199999999999</v>
          </cell>
          <cell r="BK94">
            <v>0.70172299999999999</v>
          </cell>
        </row>
        <row r="95">
          <cell r="A95" t="str">
            <v xml:space="preserve">  % Change</v>
          </cell>
          <cell r="AH95">
            <v>0.33020366508408383</v>
          </cell>
          <cell r="AI95">
            <v>0.15926238326191156</v>
          </cell>
          <cell r="AJ95">
            <v>1.1224019589185348</v>
          </cell>
          <cell r="AK95">
            <v>0.47844466267126751</v>
          </cell>
          <cell r="AL95">
            <v>9.3691271911570562E-2</v>
          </cell>
          <cell r="AM95">
            <v>0.2079980916301869</v>
          </cell>
          <cell r="AN95">
            <v>2.1114939604442329E-2</v>
          </cell>
          <cell r="AO95">
            <v>0.10354687684093689</v>
          </cell>
          <cell r="AP95">
            <v>-0.3674124345775579</v>
          </cell>
          <cell r="AQ95">
            <v>-0.31593416321419487</v>
          </cell>
          <cell r="AR95">
            <v>-0.43870367244140474</v>
          </cell>
          <cell r="AS95">
            <v>-0.37830786281068551</v>
          </cell>
          <cell r="AT95">
            <v>-0.35276502800878551</v>
          </cell>
          <cell r="AU95">
            <v>-0.26049531571379758</v>
          </cell>
          <cell r="AV95">
            <v>-0.29197405561694334</v>
          </cell>
          <cell r="AW95">
            <v>-0.29976713825790713</v>
          </cell>
          <cell r="AX95">
            <v>-0.35048026531341403</v>
          </cell>
          <cell r="AY95">
            <v>-0.39294242238791943</v>
          </cell>
          <cell r="AZ95">
            <v>-0.46332021405309243</v>
          </cell>
          <cell r="BA95">
            <v>-0.40693734841349882</v>
          </cell>
          <cell r="BB95">
            <v>-0.72078979800346299</v>
          </cell>
          <cell r="BC95">
            <v>-0.53589877384053652</v>
          </cell>
          <cell r="BD95">
            <v>-0.36450698236838575</v>
          </cell>
          <cell r="BE95">
            <v>-0.53895454112265317</v>
          </cell>
          <cell r="BF95">
            <v>-0.23461082118049248</v>
          </cell>
          <cell r="BG95">
            <v>-0.1364463089932848</v>
          </cell>
          <cell r="BH95">
            <v>-1.3567950651863225E-2</v>
          </cell>
          <cell r="BI95">
            <v>-0.12894321751342996</v>
          </cell>
          <cell r="BJ95">
            <v>-0.1422156394750993</v>
          </cell>
          <cell r="BK95">
            <v>-0.23520929968960347</v>
          </cell>
        </row>
        <row r="97">
          <cell r="A97" t="str">
            <v>IBUPROFEN</v>
          </cell>
        </row>
        <row r="98">
          <cell r="A98" t="str">
            <v>TRx</v>
          </cell>
          <cell r="S98">
            <v>170013</v>
          </cell>
          <cell r="T98">
            <v>184655</v>
          </cell>
          <cell r="U98">
            <v>354668</v>
          </cell>
          <cell r="V98">
            <v>264685</v>
          </cell>
          <cell r="W98">
            <v>273791</v>
          </cell>
          <cell r="X98">
            <v>262261</v>
          </cell>
          <cell r="Y98">
            <v>800737</v>
          </cell>
          <cell r="Z98">
            <v>205482</v>
          </cell>
          <cell r="AA98">
            <v>197474</v>
          </cell>
          <cell r="AB98">
            <v>156671</v>
          </cell>
          <cell r="AC98">
            <v>559627</v>
          </cell>
          <cell r="AD98">
            <v>157029</v>
          </cell>
          <cell r="AE98">
            <v>160378</v>
          </cell>
          <cell r="AF98">
            <v>166479</v>
          </cell>
          <cell r="AG98">
            <v>483886</v>
          </cell>
          <cell r="AH98">
            <v>188524</v>
          </cell>
          <cell r="AI98">
            <v>198070</v>
          </cell>
          <cell r="AJ98">
            <v>214247</v>
          </cell>
          <cell r="AK98">
            <v>600841</v>
          </cell>
          <cell r="AL98">
            <v>238735</v>
          </cell>
          <cell r="AM98">
            <v>229763</v>
          </cell>
          <cell r="AN98">
            <v>180559</v>
          </cell>
          <cell r="AO98">
            <v>649057</v>
          </cell>
          <cell r="AP98">
            <v>170786</v>
          </cell>
          <cell r="AQ98">
            <v>172112</v>
          </cell>
          <cell r="AR98">
            <v>162723</v>
          </cell>
          <cell r="AS98">
            <v>505621</v>
          </cell>
          <cell r="AT98">
            <v>157826</v>
          </cell>
          <cell r="AU98">
            <v>164464</v>
          </cell>
          <cell r="AV98">
            <v>195519</v>
          </cell>
          <cell r="AW98">
            <v>517809</v>
          </cell>
          <cell r="AX98">
            <v>219053</v>
          </cell>
          <cell r="AY98">
            <v>257073</v>
          </cell>
          <cell r="AZ98">
            <v>409982</v>
          </cell>
          <cell r="BA98">
            <v>886108</v>
          </cell>
          <cell r="BB98">
            <v>230533</v>
          </cell>
          <cell r="BC98">
            <v>213879</v>
          </cell>
          <cell r="BD98">
            <v>219195</v>
          </cell>
          <cell r="BE98">
            <v>663607</v>
          </cell>
          <cell r="BF98">
            <v>198551</v>
          </cell>
          <cell r="BG98">
            <v>193926</v>
          </cell>
          <cell r="BH98">
            <v>188350</v>
          </cell>
          <cell r="BI98">
            <v>580827</v>
          </cell>
          <cell r="BJ98">
            <v>167222</v>
          </cell>
          <cell r="BK98">
            <v>182169</v>
          </cell>
          <cell r="BL98">
            <v>195526</v>
          </cell>
          <cell r="BM98">
            <v>544917</v>
          </cell>
        </row>
        <row r="99">
          <cell r="A99" t="str">
            <v xml:space="preserve">  % Change</v>
          </cell>
          <cell r="AI99">
            <v>0.16502855663978644</v>
          </cell>
          <cell r="AJ99">
            <v>0.16025561181663095</v>
          </cell>
          <cell r="AK99">
            <v>0.69409419513460469</v>
          </cell>
          <cell r="AL99">
            <v>-9.8041067684228378E-2</v>
          </cell>
          <cell r="AM99">
            <v>-0.16080879210784871</v>
          </cell>
          <cell r="AN99">
            <v>-0.31152935434548024</v>
          </cell>
          <cell r="AO99">
            <v>-0.18942549176571088</v>
          </cell>
          <cell r="AP99">
            <v>-0.16885177290468267</v>
          </cell>
          <cell r="AQ99">
            <v>-0.12843209739003614</v>
          </cell>
          <cell r="AR99">
            <v>3.8628718780118865E-2</v>
          </cell>
          <cell r="AS99">
            <v>-9.6503563981008789E-2</v>
          </cell>
          <cell r="AT99">
            <v>5.0754956090912628E-3</v>
          </cell>
          <cell r="AU99">
            <v>2.5477309855466368E-2</v>
          </cell>
          <cell r="AV99">
            <v>0.17443641540374455</v>
          </cell>
          <cell r="AW99">
            <v>7.0105355393625723E-2</v>
          </cell>
          <cell r="AX99">
            <v>0.16193694171564355</v>
          </cell>
          <cell r="AY99">
            <v>0.29788963497753329</v>
          </cell>
          <cell r="AZ99">
            <v>0.91359505617348202</v>
          </cell>
          <cell r="BA99">
            <v>0.47477951737647728</v>
          </cell>
          <cell r="BB99">
            <v>-3.4356085199070074E-2</v>
          </cell>
          <cell r="BC99">
            <v>-6.9132105691516954E-2</v>
          </cell>
          <cell r="BD99">
            <v>0.21397991792156579</v>
          </cell>
          <cell r="BE99">
            <v>2.2417137477910298E-2</v>
          </cell>
          <cell r="BF99">
            <v>0.16257187357277525</v>
          </cell>
          <cell r="BG99">
            <v>0.12674305103653438</v>
          </cell>
          <cell r="BH99">
            <v>0.15748849271461318</v>
          </cell>
          <cell r="BI99">
            <v>0.14873986642168746</v>
          </cell>
          <cell r="BJ99">
            <v>5.9533917098576916E-2</v>
          </cell>
          <cell r="BK99">
            <v>0.10765273859324842</v>
          </cell>
          <cell r="BL99">
            <v>3.5802147105856719E-5</v>
          </cell>
          <cell r="BM99">
            <v>5.2351349628917188E-2</v>
          </cell>
        </row>
        <row r="100">
          <cell r="A100" t="str">
            <v>NRx</v>
          </cell>
          <cell r="S100">
            <v>152848</v>
          </cell>
          <cell r="T100">
            <v>166846</v>
          </cell>
          <cell r="U100">
            <v>319694</v>
          </cell>
          <cell r="V100">
            <v>243308</v>
          </cell>
          <cell r="W100">
            <v>252482</v>
          </cell>
          <cell r="X100">
            <v>240778</v>
          </cell>
          <cell r="Y100">
            <v>736568</v>
          </cell>
          <cell r="Z100">
            <v>186003</v>
          </cell>
          <cell r="AA100">
            <v>178624</v>
          </cell>
          <cell r="AB100">
            <v>140360</v>
          </cell>
          <cell r="AC100">
            <v>504987</v>
          </cell>
          <cell r="AD100">
            <v>140711</v>
          </cell>
          <cell r="AE100">
            <v>143361</v>
          </cell>
          <cell r="AF100">
            <v>150360</v>
          </cell>
          <cell r="AG100">
            <v>434432</v>
          </cell>
          <cell r="AH100">
            <v>170124</v>
          </cell>
          <cell r="AI100">
            <v>179425</v>
          </cell>
          <cell r="AJ100">
            <v>194085</v>
          </cell>
          <cell r="AK100">
            <v>543634</v>
          </cell>
          <cell r="AL100">
            <v>216980</v>
          </cell>
          <cell r="AM100">
            <v>209290</v>
          </cell>
          <cell r="AN100">
            <v>162223</v>
          </cell>
          <cell r="AO100">
            <v>588493</v>
          </cell>
          <cell r="AP100">
            <v>153907</v>
          </cell>
          <cell r="AQ100">
            <v>155953</v>
          </cell>
          <cell r="AR100">
            <v>147025</v>
          </cell>
          <cell r="AS100">
            <v>456885</v>
          </cell>
          <cell r="AT100">
            <v>142239</v>
          </cell>
          <cell r="AU100">
            <v>148950</v>
          </cell>
          <cell r="AV100">
            <v>177826</v>
          </cell>
          <cell r="AW100">
            <v>469015</v>
          </cell>
          <cell r="AX100">
            <v>198674</v>
          </cell>
          <cell r="AY100">
            <v>236095</v>
          </cell>
          <cell r="AZ100">
            <v>380610</v>
          </cell>
          <cell r="BA100">
            <v>815379</v>
          </cell>
          <cell r="BB100">
            <v>206726</v>
          </cell>
          <cell r="BC100">
            <v>192536</v>
          </cell>
          <cell r="BD100">
            <v>196915</v>
          </cell>
          <cell r="BE100">
            <v>596177</v>
          </cell>
          <cell r="BF100">
            <v>179340</v>
          </cell>
          <cell r="BG100">
            <v>176654</v>
          </cell>
          <cell r="BH100">
            <v>170940</v>
          </cell>
          <cell r="BI100">
            <v>526934</v>
          </cell>
          <cell r="BJ100">
            <v>151324</v>
          </cell>
          <cell r="BK100">
            <v>165059</v>
          </cell>
          <cell r="BL100">
            <v>177893</v>
          </cell>
          <cell r="BM100">
            <v>494276</v>
          </cell>
        </row>
        <row r="101">
          <cell r="A101" t="str">
            <v xml:space="preserve">  % Change</v>
          </cell>
          <cell r="AI101">
            <v>0.17387862451585878</v>
          </cell>
          <cell r="AJ101">
            <v>0.16325833403258105</v>
          </cell>
          <cell r="AK101">
            <v>0.70048233623402378</v>
          </cell>
          <cell r="AL101">
            <v>-0.10820852581912632</v>
          </cell>
          <cell r="AM101">
            <v>-0.17106962080465138</v>
          </cell>
          <cell r="AN101">
            <v>-0.3262548903969632</v>
          </cell>
          <cell r="AO101">
            <v>-0.20103371311270646</v>
          </cell>
          <cell r="AP101">
            <v>-0.17255635661790403</v>
          </cell>
          <cell r="AQ101">
            <v>-0.12692023468290936</v>
          </cell>
          <cell r="AR101">
            <v>4.7485038472499186E-2</v>
          </cell>
          <cell r="AS101">
            <v>-9.5253937230067254E-2</v>
          </cell>
          <cell r="AT101">
            <v>1.0859136812331638E-2</v>
          </cell>
          <cell r="AU101">
            <v>3.8985498148031983E-2</v>
          </cell>
          <cell r="AV101">
            <v>0.18266826283586068</v>
          </cell>
          <cell r="AW101">
            <v>7.9605093547436612E-2</v>
          </cell>
          <cell r="AX101">
            <v>0.16781876748724467</v>
          </cell>
          <cell r="AY101">
            <v>0.31584227393061171</v>
          </cell>
          <cell r="AZ101">
            <v>0.96104799443542777</v>
          </cell>
          <cell r="BA101">
            <v>0.49986755795259308</v>
          </cell>
          <cell r="BB101">
            <v>-4.7257811779887526E-2</v>
          </cell>
          <cell r="BC101">
            <v>-8.005160303884562E-2</v>
          </cell>
          <cell r="BD101">
            <v>0.21385376919425725</v>
          </cell>
          <cell r="BE101">
            <v>1.3057079693386431E-2</v>
          </cell>
          <cell r="BF101">
            <v>0.16524914396356238</v>
          </cell>
          <cell r="BG101">
            <v>0.13273870973947277</v>
          </cell>
          <cell r="BH101">
            <v>0.1626594116646829</v>
          </cell>
          <cell r="BI101">
            <v>0.15331866881162659</v>
          </cell>
          <cell r="BJ101">
            <v>6.3871371424152334E-2</v>
          </cell>
          <cell r="BK101">
            <v>0.10815038603558236</v>
          </cell>
          <cell r="BL101">
            <v>3.7677280037784477E-4</v>
          </cell>
          <cell r="BM101">
            <v>5.3859684658273288E-2</v>
          </cell>
        </row>
        <row r="102">
          <cell r="A102" t="str">
            <v>Sales (IMS)</v>
          </cell>
          <cell r="R102">
            <v>1.03111</v>
          </cell>
          <cell r="S102">
            <v>1.040119</v>
          </cell>
          <cell r="T102">
            <v>1.3206500000000001</v>
          </cell>
          <cell r="U102">
            <v>3.3918789999999999</v>
          </cell>
          <cell r="V102">
            <v>1.4156709999999999</v>
          </cell>
          <cell r="W102">
            <v>1.6606799999999999</v>
          </cell>
          <cell r="X102">
            <v>1.855766</v>
          </cell>
          <cell r="Y102">
            <v>4.9321169999999999</v>
          </cell>
          <cell r="Z102">
            <v>0.902918</v>
          </cell>
          <cell r="AA102">
            <v>1.046805</v>
          </cell>
          <cell r="AB102">
            <v>1.085801</v>
          </cell>
          <cell r="AC102">
            <v>3.0355240000000001</v>
          </cell>
          <cell r="AD102">
            <v>0.77911900000000001</v>
          </cell>
          <cell r="AE102">
            <v>0.81153500000000001</v>
          </cell>
          <cell r="AF102">
            <v>1.083345</v>
          </cell>
          <cell r="AG102">
            <v>2.6739990000000002</v>
          </cell>
          <cell r="AH102">
            <v>1.0071760000000001</v>
          </cell>
          <cell r="AI102">
            <v>1.0376160000000001</v>
          </cell>
          <cell r="AJ102">
            <v>0.92486299999999999</v>
          </cell>
          <cell r="AK102">
            <v>2.9696550000000004</v>
          </cell>
          <cell r="AL102">
            <v>0.63724599999999998</v>
          </cell>
          <cell r="AM102">
            <v>0.30768000000000001</v>
          </cell>
          <cell r="AN102">
            <v>0.88601600000000003</v>
          </cell>
          <cell r="AO102">
            <v>1.8309419999999998</v>
          </cell>
          <cell r="AP102">
            <v>0.68839700000000004</v>
          </cell>
          <cell r="AQ102">
            <v>0.70774199999999998</v>
          </cell>
          <cell r="AR102">
            <v>1.124798</v>
          </cell>
          <cell r="AS102">
            <v>2.520937</v>
          </cell>
          <cell r="AT102">
            <v>0.78245299999999995</v>
          </cell>
          <cell r="AU102">
            <v>0.90481800000000001</v>
          </cell>
          <cell r="AV102">
            <v>1.3995519999999999</v>
          </cell>
          <cell r="AW102">
            <v>3.0868229999999999</v>
          </cell>
          <cell r="AX102">
            <v>1.2996380000000001</v>
          </cell>
          <cell r="AY102">
            <v>1.5991340000000001</v>
          </cell>
          <cell r="AZ102">
            <v>2.795131</v>
          </cell>
          <cell r="BA102">
            <v>5.6939030000000006</v>
          </cell>
          <cell r="BB102">
            <v>1.2366839999999999</v>
          </cell>
          <cell r="BC102">
            <v>1.2805580000000001</v>
          </cell>
          <cell r="BD102">
            <v>1.4691419999999999</v>
          </cell>
          <cell r="BE102">
            <v>3.9863840000000001</v>
          </cell>
          <cell r="BF102">
            <v>1.257101</v>
          </cell>
          <cell r="BG102">
            <v>1.203775</v>
          </cell>
          <cell r="BH102">
            <v>1.313868</v>
          </cell>
          <cell r="BI102">
            <v>3.7747440000000001</v>
          </cell>
          <cell r="BJ102">
            <v>0.95367500000000005</v>
          </cell>
          <cell r="BK102">
            <v>1.070508</v>
          </cell>
        </row>
        <row r="103">
          <cell r="A103" t="str">
            <v xml:space="preserve">  % Change</v>
          </cell>
          <cell r="AH103">
            <v>-2.3211878461075863E-2</v>
          </cell>
          <cell r="AI103">
            <v>-2.4064554151975726E-3</v>
          </cell>
          <cell r="AJ103">
            <v>-0.29969106121985389</v>
          </cell>
          <cell r="AK103">
            <v>-0.12448085559655853</v>
          </cell>
          <cell r="AL103">
            <v>-0.54986292719141661</v>
          </cell>
          <cell r="AM103">
            <v>-0.81472649757930482</v>
          </cell>
          <cell r="AN103">
            <v>-0.52256049523485182</v>
          </cell>
          <cell r="AO103">
            <v>-0.62877158023623525</v>
          </cell>
          <cell r="AP103">
            <v>-0.23758635889416313</v>
          </cell>
          <cell r="AQ103">
            <v>-0.32390273260062763</v>
          </cell>
          <cell r="AR103">
            <v>3.5915420965720202E-2</v>
          </cell>
          <cell r="AS103">
            <v>-0.16952163777983642</v>
          </cell>
          <cell r="AT103">
            <v>4.2791922671632232E-3</v>
          </cell>
          <cell r="AU103">
            <v>0.11494636706981209</v>
          </cell>
          <cell r="AV103">
            <v>0.29188024128970902</v>
          </cell>
          <cell r="AW103">
            <v>0.15438450051776376</v>
          </cell>
          <cell r="AX103">
            <v>0.29037824570879378</v>
          </cell>
          <cell r="AY103">
            <v>0.54116166288877565</v>
          </cell>
          <cell r="AZ103">
            <v>2.0222108571756032</v>
          </cell>
          <cell r="BA103">
            <v>0.91736178108231425</v>
          </cell>
          <cell r="BB103">
            <v>0.94066969427819069</v>
          </cell>
          <cell r="BC103">
            <v>3.1619799791991685</v>
          </cell>
          <cell r="BD103">
            <v>0.65814387099104299</v>
          </cell>
          <cell r="BE103">
            <v>1.1772311738984635</v>
          </cell>
          <cell r="BF103">
            <v>0.82612794651923238</v>
          </cell>
          <cell r="BG103">
            <v>0.70086698260100433</v>
          </cell>
          <cell r="BH103">
            <v>0.16809240414723359</v>
          </cell>
          <cell r="BI103">
            <v>0.4973575301564459</v>
          </cell>
          <cell r="BJ103">
            <v>0.21882720112262355</v>
          </cell>
          <cell r="BK103">
            <v>0.18311969921022797</v>
          </cell>
        </row>
        <row r="105">
          <cell r="A105" t="str">
            <v>ALBUTEROL</v>
          </cell>
        </row>
        <row r="106">
          <cell r="A106" t="str">
            <v>TRx</v>
          </cell>
          <cell r="R106">
            <v>198995</v>
          </cell>
          <cell r="S106">
            <v>206229</v>
          </cell>
          <cell r="T106">
            <v>227438</v>
          </cell>
          <cell r="U106">
            <v>632662</v>
          </cell>
          <cell r="V106">
            <v>265445</v>
          </cell>
          <cell r="W106">
            <v>272067</v>
          </cell>
          <cell r="X106">
            <v>231191</v>
          </cell>
          <cell r="Y106">
            <v>768703</v>
          </cell>
          <cell r="Z106">
            <v>183537</v>
          </cell>
          <cell r="AA106">
            <v>166439</v>
          </cell>
          <cell r="AB106">
            <v>126329</v>
          </cell>
          <cell r="AC106">
            <v>476305</v>
          </cell>
          <cell r="AD106">
            <v>113412</v>
          </cell>
          <cell r="AE106">
            <v>120342</v>
          </cell>
          <cell r="AF106">
            <v>156036</v>
          </cell>
          <cell r="AG106">
            <v>389790</v>
          </cell>
          <cell r="AH106">
            <v>196951</v>
          </cell>
          <cell r="AI106">
            <v>225840</v>
          </cell>
          <cell r="AJ106">
            <v>197370</v>
          </cell>
          <cell r="AK106">
            <v>620161</v>
          </cell>
          <cell r="AL106">
            <v>180617</v>
          </cell>
          <cell r="AM106">
            <v>194630</v>
          </cell>
          <cell r="AN106">
            <v>184841</v>
          </cell>
          <cell r="AO106">
            <v>560088</v>
          </cell>
          <cell r="AP106">
            <v>159360</v>
          </cell>
          <cell r="AQ106">
            <v>152090</v>
          </cell>
          <cell r="AR106">
            <v>123695</v>
          </cell>
          <cell r="AS106">
            <v>435145</v>
          </cell>
          <cell r="AT106">
            <v>104548</v>
          </cell>
          <cell r="AU106">
            <v>110844</v>
          </cell>
          <cell r="AV106">
            <v>151696</v>
          </cell>
          <cell r="AW106">
            <v>367088</v>
          </cell>
          <cell r="AX106">
            <v>177371</v>
          </cell>
          <cell r="AY106">
            <v>184465</v>
          </cell>
          <cell r="AZ106">
            <v>242643</v>
          </cell>
          <cell r="BA106">
            <v>604479</v>
          </cell>
          <cell r="BB106">
            <v>199509</v>
          </cell>
          <cell r="BC106">
            <v>205480</v>
          </cell>
          <cell r="BD106">
            <v>196278</v>
          </cell>
          <cell r="BE106">
            <v>601267</v>
          </cell>
          <cell r="BF106">
            <v>159991</v>
          </cell>
          <cell r="BG106">
            <v>146984</v>
          </cell>
          <cell r="BH106">
            <v>123391</v>
          </cell>
          <cell r="BI106">
            <v>430366</v>
          </cell>
          <cell r="BJ106">
            <v>103700</v>
          </cell>
          <cell r="BK106">
            <v>118606</v>
          </cell>
          <cell r="BL106">
            <v>147237</v>
          </cell>
          <cell r="BM106">
            <v>369543</v>
          </cell>
        </row>
        <row r="107">
          <cell r="A107" t="str">
            <v xml:space="preserve">  % Change</v>
          </cell>
          <cell r="AH107">
            <v>-1.0271614864695078E-2</v>
          </cell>
          <cell r="AI107">
            <v>9.5093318592438525E-2</v>
          </cell>
          <cell r="AJ107">
            <v>-0.13220306193336206</v>
          </cell>
          <cell r="AK107">
            <v>-1.9759365980570931E-2</v>
          </cell>
          <cell r="AL107">
            <v>-0.31956902559852318</v>
          </cell>
          <cell r="AM107">
            <v>-0.28462474316988096</v>
          </cell>
          <cell r="AN107">
            <v>-0.20048358283843226</v>
          </cell>
          <cell r="AO107">
            <v>-0.27138569772721066</v>
          </cell>
          <cell r="AP107">
            <v>-0.13172820739142521</v>
          </cell>
          <cell r="AQ107">
            <v>-8.6211765271360652E-2</v>
          </cell>
          <cell r="AR107">
            <v>-2.0850319404095652E-2</v>
          </cell>
          <cell r="AS107">
            <v>-8.6415217140277778E-2</v>
          </cell>
          <cell r="AT107">
            <v>-7.8157514196028677E-2</v>
          </cell>
          <cell r="AU107">
            <v>-7.892506356882889E-2</v>
          </cell>
          <cell r="AV107">
            <v>-2.7814094183393534E-2</v>
          </cell>
          <cell r="AW107">
            <v>-5.8241617281100111E-2</v>
          </cell>
          <cell r="AX107">
            <v>-9.9415590679915344E-2</v>
          </cell>
          <cell r="AY107">
            <v>-0.18320492383988662</v>
          </cell>
          <cell r="AZ107">
            <v>0.22938136494908035</v>
          </cell>
          <cell r="BA107">
            <v>-2.5286981928886232E-2</v>
          </cell>
          <cell r="BB107">
            <v>0.10459702021404405</v>
          </cell>
          <cell r="BC107">
            <v>5.5746801623593578E-2</v>
          </cell>
          <cell r="BD107">
            <v>6.187480050421712E-2</v>
          </cell>
          <cell r="BE107">
            <v>7.3522375055348421E-2</v>
          </cell>
          <cell r="BF107">
            <v>3.9595883534135901E-3</v>
          </cell>
          <cell r="BG107">
            <v>-3.3572226970872476E-2</v>
          </cell>
          <cell r="BH107">
            <v>-2.4576579489874462E-3</v>
          </cell>
          <cell r="BI107">
            <v>-1.098254604786908E-2</v>
          </cell>
          <cell r="BJ107">
            <v>-8.1111068600069336E-3</v>
          </cell>
          <cell r="BK107">
            <v>7.0026343329363749E-2</v>
          </cell>
          <cell r="BL107">
            <v>-2.9394314945680788E-2</v>
          </cell>
          <cell r="BM107">
            <v>6.6877696901015415E-3</v>
          </cell>
        </row>
        <row r="108">
          <cell r="A108" t="str">
            <v>NRx</v>
          </cell>
          <cell r="R108">
            <v>162335</v>
          </cell>
          <cell r="S108">
            <v>168779</v>
          </cell>
          <cell r="T108">
            <v>186504</v>
          </cell>
          <cell r="U108">
            <v>517618</v>
          </cell>
          <cell r="V108">
            <v>225023</v>
          </cell>
          <cell r="W108">
            <v>231180</v>
          </cell>
          <cell r="X108">
            <v>190959</v>
          </cell>
          <cell r="Y108">
            <v>647162</v>
          </cell>
          <cell r="Z108">
            <v>145970</v>
          </cell>
          <cell r="AA108">
            <v>130236</v>
          </cell>
          <cell r="AB108">
            <v>95014</v>
          </cell>
          <cell r="AC108">
            <v>371220</v>
          </cell>
          <cell r="AD108">
            <v>81620</v>
          </cell>
          <cell r="AE108">
            <v>87468</v>
          </cell>
          <cell r="AF108">
            <v>121471</v>
          </cell>
          <cell r="AG108">
            <v>290559</v>
          </cell>
          <cell r="AH108">
            <v>158263</v>
          </cell>
          <cell r="AI108">
            <v>184669</v>
          </cell>
          <cell r="AJ108">
            <v>153222</v>
          </cell>
          <cell r="AK108">
            <v>496154</v>
          </cell>
          <cell r="AL108">
            <v>140885</v>
          </cell>
          <cell r="AM108">
            <v>150423</v>
          </cell>
          <cell r="AN108">
            <v>135032</v>
          </cell>
          <cell r="AO108">
            <v>426340</v>
          </cell>
          <cell r="AP108">
            <v>113029</v>
          </cell>
          <cell r="AQ108">
            <v>105358</v>
          </cell>
          <cell r="AR108">
            <v>82415</v>
          </cell>
          <cell r="AS108">
            <v>300802</v>
          </cell>
          <cell r="AT108">
            <v>66550</v>
          </cell>
          <cell r="AU108">
            <v>72797</v>
          </cell>
          <cell r="AV108">
            <v>109174</v>
          </cell>
          <cell r="AW108">
            <v>248521</v>
          </cell>
          <cell r="AX108">
            <v>130108</v>
          </cell>
          <cell r="AY108">
            <v>136681</v>
          </cell>
          <cell r="AZ108">
            <v>186138</v>
          </cell>
          <cell r="BA108">
            <v>452927</v>
          </cell>
          <cell r="BB108">
            <v>149061</v>
          </cell>
          <cell r="BC108">
            <v>156718</v>
          </cell>
          <cell r="BD108">
            <v>144084</v>
          </cell>
          <cell r="BE108">
            <v>449863</v>
          </cell>
          <cell r="BF108">
            <v>114620</v>
          </cell>
          <cell r="BG108">
            <v>105113</v>
          </cell>
          <cell r="BH108">
            <v>84942</v>
          </cell>
          <cell r="BI108">
            <v>304675</v>
          </cell>
          <cell r="BJ108">
            <v>67748</v>
          </cell>
          <cell r="BK108">
            <v>81517</v>
          </cell>
          <cell r="BL108">
            <v>106875</v>
          </cell>
          <cell r="BM108">
            <v>256140</v>
          </cell>
        </row>
        <row r="109">
          <cell r="A109" t="str">
            <v xml:space="preserve">  % Change</v>
          </cell>
          <cell r="AH109">
            <v>-2.5083931376474577E-2</v>
          </cell>
          <cell r="AI109">
            <v>9.4146783663844547E-2</v>
          </cell>
          <cell r="AJ109">
            <v>-0.178451936687685</v>
          </cell>
          <cell r="AK109">
            <v>-4.1466873254021319E-2</v>
          </cell>
          <cell r="AL109">
            <v>-0.3739084449145198</v>
          </cell>
          <cell r="AM109">
            <v>-0.3493252011419673</v>
          </cell>
          <cell r="AN109">
            <v>-0.2928743866484429</v>
          </cell>
          <cell r="AO109">
            <v>-0.34121595520132519</v>
          </cell>
          <cell r="AP109">
            <v>-0.22566965814893469</v>
          </cell>
          <cell r="AQ109">
            <v>-0.19102245154949471</v>
          </cell>
          <cell r="AR109">
            <v>-0.13260151135622122</v>
          </cell>
          <cell r="AS109">
            <v>-0.18969344324120463</v>
          </cell>
          <cell r="AT109">
            <v>-0.1846361185983828</v>
          </cell>
          <cell r="AU109">
            <v>-0.16772991265377057</v>
          </cell>
          <cell r="AV109">
            <v>-0.10123403940035069</v>
          </cell>
          <cell r="AW109">
            <v>-0.14467973802222611</v>
          </cell>
          <cell r="AX109">
            <v>-0.17790007771873395</v>
          </cell>
          <cell r="AY109">
            <v>-0.2598595324607812</v>
          </cell>
          <cell r="AZ109">
            <v>0.21482554724517366</v>
          </cell>
          <cell r="BA109">
            <v>-8.7124159031268467E-2</v>
          </cell>
          <cell r="BB109">
            <v>5.8033147602654545E-2</v>
          </cell>
          <cell r="BC109">
            <v>4.1848653463898433E-2</v>
          </cell>
          <cell r="BD109">
            <v>6.703596184608096E-2</v>
          </cell>
          <cell r="BE109">
            <v>5.5174274053572336E-2</v>
          </cell>
          <cell r="BF109">
            <v>1.4076033584301317E-2</v>
          </cell>
          <cell r="BG109">
            <v>-2.3254048102659963E-3</v>
          </cell>
          <cell r="BH109">
            <v>3.0661894072681051E-2</v>
          </cell>
          <cell r="BI109">
            <v>1.2875579284712169E-2</v>
          </cell>
          <cell r="BJ109">
            <v>1.8001502629601873E-2</v>
          </cell>
          <cell r="BK109">
            <v>0.11978515598170247</v>
          </cell>
          <cell r="BL109">
            <v>-2.1058127392968973E-2</v>
          </cell>
          <cell r="BM109">
            <v>3.0657368994974288E-2</v>
          </cell>
        </row>
        <row r="110">
          <cell r="A110" t="str">
            <v>Sales (IMS)</v>
          </cell>
          <cell r="R110">
            <v>1.7356</v>
          </cell>
          <cell r="S110">
            <v>1.779822</v>
          </cell>
          <cell r="T110">
            <v>2.250696</v>
          </cell>
          <cell r="U110">
            <v>5.7661180000000005</v>
          </cell>
          <cell r="V110">
            <v>1.698966</v>
          </cell>
          <cell r="W110">
            <v>1.789617</v>
          </cell>
          <cell r="X110">
            <v>1.8993739999999999</v>
          </cell>
          <cell r="Y110">
            <v>5.3879570000000001</v>
          </cell>
          <cell r="Z110">
            <v>1.27908</v>
          </cell>
          <cell r="AA110">
            <v>1.2365360000000001</v>
          </cell>
          <cell r="AB110">
            <v>1.3066340000000001</v>
          </cell>
          <cell r="AC110">
            <v>3.8222500000000004</v>
          </cell>
          <cell r="AD110">
            <v>0.85473900000000003</v>
          </cell>
          <cell r="AE110">
            <v>0.97423499999999996</v>
          </cell>
          <cell r="AF110">
            <v>1.6266240000000001</v>
          </cell>
          <cell r="AG110">
            <v>3.4555980000000002</v>
          </cell>
          <cell r="AH110">
            <v>1.5429809999999999</v>
          </cell>
          <cell r="AI110">
            <v>1.596768</v>
          </cell>
          <cell r="AJ110">
            <v>1.9616439999999999</v>
          </cell>
          <cell r="AK110">
            <v>5.1013929999999998</v>
          </cell>
          <cell r="AL110">
            <v>1.4404459999999999</v>
          </cell>
          <cell r="AM110">
            <v>1.67811</v>
          </cell>
          <cell r="AN110">
            <v>1.979725</v>
          </cell>
          <cell r="AO110">
            <v>5.0982810000000001</v>
          </cell>
          <cell r="AP110">
            <v>1.4210510000000001</v>
          </cell>
          <cell r="AQ110">
            <v>1.365753</v>
          </cell>
          <cell r="AR110">
            <v>1.3239080000000001</v>
          </cell>
          <cell r="AS110">
            <v>4.1107120000000004</v>
          </cell>
          <cell r="AT110">
            <v>0.758857</v>
          </cell>
          <cell r="AU110">
            <v>0.88878800000000002</v>
          </cell>
          <cell r="AV110">
            <v>1.4313800000000001</v>
          </cell>
          <cell r="AW110">
            <v>3.0790250000000001</v>
          </cell>
          <cell r="AX110">
            <v>1.368293</v>
          </cell>
          <cell r="AY110">
            <v>1.586611</v>
          </cell>
          <cell r="AZ110">
            <v>2.0953979999999999</v>
          </cell>
          <cell r="BA110">
            <v>5.0503020000000003</v>
          </cell>
          <cell r="BB110">
            <v>1.404075</v>
          </cell>
          <cell r="BC110">
            <v>1.696804</v>
          </cell>
          <cell r="BD110">
            <v>1.919152</v>
          </cell>
          <cell r="BE110">
            <v>5.0200309999999995</v>
          </cell>
          <cell r="BF110">
            <v>1.225913</v>
          </cell>
          <cell r="BG110">
            <v>1.2552289999999999</v>
          </cell>
          <cell r="BH110">
            <v>1.2386029999999999</v>
          </cell>
          <cell r="BI110">
            <v>3.7197450000000001</v>
          </cell>
          <cell r="BJ110">
            <v>0.83290299999999995</v>
          </cell>
          <cell r="BK110">
            <v>0.93392299999999995</v>
          </cell>
        </row>
        <row r="111">
          <cell r="A111" t="str">
            <v xml:space="preserve">  % Change</v>
          </cell>
          <cell r="AH111">
            <v>-0.11098121687024665</v>
          </cell>
          <cell r="AI111">
            <v>-0.10284961080377708</v>
          </cell>
          <cell r="AJ111">
            <v>-0.12842782854725832</v>
          </cell>
          <cell r="AK111">
            <v>-0.11528119958696659</v>
          </cell>
          <cell r="AL111">
            <v>-0.15216313922703584</v>
          </cell>
          <cell r="AM111">
            <v>-6.2307745176761298E-2</v>
          </cell>
          <cell r="AN111">
            <v>4.2303938034320865E-2</v>
          </cell>
          <cell r="AO111">
            <v>-5.3763606502427508E-2</v>
          </cell>
          <cell r="AP111">
            <v>0.1109946211339401</v>
          </cell>
          <cell r="AQ111">
            <v>0.10449918158468496</v>
          </cell>
          <cell r="AR111">
            <v>1.3220228464895234E-2</v>
          </cell>
          <cell r="AS111">
            <v>7.546916083458699E-2</v>
          </cell>
          <cell r="AT111">
            <v>-0.11217693354345593</v>
          </cell>
          <cell r="AU111">
            <v>-8.7706764794941661E-2</v>
          </cell>
          <cell r="AV111">
            <v>-0.1200301975133774</v>
          </cell>
          <cell r="AW111">
            <v>-0.10897477079220441</v>
          </cell>
          <cell r="AX111">
            <v>-0.11321461508599262</v>
          </cell>
          <cell r="AY111">
            <v>-6.3609741678190002E-3</v>
          </cell>
          <cell r="AZ111">
            <v>6.8184645124191645E-2</v>
          </cell>
          <cell r="BA111">
            <v>-1.0015107638246978E-2</v>
          </cell>
          <cell r="BB111">
            <v>-2.524981845900498E-2</v>
          </cell>
          <cell r="BC111">
            <v>1.1139913354905273E-2</v>
          </cell>
          <cell r="BD111">
            <v>-3.0596673780449279E-2</v>
          </cell>
          <cell r="BE111">
            <v>-1.534831053839536E-2</v>
          </cell>
          <cell r="BF111">
            <v>-0.13731949099645269</v>
          </cell>
          <cell r="BG111">
            <v>-8.092532104999961E-2</v>
          </cell>
          <cell r="BH111">
            <v>-6.4434235611538049E-2</v>
          </cell>
          <cell r="BI111">
            <v>-9.5109314396143563E-2</v>
          </cell>
          <cell r="BJ111">
            <v>9.757569607976202E-2</v>
          </cell>
          <cell r="BK111">
            <v>5.0782638829506954E-2</v>
          </cell>
        </row>
        <row r="113">
          <cell r="A113" t="str">
            <v>Total U.S. Generics TRx1</v>
          </cell>
          <cell r="R113">
            <v>7486239</v>
          </cell>
          <cell r="S113">
            <v>7319810</v>
          </cell>
          <cell r="T113">
            <v>7604575</v>
          </cell>
          <cell r="U113">
            <v>22410624</v>
          </cell>
          <cell r="V113">
            <v>8579634</v>
          </cell>
          <cell r="W113">
            <v>8266592</v>
          </cell>
          <cell r="X113">
            <v>8362204</v>
          </cell>
          <cell r="Y113">
            <v>25208430</v>
          </cell>
          <cell r="Z113">
            <v>7729130</v>
          </cell>
          <cell r="AA113">
            <v>7490406</v>
          </cell>
          <cell r="AB113">
            <v>6639787</v>
          </cell>
          <cell r="AC113">
            <v>21859323</v>
          </cell>
          <cell r="AD113">
            <v>7078304</v>
          </cell>
          <cell r="AE113">
            <v>7008103</v>
          </cell>
          <cell r="AF113">
            <v>6866594</v>
          </cell>
          <cell r="AG113">
            <v>20953001</v>
          </cell>
          <cell r="AH113">
            <v>7378063</v>
          </cell>
          <cell r="AI113">
            <v>7107496</v>
          </cell>
          <cell r="AJ113">
            <v>7402158</v>
          </cell>
          <cell r="AK113">
            <v>21887717</v>
          </cell>
          <cell r="AL113">
            <v>7329607</v>
          </cell>
          <cell r="AM113">
            <v>6704716</v>
          </cell>
          <cell r="AN113">
            <v>6882320</v>
          </cell>
          <cell r="AO113">
            <v>20916643</v>
          </cell>
          <cell r="AP113">
            <v>6883867</v>
          </cell>
          <cell r="AQ113">
            <v>6487768</v>
          </cell>
          <cell r="AR113">
            <v>6187236</v>
          </cell>
          <cell r="AS113">
            <v>19558871</v>
          </cell>
          <cell r="AT113">
            <v>6244568</v>
          </cell>
          <cell r="AU113">
            <v>6059967</v>
          </cell>
          <cell r="AV113">
            <v>6359857</v>
          </cell>
          <cell r="AW113">
            <v>18664392</v>
          </cell>
          <cell r="AX113">
            <v>6785486</v>
          </cell>
        </row>
        <row r="114">
          <cell r="A114" t="str">
            <v xml:space="preserve">  % Change</v>
          </cell>
          <cell r="AH114">
            <v>-1.4449979489033149E-2</v>
          </cell>
          <cell r="AI114">
            <v>-2.9005397681087342E-2</v>
          </cell>
          <cell r="AJ114">
            <v>-2.6617792578809474E-2</v>
          </cell>
          <cell r="AK114">
            <v>-2.3332995993328831E-2</v>
          </cell>
          <cell r="AL114">
            <v>-0.14569700758796933</v>
          </cell>
          <cell r="AM114">
            <v>-0.18893831944288531</v>
          </cell>
          <cell r="AN114">
            <v>-0.17697296071705493</v>
          </cell>
          <cell r="AO114">
            <v>-0.17025205457063375</v>
          </cell>
          <cell r="AP114">
            <v>-0.10936069130678361</v>
          </cell>
          <cell r="AQ114">
            <v>-0.13385629564004942</v>
          </cell>
          <cell r="AR114">
            <v>-6.8157457460608306E-2</v>
          </cell>
          <cell r="AS114">
            <v>-0.10523894084002505</v>
          </cell>
          <cell r="AT114">
            <v>-0.11778753780566642</v>
          </cell>
          <cell r="AU114">
            <v>-0.13529139055176553</v>
          </cell>
          <cell r="AV114">
            <v>-7.3797431448546447E-2</v>
          </cell>
          <cell r="AW114">
            <v>-0.10922583356913884</v>
          </cell>
          <cell r="AX114">
            <v>-8.0316066696638377E-2</v>
          </cell>
        </row>
        <row r="115">
          <cell r="F115" t="str">
            <v>US generics = total ALO</v>
          </cell>
        </row>
        <row r="116">
          <cell r="A116" t="str">
            <v>Total U.S. Generics Sales (Reported)</v>
          </cell>
          <cell r="I116">
            <v>65.7</v>
          </cell>
          <cell r="M116">
            <v>64.099999999999994</v>
          </cell>
          <cell r="Q116">
            <v>80.900000000000006</v>
          </cell>
          <cell r="U116">
            <v>95.6</v>
          </cell>
          <cell r="Y116">
            <v>113.5</v>
          </cell>
          <cell r="AC116">
            <v>123.9</v>
          </cell>
          <cell r="AG116">
            <v>135.4</v>
          </cell>
          <cell r="AK116">
            <v>135</v>
          </cell>
          <cell r="AO116">
            <v>124.1</v>
          </cell>
          <cell r="AS116">
            <v>135</v>
          </cell>
          <cell r="AW116">
            <v>132.4</v>
          </cell>
          <cell r="BA116">
            <v>136</v>
          </cell>
        </row>
        <row r="117">
          <cell r="A117" t="str">
            <v xml:space="preserve">  % Change</v>
          </cell>
          <cell r="AG117">
            <v>1.060882800608828</v>
          </cell>
          <cell r="AK117">
            <v>1.1060842433697351</v>
          </cell>
          <cell r="AO117">
            <v>0.53399258343634104</v>
          </cell>
          <cell r="AS117">
            <v>0.41213389121338917</v>
          </cell>
          <cell r="AW117">
            <v>0.16651982378854635</v>
          </cell>
          <cell r="BA117">
            <v>9.5890410958904049E-2</v>
          </cell>
        </row>
        <row r="119">
          <cell r="A119" t="str">
            <v>Total U.S. Generics Sales (IMS)</v>
          </cell>
          <cell r="C119">
            <v>40.981705999999996</v>
          </cell>
          <cell r="D119">
            <v>54.621559999999995</v>
          </cell>
          <cell r="E119">
            <v>135.83631499999998</v>
          </cell>
          <cell r="F119">
            <v>39.739868999999999</v>
          </cell>
          <cell r="G119">
            <v>41.756387000000004</v>
          </cell>
          <cell r="H119">
            <v>53.314768000000001</v>
          </cell>
          <cell r="I119">
            <v>134.811024</v>
          </cell>
          <cell r="J119">
            <v>42.824332999999996</v>
          </cell>
          <cell r="K119">
            <v>41.535637000000001</v>
          </cell>
          <cell r="L119">
            <v>48.417520000000003</v>
          </cell>
          <cell r="M119">
            <v>132.77749</v>
          </cell>
          <cell r="N119">
            <v>39.991198999999995</v>
          </cell>
          <cell r="O119">
            <v>39.830183999999996</v>
          </cell>
          <cell r="P119">
            <v>49.974548999999996</v>
          </cell>
          <cell r="Q119">
            <v>129.79593199999999</v>
          </cell>
          <cell r="R119">
            <v>42.342741000000004</v>
          </cell>
          <cell r="S119">
            <v>52.673268</v>
          </cell>
          <cell r="T119">
            <v>52.934001000000002</v>
          </cell>
          <cell r="U119">
            <v>147.95001000000002</v>
          </cell>
          <cell r="V119">
            <v>47.234176999999995</v>
          </cell>
          <cell r="W119">
            <v>50.692321</v>
          </cell>
          <cell r="X119">
            <v>57.150638000000001</v>
          </cell>
          <cell r="Y119">
            <v>155.07713600000002</v>
          </cell>
          <cell r="Z119">
            <v>42.395985000000003</v>
          </cell>
          <cell r="AA119">
            <v>42.309469</v>
          </cell>
          <cell r="AB119">
            <v>57.178215000000002</v>
          </cell>
          <cell r="AC119">
            <v>141.883669</v>
          </cell>
          <cell r="AD119">
            <v>45.085734000000002</v>
          </cell>
          <cell r="AE119">
            <v>45.605094999999999</v>
          </cell>
          <cell r="AF119">
            <v>56.663368999999996</v>
          </cell>
          <cell r="AG119">
            <v>147.354198</v>
          </cell>
          <cell r="AH119">
            <v>45.815784000000001</v>
          </cell>
          <cell r="AI119">
            <v>44.926693</v>
          </cell>
          <cell r="AJ119">
            <v>57.524630999999999</v>
          </cell>
          <cell r="AK119">
            <v>148.26710800000001</v>
          </cell>
          <cell r="AL119">
            <v>45.397329999999997</v>
          </cell>
          <cell r="AM119">
            <v>39.608669999999996</v>
          </cell>
          <cell r="AN119">
            <v>47.751542000000001</v>
          </cell>
          <cell r="AO119">
            <v>132.757542</v>
          </cell>
          <cell r="AP119">
            <v>37.290902000000003</v>
          </cell>
          <cell r="AQ119">
            <v>34.452579999999998</v>
          </cell>
          <cell r="AR119">
            <v>45.455569999999994</v>
          </cell>
          <cell r="AS119">
            <v>117.19905199999999</v>
          </cell>
          <cell r="AT119">
            <v>32.568224000000001</v>
          </cell>
          <cell r="AU119">
            <v>35.206804999999996</v>
          </cell>
          <cell r="AV119">
            <v>42.628205000000001</v>
          </cell>
          <cell r="AW119">
            <v>110.40323399999998</v>
          </cell>
        </row>
        <row r="120">
          <cell r="A120" t="str">
            <v xml:space="preserve">  % Change</v>
          </cell>
          <cell r="S120">
            <v>0.28528734260111088</v>
          </cell>
          <cell r="T120">
            <v>-3.0895474241306786E-2</v>
          </cell>
          <cell r="U120">
            <v>8.9178619134360648E-2</v>
          </cell>
          <cell r="V120">
            <v>0.1885841143562903</v>
          </cell>
          <cell r="W120">
            <v>0.21400160890356723</v>
          </cell>
          <cell r="X120">
            <v>7.194760746215767E-2</v>
          </cell>
          <cell r="Y120">
            <v>0.15032978311922052</v>
          </cell>
          <cell r="Z120">
            <v>-1.000244417116769E-2</v>
          </cell>
          <cell r="AA120">
            <v>1.8630555732177534E-2</v>
          </cell>
          <cell r="AB120">
            <v>0.18094059753576808</v>
          </cell>
          <cell r="AC120">
            <v>6.8582249897930714E-2</v>
          </cell>
          <cell r="AD120">
            <v>0.12739140429372986</v>
          </cell>
          <cell r="AE120">
            <v>0.14498830836432997</v>
          </cell>
          <cell r="AF120">
            <v>0.13384452954242776</v>
          </cell>
          <cell r="AG120">
            <v>0.1352759345339114</v>
          </cell>
          <cell r="AH120">
            <v>8.202215817818681E-2</v>
          </cell>
          <cell r="AI120">
            <v>-0.14706843327055386</v>
          </cell>
          <cell r="AJ120">
            <v>8.6723654235016046E-2</v>
          </cell>
          <cell r="AK120">
            <v>2.143277989639758E-3</v>
          </cell>
          <cell r="AL120">
            <v>-3.8888091561328553E-2</v>
          </cell>
          <cell r="AM120">
            <v>-0.21864556172127136</v>
          </cell>
          <cell r="AN120">
            <v>-0.16446178606090101</v>
          </cell>
          <cell r="AO120">
            <v>-0.14392575576066879</v>
          </cell>
          <cell r="AP120">
            <v>-0.12041430338273773</v>
          </cell>
          <cell r="AQ120">
            <v>-0.18570048704700126</v>
          </cell>
          <cell r="AR120">
            <v>-0.20501942916546112</v>
          </cell>
          <cell r="AS120">
            <v>-0.17397785928414355</v>
          </cell>
          <cell r="AT120">
            <v>-0.27763793309874918</v>
          </cell>
          <cell r="AU120">
            <v>-0.22800719963416372</v>
          </cell>
          <cell r="AV120">
            <v>-0.24769377902679945</v>
          </cell>
          <cell r="AW120">
            <v>-0.25076288630745369</v>
          </cell>
        </row>
        <row r="122">
          <cell r="A122" t="str">
            <v>Reported Company Sales / TRx</v>
          </cell>
          <cell r="AG122">
            <v>6.4620814937201594</v>
          </cell>
          <cell r="AK122">
            <v>6.1678429047670891</v>
          </cell>
          <cell r="AO122">
            <v>5.9330744422037514</v>
          </cell>
          <cell r="AS122">
            <v>6.9022388868968969</v>
          </cell>
          <cell r="AW122">
            <v>7.0937215634990949</v>
          </cell>
        </row>
        <row r="123">
          <cell r="A123" t="str">
            <v>IMS Sales / Reported Sales</v>
          </cell>
          <cell r="AG123">
            <v>1.0882880206794683</v>
          </cell>
          <cell r="AK123">
            <v>1.0982748740740742</v>
          </cell>
          <cell r="AO123">
            <v>1.0697626269137792</v>
          </cell>
          <cell r="AS123">
            <v>0.86814112592592585</v>
          </cell>
          <cell r="AW123">
            <v>0.83386128398791526</v>
          </cell>
        </row>
        <row r="124">
          <cell r="A124" t="str">
            <v>Total Alpharma TRx</v>
          </cell>
          <cell r="B124">
            <v>6552098</v>
          </cell>
          <cell r="C124">
            <v>6787529</v>
          </cell>
          <cell r="D124">
            <v>7253589</v>
          </cell>
          <cell r="E124">
            <v>20593216</v>
          </cell>
          <cell r="F124">
            <v>8175607</v>
          </cell>
          <cell r="G124">
            <v>7273089</v>
          </cell>
          <cell r="H124">
            <v>7537919</v>
          </cell>
          <cell r="I124">
            <v>22986615</v>
          </cell>
          <cell r="J124">
            <v>6815545</v>
          </cell>
          <cell r="K124">
            <v>6817840</v>
          </cell>
          <cell r="L124">
            <v>6173586</v>
          </cell>
          <cell r="M124">
            <v>19806971</v>
          </cell>
          <cell r="N124">
            <v>6191802</v>
          </cell>
          <cell r="O124">
            <v>6466773</v>
          </cell>
          <cell r="P124">
            <v>6341042</v>
          </cell>
          <cell r="Q124">
            <v>18999617</v>
          </cell>
          <cell r="R124">
            <v>7499571</v>
          </cell>
          <cell r="S124">
            <v>7332753</v>
          </cell>
          <cell r="T124">
            <v>7617635</v>
          </cell>
          <cell r="U124">
            <v>22449959</v>
          </cell>
          <cell r="V124">
            <v>8593469</v>
          </cell>
          <cell r="W124">
            <v>8280895</v>
          </cell>
          <cell r="X124">
            <v>8377946</v>
          </cell>
          <cell r="Y124">
            <v>25252310</v>
          </cell>
          <cell r="Z124">
            <v>7745798</v>
          </cell>
          <cell r="AA124">
            <v>7508004</v>
          </cell>
          <cell r="AB124">
            <v>6657110</v>
          </cell>
          <cell r="AC124">
            <v>21910912</v>
          </cell>
          <cell r="AD124">
            <v>7097586</v>
          </cell>
          <cell r="AE124">
            <v>7027811</v>
          </cell>
          <cell r="AF124">
            <v>6886316</v>
          </cell>
          <cell r="AG124">
            <v>21011713</v>
          </cell>
          <cell r="AH124">
            <v>7400130</v>
          </cell>
          <cell r="AI124">
            <v>7129428</v>
          </cell>
          <cell r="AJ124">
            <v>7425401</v>
          </cell>
          <cell r="AK124">
            <v>21954959</v>
          </cell>
          <cell r="AL124">
            <v>7353442</v>
          </cell>
          <cell r="AM124">
            <v>6727752</v>
          </cell>
          <cell r="AN124">
            <v>6908333</v>
          </cell>
          <cell r="AO124">
            <v>20989527</v>
          </cell>
          <cell r="AP124">
            <v>6908333</v>
          </cell>
          <cell r="AQ124">
            <v>6513428</v>
          </cell>
          <cell r="AR124">
            <v>6212035</v>
          </cell>
          <cell r="AS124">
            <v>19633796</v>
          </cell>
          <cell r="AT124">
            <v>6271191</v>
          </cell>
          <cell r="AU124">
            <v>6087164</v>
          </cell>
          <cell r="AV124">
            <v>6388357</v>
          </cell>
          <cell r="AW124">
            <v>18746712</v>
          </cell>
          <cell r="AX124">
            <v>6817673</v>
          </cell>
          <cell r="AY124">
            <v>6462447</v>
          </cell>
          <cell r="AZ124">
            <v>7859954</v>
          </cell>
          <cell r="BA124">
            <v>21140074</v>
          </cell>
          <cell r="BB124">
            <v>6896471</v>
          </cell>
          <cell r="BC124">
            <v>6460873</v>
          </cell>
          <cell r="BD124">
            <v>7002098</v>
          </cell>
          <cell r="BE124">
            <v>20359442</v>
          </cell>
          <cell r="BF124">
            <v>6491589</v>
          </cell>
          <cell r="BG124">
            <v>6219233</v>
          </cell>
          <cell r="BH124">
            <v>6275151</v>
          </cell>
          <cell r="BI124">
            <v>18985973</v>
          </cell>
          <cell r="BJ124">
            <v>6035925</v>
          </cell>
          <cell r="BK124">
            <v>6106360</v>
          </cell>
          <cell r="BL124">
            <v>6050438</v>
          </cell>
          <cell r="BM124">
            <v>18192723</v>
          </cell>
        </row>
        <row r="125">
          <cell r="A125" t="str">
            <v xml:space="preserve">  % Change</v>
          </cell>
          <cell r="B125" t="str">
            <v>--</v>
          </cell>
          <cell r="C125" t="str">
            <v>--</v>
          </cell>
          <cell r="D125" t="str">
            <v>--</v>
          </cell>
          <cell r="E125" t="str">
            <v>--</v>
          </cell>
          <cell r="F125" t="str">
            <v>--</v>
          </cell>
          <cell r="G125" t="str">
            <v>--</v>
          </cell>
          <cell r="H125" t="str">
            <v>--</v>
          </cell>
          <cell r="I125" t="str">
            <v>--</v>
          </cell>
          <cell r="J125" t="str">
            <v>--</v>
          </cell>
          <cell r="K125" t="str">
            <v>--</v>
          </cell>
          <cell r="L125" t="str">
            <v>--</v>
          </cell>
          <cell r="M125" t="str">
            <v>--</v>
          </cell>
          <cell r="N125" t="str">
            <v>--</v>
          </cell>
          <cell r="O125" t="str">
            <v>--</v>
          </cell>
          <cell r="P125" t="str">
            <v>--</v>
          </cell>
          <cell r="Q125" t="str">
            <v>--</v>
          </cell>
          <cell r="R125">
            <v>0.14460604832223201</v>
          </cell>
          <cell r="S125">
            <v>8.0327317938531095E-2</v>
          </cell>
          <cell r="T125">
            <v>5.0188396392461643E-2</v>
          </cell>
          <cell r="U125">
            <v>9.0162847803859192E-2</v>
          </cell>
          <cell r="V125">
            <v>5.1110822719340643E-2</v>
          </cell>
          <cell r="W125">
            <v>0.13856643305203598</v>
          </cell>
          <cell r="X125">
            <v>0.11144017334227119</v>
          </cell>
          <cell r="Y125">
            <v>9.8565839293867308E-2</v>
          </cell>
          <cell r="Z125">
            <v>0.13648989185751104</v>
          </cell>
          <cell r="AA125">
            <v>0.10122912828696484</v>
          </cell>
          <cell r="AB125">
            <v>7.8321416434467661E-2</v>
          </cell>
          <cell r="AC125">
            <v>0.10622224872243202</v>
          </cell>
          <cell r="AD125">
            <v>0.14628762353834968</v>
          </cell>
          <cell r="AE125">
            <v>8.6757027036514112E-2</v>
          </cell>
          <cell r="AF125">
            <v>8.5991229832573346E-2</v>
          </cell>
          <cell r="AG125">
            <v>0.10590192423352529</v>
          </cell>
          <cell r="AH125">
            <v>-1.3259558446743203E-2</v>
          </cell>
          <cell r="AI125">
            <v>-2.7728330682896263E-2</v>
          </cell>
          <cell r="AJ125">
            <v>-2.5235391299268106E-2</v>
          </cell>
          <cell r="AK125">
            <v>-2.2049038040559465E-2</v>
          </cell>
          <cell r="AL125">
            <v>-0.14429876921648288</v>
          </cell>
          <cell r="AM125">
            <v>-0.18755738359199092</v>
          </cell>
          <cell r="AN125">
            <v>-0.17541447509926655</v>
          </cell>
          <cell r="AO125">
            <v>-0.16880764571637208</v>
          </cell>
          <cell r="AP125">
            <v>-0.10811862121888538</v>
          </cell>
          <cell r="AQ125">
            <v>-0.13246876266981211</v>
          </cell>
          <cell r="AR125">
            <v>-6.6857089637996081E-2</v>
          </cell>
          <cell r="AS125">
            <v>-0.10392611681339414</v>
          </cell>
          <cell r="AT125">
            <v>-0.11643324927658505</v>
          </cell>
          <cell r="AU125">
            <v>-0.13384637122426879</v>
          </cell>
          <cell r="AV125">
            <v>-7.2311378101150181E-2</v>
          </cell>
          <cell r="AW125">
            <v>-0.10779706537967659</v>
          </cell>
          <cell r="AX125">
            <v>-7.8709022679331331E-2</v>
          </cell>
          <cell r="AY125">
            <v>-9.3553227552056084E-2</v>
          </cell>
          <cell r="AZ125">
            <v>5.8522495956784049E-2</v>
          </cell>
          <cell r="BA125">
            <v>-3.711621597653636E-2</v>
          </cell>
          <cell r="BB125">
            <v>-6.214382325991008E-2</v>
          </cell>
          <cell r="BC125">
            <v>-3.9668376598899657E-2</v>
          </cell>
          <cell r="BD125">
            <v>1.3572738893739E-2</v>
          </cell>
          <cell r="BE125">
            <v>-3.0019018532432828E-2</v>
          </cell>
          <cell r="BF125">
            <v>-6.0324828001197983E-2</v>
          </cell>
          <cell r="BG125">
            <v>-4.5167460206821941E-2</v>
          </cell>
          <cell r="BH125">
            <v>1.0160277590193889E-2</v>
          </cell>
          <cell r="BI125">
            <v>-3.299530055217037E-2</v>
          </cell>
          <cell r="BJ125">
            <v>-3.7515361914507106E-2</v>
          </cell>
          <cell r="BK125">
            <v>3.1535210814099823E-3</v>
          </cell>
          <cell r="BL125">
            <v>-5.2896073278309252E-2</v>
          </cell>
          <cell r="BM125">
            <v>-2.9551262109323462E-2</v>
          </cell>
        </row>
        <row r="126">
          <cell r="A126" t="str">
            <v>Total Alpharma Sales (Reported)</v>
          </cell>
          <cell r="I126">
            <v>65.7</v>
          </cell>
          <cell r="M126">
            <v>64.099999999999994</v>
          </cell>
          <cell r="Q126">
            <v>80.900000000000006</v>
          </cell>
          <cell r="U126">
            <v>95.6</v>
          </cell>
          <cell r="Y126">
            <v>113.5</v>
          </cell>
          <cell r="AC126">
            <v>123.9</v>
          </cell>
          <cell r="AG126">
            <v>135.4</v>
          </cell>
          <cell r="AK126">
            <v>135</v>
          </cell>
          <cell r="AO126">
            <v>124.1</v>
          </cell>
          <cell r="AS126">
            <v>132.4</v>
          </cell>
          <cell r="AW126">
            <v>131.69999999999999</v>
          </cell>
          <cell r="BA126">
            <v>136.5</v>
          </cell>
          <cell r="BE126">
            <v>113.6</v>
          </cell>
          <cell r="BI126">
            <v>118.9</v>
          </cell>
          <cell r="BM126">
            <v>106</v>
          </cell>
        </row>
        <row r="127">
          <cell r="A127" t="str">
            <v xml:space="preserve">  % Change</v>
          </cell>
          <cell r="B127" t="str">
            <v>--</v>
          </cell>
          <cell r="C127" t="str">
            <v>--</v>
          </cell>
          <cell r="D127" t="str">
            <v>--</v>
          </cell>
          <cell r="E127" t="str">
            <v>--</v>
          </cell>
          <cell r="F127" t="str">
            <v>--</v>
          </cell>
          <cell r="G127" t="str">
            <v>--</v>
          </cell>
          <cell r="H127" t="str">
            <v>--</v>
          </cell>
          <cell r="I127" t="str">
            <v>--</v>
          </cell>
          <cell r="J127" t="str">
            <v>--</v>
          </cell>
          <cell r="K127" t="str">
            <v>--</v>
          </cell>
          <cell r="L127" t="str">
            <v>--</v>
          </cell>
          <cell r="M127" t="str">
            <v>--</v>
          </cell>
          <cell r="N127" t="str">
            <v>--</v>
          </cell>
          <cell r="O127" t="str">
            <v>--</v>
          </cell>
          <cell r="P127" t="str">
            <v>--</v>
          </cell>
          <cell r="Q127" t="str">
            <v>--</v>
          </cell>
          <cell r="U127" t="str">
            <v>--</v>
          </cell>
          <cell r="Y127">
            <v>0.72754946727549452</v>
          </cell>
          <cell r="AC127">
            <v>0.93291731669266786</v>
          </cell>
          <cell r="AG127">
            <v>0.67367119901112482</v>
          </cell>
          <cell r="AK127">
            <v>0.41213389121338917</v>
          </cell>
          <cell r="AO127">
            <v>9.3392070484581424E-2</v>
          </cell>
          <cell r="AS127">
            <v>6.8603712671509331E-2</v>
          </cell>
          <cell r="AW127">
            <v>-2.732644017725272E-2</v>
          </cell>
          <cell r="BA127">
            <v>9.9919419822723565E-2</v>
          </cell>
          <cell r="BE127">
            <v>-8.4609186140209514E-2</v>
          </cell>
          <cell r="BI127">
            <v>-0.10196374622356497</v>
          </cell>
          <cell r="BM127">
            <v>-0.19514047076689434</v>
          </cell>
        </row>
        <row r="128">
          <cell r="A128" t="str">
            <v>Total Company Sales (IMS)</v>
          </cell>
          <cell r="B128">
            <v>41.078798999999997</v>
          </cell>
          <cell r="C128">
            <v>41.803111999999999</v>
          </cell>
          <cell r="D128">
            <v>55.711686999999998</v>
          </cell>
          <cell r="E128">
            <v>138.59359799999999</v>
          </cell>
          <cell r="F128">
            <v>40.671481</v>
          </cell>
          <cell r="G128">
            <v>42.625360000000001</v>
          </cell>
          <cell r="H128">
            <v>54.632550000000002</v>
          </cell>
          <cell r="I128">
            <v>137.92939100000001</v>
          </cell>
          <cell r="J128">
            <v>44.018695999999998</v>
          </cell>
          <cell r="K128">
            <v>42.912588</v>
          </cell>
          <cell r="L128">
            <v>50.280306000000003</v>
          </cell>
          <cell r="M128">
            <v>137.21159</v>
          </cell>
          <cell r="N128">
            <v>41.528968999999996</v>
          </cell>
          <cell r="O128">
            <v>41.423820999999997</v>
          </cell>
          <cell r="P128">
            <v>52.107388999999998</v>
          </cell>
          <cell r="Q128">
            <v>135.06017900000001</v>
          </cell>
          <cell r="R128">
            <v>44.192407000000003</v>
          </cell>
          <cell r="S128">
            <v>55.171567000000003</v>
          </cell>
          <cell r="T128">
            <v>55.495668000000002</v>
          </cell>
          <cell r="U128">
            <v>154.85964200000001</v>
          </cell>
          <cell r="V128">
            <v>49.599711999999997</v>
          </cell>
          <cell r="W128">
            <v>52.813167</v>
          </cell>
          <cell r="X128">
            <v>60.071401000000002</v>
          </cell>
          <cell r="Y128">
            <v>162.48428000000001</v>
          </cell>
          <cell r="Z128">
            <v>44.857171000000001</v>
          </cell>
          <cell r="AA128">
            <v>44.952852999999998</v>
          </cell>
          <cell r="AB128">
            <v>60.699691999999999</v>
          </cell>
          <cell r="AC128">
            <v>150.509716</v>
          </cell>
          <cell r="AD128">
            <v>47.975782000000002</v>
          </cell>
          <cell r="AE128">
            <v>48.444102999999998</v>
          </cell>
          <cell r="AF128">
            <v>60.547941999999999</v>
          </cell>
          <cell r="AG128">
            <v>156.967827</v>
          </cell>
          <cell r="AH128">
            <v>49.415821999999999</v>
          </cell>
          <cell r="AI128">
            <v>48.485481999999998</v>
          </cell>
          <cell r="AJ128">
            <v>62.296990999999998</v>
          </cell>
          <cell r="AK128">
            <v>160.198295</v>
          </cell>
          <cell r="AL128">
            <v>49.187863999999998</v>
          </cell>
          <cell r="AM128">
            <v>43.189006999999997</v>
          </cell>
          <cell r="AN128">
            <v>52.765301000000001</v>
          </cell>
          <cell r="AO128">
            <v>145.14217199999999</v>
          </cell>
          <cell r="AP128">
            <v>41.716895000000001</v>
          </cell>
          <cell r="AQ128">
            <v>38.306683999999997</v>
          </cell>
          <cell r="AR128">
            <v>51.416581999999998</v>
          </cell>
          <cell r="AS128">
            <v>131.44016099999999</v>
          </cell>
          <cell r="AT128">
            <v>37.263438999999998</v>
          </cell>
          <cell r="AU128">
            <v>39.816783999999998</v>
          </cell>
          <cell r="AV128">
            <v>48.550097999999998</v>
          </cell>
          <cell r="AW128">
            <v>125.63032099999998</v>
          </cell>
          <cell r="AX128">
            <v>39.283214999999998</v>
          </cell>
          <cell r="AY128">
            <v>42.517921000000001</v>
          </cell>
          <cell r="AZ128">
            <v>55.806448000000003</v>
          </cell>
          <cell r="BA128">
            <v>137.607584</v>
          </cell>
          <cell r="BB128">
            <v>39.132874000000001</v>
          </cell>
          <cell r="BC128">
            <v>40.461041999999999</v>
          </cell>
          <cell r="BD128">
            <v>49.306148999999998</v>
          </cell>
          <cell r="BE128">
            <v>128.90006500000001</v>
          </cell>
          <cell r="BF128">
            <v>38.179040000000001</v>
          </cell>
          <cell r="BG128">
            <v>39.331696999999998</v>
          </cell>
          <cell r="BH128">
            <v>47.611306999999996</v>
          </cell>
          <cell r="BI128">
            <v>125.122044</v>
          </cell>
          <cell r="BJ128">
            <v>37.701645999999997</v>
          </cell>
          <cell r="BK128">
            <v>37.709997000000001</v>
          </cell>
        </row>
        <row r="129">
          <cell r="A129" t="str">
            <v xml:space="preserve">  % Change</v>
          </cell>
          <cell r="B129" t="str">
            <v>--</v>
          </cell>
          <cell r="C129" t="str">
            <v>--</v>
          </cell>
          <cell r="D129" t="str">
            <v>--</v>
          </cell>
          <cell r="E129" t="str">
            <v>--</v>
          </cell>
          <cell r="F129" t="str">
            <v>--</v>
          </cell>
          <cell r="G129" t="str">
            <v>--</v>
          </cell>
          <cell r="H129" t="str">
            <v>--</v>
          </cell>
          <cell r="I129" t="str">
            <v>--</v>
          </cell>
          <cell r="J129" t="str">
            <v>--</v>
          </cell>
          <cell r="K129" t="str">
            <v>--</v>
          </cell>
          <cell r="L129" t="str">
            <v>--</v>
          </cell>
          <cell r="M129" t="str">
            <v>--</v>
          </cell>
          <cell r="N129" t="str">
            <v>--</v>
          </cell>
          <cell r="O129" t="str">
            <v>--</v>
          </cell>
          <cell r="P129" t="str">
            <v>--</v>
          </cell>
          <cell r="Q129" t="str">
            <v>--</v>
          </cell>
          <cell r="R129">
            <v>7.5795984200998756E-2</v>
          </cell>
          <cell r="S129">
            <v>0.31979568889512344</v>
          </cell>
          <cell r="T129">
            <v>-3.8774449605160077E-3</v>
          </cell>
          <cell r="U129" t="str">
            <v>--</v>
          </cell>
          <cell r="V129">
            <v>0.21952067592522617</v>
          </cell>
          <cell r="W129">
            <v>0.23900811629508811</v>
          </cell>
          <cell r="X129">
            <v>9.9553306591034119E-2</v>
          </cell>
          <cell r="Y129">
            <v>0.17802506646317329</v>
          </cell>
          <cell r="Z129">
            <v>1.9048156265237814E-2</v>
          </cell>
          <cell r="AA129">
            <v>4.7544673837895735E-2</v>
          </cell>
          <cell r="AB129">
            <v>0.20722598625394206</v>
          </cell>
          <cell r="AC129">
            <v>9.6916929539261121E-2</v>
          </cell>
          <cell r="AD129">
            <v>0.15523652898775331</v>
          </cell>
          <cell r="AE129">
            <v>0.16947451564161597</v>
          </cell>
          <cell r="AF129">
            <v>0.16198380233559595</v>
          </cell>
          <cell r="AG129">
            <v>0.16220656719254012</v>
          </cell>
          <cell r="AK129">
            <v>3.4474140137815912E-2</v>
          </cell>
          <cell r="AO129">
            <v>-0.1067309896071178</v>
          </cell>
          <cell r="AS129">
            <v>-0.12669982713939887</v>
          </cell>
          <cell r="AT129">
            <v>-0.22328646982763101</v>
          </cell>
          <cell r="AU129">
            <v>-0.17808811528618873</v>
          </cell>
          <cell r="AV129">
            <v>-0.19815444759460199</v>
          </cell>
          <cell r="AW129">
            <v>-0.19964286057167635</v>
          </cell>
          <cell r="AX129">
            <v>-0.20504782860841619</v>
          </cell>
          <cell r="AY129">
            <v>-0.12307933743960708</v>
          </cell>
          <cell r="AZ129">
            <v>-0.10418710271255305</v>
          </cell>
          <cell r="BA129">
            <v>-0.14101717499552668</v>
          </cell>
          <cell r="BB129">
            <v>-0.20442013908146117</v>
          </cell>
          <cell r="BC129">
            <v>-6.3163411004101055E-2</v>
          </cell>
          <cell r="BD129">
            <v>-6.5557325258127519E-2</v>
          </cell>
          <cell r="BE129">
            <v>-0.11190480875537656</v>
          </cell>
          <cell r="BF129">
            <v>-8.4806287716283735E-2</v>
          </cell>
          <cell r="BG129">
            <v>2.675807177671663E-2</v>
          </cell>
          <cell r="BH129">
            <v>-7.4008711819856132E-2</v>
          </cell>
          <cell r="BI129">
            <v>-4.8068390603994926E-2</v>
          </cell>
          <cell r="BJ129">
            <v>1.1759703660201515E-2</v>
          </cell>
          <cell r="BK129">
            <v>-5.2912033277222936E-2</v>
          </cell>
        </row>
        <row r="131">
          <cell r="A131" t="str">
            <v>Reported Company Sales / TRx</v>
          </cell>
          <cell r="I131">
            <v>2.8581850785772502</v>
          </cell>
          <cell r="M131">
            <v>3.236234354056458</v>
          </cell>
          <cell r="Q131">
            <v>4.2579805687662029</v>
          </cell>
          <cell r="U131">
            <v>4.2583596700555217</v>
          </cell>
          <cell r="Y131">
            <v>4.4946383122969742</v>
          </cell>
          <cell r="AC131">
            <v>5.654716700062508</v>
          </cell>
          <cell r="AG131">
            <v>6.4440248160633073</v>
          </cell>
          <cell r="AK131">
            <v>6.1489524986131832</v>
          </cell>
          <cell r="AO131">
            <v>5.9124724439955223</v>
          </cell>
          <cell r="AS131">
            <v>6.7434743643053032</v>
          </cell>
          <cell r="AW131">
            <v>7.0252319446738172</v>
          </cell>
          <cell r="BA131">
            <v>6.4569310400710993</v>
          </cell>
          <cell r="BE131">
            <v>5.5797207015791495</v>
          </cell>
          <cell r="BI131">
            <v>6.2625181232481477</v>
          </cell>
          <cell r="BM131">
            <v>5.8265054659492144</v>
          </cell>
        </row>
        <row r="132">
          <cell r="A132" t="str">
            <v>IMS Sales / Reported Sales</v>
          </cell>
          <cell r="I132">
            <v>2.0993819025875191</v>
          </cell>
          <cell r="M132">
            <v>2.1405864274570985</v>
          </cell>
          <cell r="Q132">
            <v>1.6694706922126081</v>
          </cell>
          <cell r="U132">
            <v>1.6198707322175734</v>
          </cell>
          <cell r="Y132">
            <v>1.4315795594713658</v>
          </cell>
          <cell r="AC132">
            <v>1.2147676836158192</v>
          </cell>
          <cell r="AG132">
            <v>1.1592897119645493</v>
          </cell>
          <cell r="AK132">
            <v>1.1866540370370371</v>
          </cell>
          <cell r="AO132">
            <v>1.169558195004029</v>
          </cell>
          <cell r="AS132">
            <v>0.99275046072507545</v>
          </cell>
          <cell r="AW132">
            <v>0.95391283978739549</v>
          </cell>
          <cell r="BA132">
            <v>1.0081141684981685</v>
          </cell>
          <cell r="BE132">
            <v>1.1346836707746482</v>
          </cell>
          <cell r="BI132">
            <v>1.0523300588730025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MKTD"/>
      <sheetName val="PPLN-brand"/>
      <sheetName val="PPLN-generic"/>
      <sheetName val="IMS"/>
      <sheetName val="VAR"/>
      <sheetName val="iQ_US_CoreIndustrials"/>
      <sheetName val="SUMMARY"/>
      <sheetName val="P&amp;L Revie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 t="str">
            <v>Product</v>
          </cell>
          <cell r="B3">
            <v>36892</v>
          </cell>
          <cell r="C3">
            <v>36923</v>
          </cell>
          <cell r="D3">
            <v>36951</v>
          </cell>
          <cell r="E3" t="str">
            <v>Q1:01</v>
          </cell>
          <cell r="F3">
            <v>36982</v>
          </cell>
          <cell r="G3">
            <v>37012</v>
          </cell>
          <cell r="H3">
            <v>37043</v>
          </cell>
          <cell r="I3" t="str">
            <v>Q2:01</v>
          </cell>
          <cell r="J3">
            <v>37073</v>
          </cell>
          <cell r="K3">
            <v>37104</v>
          </cell>
          <cell r="L3">
            <v>37135</v>
          </cell>
          <cell r="M3" t="str">
            <v>Q3:01</v>
          </cell>
          <cell r="N3">
            <v>37165</v>
          </cell>
          <cell r="O3">
            <v>37196</v>
          </cell>
          <cell r="P3">
            <v>37226</v>
          </cell>
          <cell r="Q3" t="str">
            <v>Q4:01</v>
          </cell>
          <cell r="R3">
            <v>37257</v>
          </cell>
          <cell r="S3">
            <v>37288</v>
          </cell>
          <cell r="T3">
            <v>37316</v>
          </cell>
          <cell r="U3" t="str">
            <v>Q1:02</v>
          </cell>
          <cell r="V3">
            <v>37347</v>
          </cell>
          <cell r="W3">
            <v>37377</v>
          </cell>
          <cell r="X3">
            <v>37408</v>
          </cell>
          <cell r="Y3" t="str">
            <v>Q2:02</v>
          </cell>
          <cell r="Z3">
            <v>37438</v>
          </cell>
          <cell r="AA3">
            <v>37469</v>
          </cell>
          <cell r="AB3">
            <v>37500</v>
          </cell>
          <cell r="AC3" t="str">
            <v>Q3:02</v>
          </cell>
          <cell r="AD3">
            <v>37530</v>
          </cell>
          <cell r="AE3">
            <v>37561</v>
          </cell>
          <cell r="AF3">
            <v>37591</v>
          </cell>
          <cell r="AG3" t="str">
            <v>Q4:02</v>
          </cell>
          <cell r="AH3">
            <v>37622</v>
          </cell>
          <cell r="AI3">
            <v>37653</v>
          </cell>
          <cell r="AJ3">
            <v>37681</v>
          </cell>
          <cell r="AK3" t="str">
            <v>Q1:03</v>
          </cell>
          <cell r="AL3" t="str">
            <v>Apr-03</v>
          </cell>
          <cell r="AM3">
            <v>37744</v>
          </cell>
          <cell r="AN3">
            <v>37775</v>
          </cell>
          <cell r="AO3" t="str">
            <v>Q2:03</v>
          </cell>
          <cell r="AP3">
            <v>37805</v>
          </cell>
          <cell r="AQ3">
            <v>37836</v>
          </cell>
          <cell r="AR3">
            <v>37867</v>
          </cell>
          <cell r="AS3" t="str">
            <v>Q3:03</v>
          </cell>
          <cell r="AT3">
            <v>37897</v>
          </cell>
          <cell r="AU3">
            <v>37928</v>
          </cell>
          <cell r="AV3">
            <v>37958</v>
          </cell>
          <cell r="AW3" t="str">
            <v>Q4:03</v>
          </cell>
          <cell r="AX3">
            <v>37987</v>
          </cell>
          <cell r="AY3">
            <v>38018</v>
          </cell>
          <cell r="AZ3">
            <v>38047</v>
          </cell>
          <cell r="BA3" t="str">
            <v>Q1:04</v>
          </cell>
          <cell r="BB3">
            <v>38078</v>
          </cell>
          <cell r="BC3">
            <v>38108</v>
          </cell>
          <cell r="BD3">
            <v>38139</v>
          </cell>
          <cell r="BE3" t="str">
            <v>Q2:04</v>
          </cell>
          <cell r="BF3">
            <v>38169</v>
          </cell>
          <cell r="BG3">
            <v>38200</v>
          </cell>
          <cell r="BH3">
            <v>38231</v>
          </cell>
          <cell r="BI3" t="str">
            <v>Q3:04E</v>
          </cell>
        </row>
        <row r="4">
          <cell r="A4" t="str">
            <v>Generics</v>
          </cell>
        </row>
        <row r="5">
          <cell r="A5" t="str">
            <v>HEPARIN SOD</v>
          </cell>
        </row>
        <row r="6">
          <cell r="A6" t="str">
            <v>TRx</v>
          </cell>
          <cell r="B6">
            <v>9341</v>
          </cell>
          <cell r="C6">
            <v>8570</v>
          </cell>
          <cell r="D6">
            <v>9890</v>
          </cell>
          <cell r="E6">
            <v>27801</v>
          </cell>
          <cell r="F6">
            <v>9385</v>
          </cell>
          <cell r="G6">
            <v>9770</v>
          </cell>
          <cell r="H6">
            <v>9905</v>
          </cell>
          <cell r="I6">
            <v>29060</v>
          </cell>
          <cell r="J6">
            <v>10216</v>
          </cell>
          <cell r="K6">
            <v>9119</v>
          </cell>
          <cell r="L6">
            <v>7042</v>
          </cell>
          <cell r="M6">
            <v>26377</v>
          </cell>
          <cell r="N6">
            <v>8121</v>
          </cell>
          <cell r="O6">
            <v>7029</v>
          </cell>
          <cell r="P6">
            <v>7564</v>
          </cell>
          <cell r="Q6">
            <v>22714</v>
          </cell>
          <cell r="R6">
            <v>8850</v>
          </cell>
          <cell r="S6">
            <v>8176</v>
          </cell>
          <cell r="T6">
            <v>8501</v>
          </cell>
          <cell r="U6">
            <v>25527</v>
          </cell>
          <cell r="V6">
            <v>9733</v>
          </cell>
          <cell r="W6">
            <v>11693</v>
          </cell>
          <cell r="X6">
            <v>10970</v>
          </cell>
          <cell r="Y6">
            <v>32396</v>
          </cell>
          <cell r="Z6">
            <v>11887</v>
          </cell>
          <cell r="AA6">
            <v>11321</v>
          </cell>
          <cell r="AB6">
            <v>10799</v>
          </cell>
          <cell r="AC6">
            <v>34007</v>
          </cell>
          <cell r="AD6">
            <v>11725</v>
          </cell>
          <cell r="AE6">
            <v>11280</v>
          </cell>
          <cell r="AF6">
            <v>11172</v>
          </cell>
          <cell r="AG6">
            <v>34177</v>
          </cell>
          <cell r="AH6">
            <v>11798</v>
          </cell>
          <cell r="AI6">
            <v>10400</v>
          </cell>
          <cell r="AJ6">
            <v>11082</v>
          </cell>
          <cell r="AK6">
            <v>33280</v>
          </cell>
          <cell r="AL6">
            <v>10161</v>
          </cell>
          <cell r="AM6">
            <v>10582</v>
          </cell>
          <cell r="AN6">
            <v>11339</v>
          </cell>
          <cell r="AO6">
            <v>32082</v>
          </cell>
          <cell r="AP6">
            <v>11678</v>
          </cell>
          <cell r="AQ6">
            <v>11518</v>
          </cell>
          <cell r="AR6">
            <v>10986</v>
          </cell>
          <cell r="AS6">
            <v>34182</v>
          </cell>
          <cell r="AT6">
            <v>11895</v>
          </cell>
          <cell r="AU6">
            <v>11755</v>
          </cell>
          <cell r="AV6">
            <v>12906</v>
          </cell>
          <cell r="AW6">
            <v>36556</v>
          </cell>
          <cell r="AX6">
            <v>14545</v>
          </cell>
          <cell r="AY6">
            <v>13112</v>
          </cell>
          <cell r="AZ6">
            <v>14919</v>
          </cell>
          <cell r="BA6">
            <v>42576</v>
          </cell>
          <cell r="BB6">
            <v>15052</v>
          </cell>
          <cell r="BC6">
            <v>14267</v>
          </cell>
          <cell r="BD6">
            <v>13449</v>
          </cell>
          <cell r="BE6">
            <v>42768</v>
          </cell>
          <cell r="BF6">
            <v>13619</v>
          </cell>
          <cell r="BG6">
            <v>12420</v>
          </cell>
          <cell r="BH6">
            <v>11241</v>
          </cell>
          <cell r="BI6">
            <v>37280</v>
          </cell>
        </row>
        <row r="7">
          <cell r="A7" t="str">
            <v xml:space="preserve">  % Change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-5.2563965314206151E-2</v>
          </cell>
          <cell r="S7">
            <v>-4.5974329054842444E-2</v>
          </cell>
          <cell r="T7">
            <v>-0.14044489383215364</v>
          </cell>
          <cell r="U7">
            <v>-8.179561886263087E-2</v>
          </cell>
          <cell r="V7">
            <v>3.7080447522642501E-2</v>
          </cell>
          <cell r="W7">
            <v>0.19682702149437059</v>
          </cell>
          <cell r="X7">
            <v>0.10752145381120637</v>
          </cell>
          <cell r="Y7">
            <v>0.11479697178251902</v>
          </cell>
          <cell r="Z7">
            <v>0.16356695379796404</v>
          </cell>
          <cell r="AA7">
            <v>0.24147384581642717</v>
          </cell>
          <cell r="AB7">
            <v>0.5335132064754331</v>
          </cell>
          <cell r="AC7">
            <v>0.28926716457519808</v>
          </cell>
          <cell r="AD7">
            <v>0.44378771087304525</v>
          </cell>
          <cell r="AE7">
            <v>0.60478019632949209</v>
          </cell>
          <cell r="AF7">
            <v>0.47699629825489165</v>
          </cell>
          <cell r="AG7">
            <v>0.5046667253676147</v>
          </cell>
          <cell r="AH7">
            <v>0.33310734463276837</v>
          </cell>
          <cell r="AI7">
            <v>0.27201565557729945</v>
          </cell>
          <cell r="AJ7">
            <v>0.30361133984237143</v>
          </cell>
          <cell r="AK7">
            <v>0.30371763231088655</v>
          </cell>
          <cell r="AL7">
            <v>4.3974108702352854E-2</v>
          </cell>
          <cell r="AM7">
            <v>-9.5014111006585189E-2</v>
          </cell>
          <cell r="AN7">
            <v>3.3637192342752975E-2</v>
          </cell>
          <cell r="AO7">
            <v>-9.6925546363748616E-3</v>
          </cell>
          <cell r="AP7">
            <v>-1.7582232691175204E-2</v>
          </cell>
          <cell r="AQ7">
            <v>1.740128963872456E-2</v>
          </cell>
          <cell r="AR7">
            <v>1.7316418186869242E-2</v>
          </cell>
          <cell r="AS7">
            <v>5.1459993530744708E-3</v>
          </cell>
          <cell r="AT7">
            <v>1.4498933901919031E-2</v>
          </cell>
          <cell r="AU7">
            <v>4.2109929078014252E-2</v>
          </cell>
          <cell r="AV7">
            <v>0.15520945220193338</v>
          </cell>
          <cell r="AW7">
            <v>6.960821605173062E-2</v>
          </cell>
          <cell r="AX7">
            <v>0.23283607391083239</v>
          </cell>
          <cell r="AY7">
            <v>0.26076923076923086</v>
          </cell>
          <cell r="AZ7">
            <v>0.34623714131023275</v>
          </cell>
          <cell r="BA7">
            <v>0.27932692307692308</v>
          </cell>
          <cell r="BB7">
            <v>0.48135026080110221</v>
          </cell>
          <cell r="BC7">
            <v>0.34823284823284828</v>
          </cell>
          <cell r="BD7">
            <v>0.18608342887379847</v>
          </cell>
          <cell r="BE7">
            <v>0.33308397232092757</v>
          </cell>
          <cell r="BF7">
            <v>0.16620996746018157</v>
          </cell>
          <cell r="BG7">
            <v>7.8312206980378551E-2</v>
          </cell>
          <cell r="BH7">
            <v>2.3211359912616025E-2</v>
          </cell>
          <cell r="BI7">
            <v>9.0632496635656201E-2</v>
          </cell>
        </row>
        <row r="8">
          <cell r="A8" t="str">
            <v>NRx</v>
          </cell>
          <cell r="B8">
            <v>4242</v>
          </cell>
          <cell r="C8">
            <v>3563</v>
          </cell>
          <cell r="D8">
            <v>4269</v>
          </cell>
          <cell r="E8">
            <v>12074</v>
          </cell>
          <cell r="F8">
            <v>3898</v>
          </cell>
          <cell r="G8">
            <v>4029</v>
          </cell>
          <cell r="H8">
            <v>4312</v>
          </cell>
          <cell r="I8">
            <v>12239</v>
          </cell>
          <cell r="J8">
            <v>4143</v>
          </cell>
          <cell r="K8">
            <v>4152</v>
          </cell>
          <cell r="L8">
            <v>3449</v>
          </cell>
          <cell r="M8">
            <v>11744</v>
          </cell>
          <cell r="N8">
            <v>3819</v>
          </cell>
          <cell r="O8">
            <v>3329</v>
          </cell>
          <cell r="P8">
            <v>3169</v>
          </cell>
          <cell r="Q8">
            <v>10317</v>
          </cell>
          <cell r="R8">
            <v>3936</v>
          </cell>
          <cell r="S8">
            <v>3541</v>
          </cell>
          <cell r="T8">
            <v>3741</v>
          </cell>
          <cell r="U8">
            <v>11218</v>
          </cell>
          <cell r="V8">
            <v>4394</v>
          </cell>
          <cell r="W8">
            <v>5214</v>
          </cell>
          <cell r="X8">
            <v>4596</v>
          </cell>
          <cell r="Y8">
            <v>14204</v>
          </cell>
          <cell r="Z8">
            <v>5087</v>
          </cell>
          <cell r="AA8">
            <v>4853</v>
          </cell>
          <cell r="AB8">
            <v>4510</v>
          </cell>
          <cell r="AC8">
            <v>14450</v>
          </cell>
          <cell r="AD8">
            <v>5298</v>
          </cell>
          <cell r="AE8">
            <v>4938</v>
          </cell>
          <cell r="AF8">
            <v>4887</v>
          </cell>
          <cell r="AG8">
            <v>15123</v>
          </cell>
          <cell r="AH8">
            <v>5454</v>
          </cell>
          <cell r="AI8">
            <v>4729</v>
          </cell>
          <cell r="AJ8">
            <v>5134</v>
          </cell>
          <cell r="AK8">
            <v>15317</v>
          </cell>
          <cell r="AL8">
            <v>4628</v>
          </cell>
          <cell r="AM8">
            <v>4792</v>
          </cell>
          <cell r="AN8">
            <v>5021</v>
          </cell>
          <cell r="AO8">
            <v>14441</v>
          </cell>
          <cell r="AP8">
            <v>5386</v>
          </cell>
          <cell r="AQ8">
            <v>5270</v>
          </cell>
          <cell r="AR8">
            <v>4929</v>
          </cell>
          <cell r="AS8">
            <v>15585</v>
          </cell>
          <cell r="AT8">
            <v>5573</v>
          </cell>
          <cell r="AU8">
            <v>5274</v>
          </cell>
          <cell r="AV8">
            <v>5870</v>
          </cell>
          <cell r="AW8">
            <v>16717</v>
          </cell>
          <cell r="AX8">
            <v>6650</v>
          </cell>
          <cell r="AY8">
            <v>6101</v>
          </cell>
          <cell r="AZ8">
            <v>6966</v>
          </cell>
          <cell r="BA8">
            <v>19717</v>
          </cell>
          <cell r="BB8">
            <v>6676</v>
          </cell>
          <cell r="BC8">
            <v>6294</v>
          </cell>
          <cell r="BD8">
            <v>6056</v>
          </cell>
          <cell r="BE8">
            <v>19026</v>
          </cell>
          <cell r="BF8">
            <v>6135</v>
          </cell>
          <cell r="BG8">
            <v>5511</v>
          </cell>
          <cell r="BH8">
            <v>5310</v>
          </cell>
          <cell r="BI8">
            <v>16956</v>
          </cell>
        </row>
        <row r="9">
          <cell r="A9" t="str">
            <v xml:space="preserve">  % Change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-7.2135785007072184E-2</v>
          </cell>
          <cell r="S9">
            <v>-6.1745719898961271E-3</v>
          </cell>
          <cell r="T9">
            <v>-0.12368236120871401</v>
          </cell>
          <cell r="U9">
            <v>-7.0896140467119451E-2</v>
          </cell>
          <cell r="V9">
            <v>0.1272447408927655</v>
          </cell>
          <cell r="W9">
            <v>0.29411764705882359</v>
          </cell>
          <cell r="X9">
            <v>6.5862708719851559E-2</v>
          </cell>
          <cell r="Y9">
            <v>0.16055233270692049</v>
          </cell>
          <cell r="Z9">
            <v>0.22785421192372679</v>
          </cell>
          <cell r="AA9">
            <v>0.16883429672447003</v>
          </cell>
          <cell r="AB9">
            <v>0.30762539866628003</v>
          </cell>
          <cell r="AC9">
            <v>0.23041553133514991</v>
          </cell>
          <cell r="AD9">
            <v>0.38727415553809896</v>
          </cell>
          <cell r="AE9">
            <v>0.48332832682487226</v>
          </cell>
          <cell r="AF9">
            <v>0.54212685389712845</v>
          </cell>
          <cell r="AG9">
            <v>0.46583309101482984</v>
          </cell>
          <cell r="AH9">
            <v>0.38567073170731714</v>
          </cell>
          <cell r="AI9">
            <v>0.33549844676645013</v>
          </cell>
          <cell r="AJ9">
            <v>0.37236033146217595</v>
          </cell>
          <cell r="AK9">
            <v>0.36539490105188088</v>
          </cell>
          <cell r="AL9">
            <v>5.3254437869822535E-2</v>
          </cell>
          <cell r="AM9">
            <v>-8.0935941695435387E-2</v>
          </cell>
          <cell r="AN9">
            <v>9.2471714534377636E-2</v>
          </cell>
          <cell r="AO9">
            <v>1.6685440720923594E-2</v>
          </cell>
          <cell r="AP9">
            <v>5.8777275407902563E-2</v>
          </cell>
          <cell r="AQ9">
            <v>8.5926231197197556E-2</v>
          </cell>
          <cell r="AR9">
            <v>9.2904656319290568E-2</v>
          </cell>
          <cell r="AS9">
            <v>7.8546712802768148E-2</v>
          </cell>
          <cell r="AT9">
            <v>5.1906379765949362E-2</v>
          </cell>
          <cell r="AU9">
            <v>6.8043742405832219E-2</v>
          </cell>
          <cell r="AV9">
            <v>0.20114589727849386</v>
          </cell>
          <cell r="AW9">
            <v>0.10540236725517427</v>
          </cell>
          <cell r="AX9">
            <v>0.21928859552621938</v>
          </cell>
          <cell r="AY9">
            <v>0.29012476210615357</v>
          </cell>
          <cell r="AZ9">
            <v>0.35683677444487727</v>
          </cell>
          <cell r="BA9">
            <v>0.2872625187699942</v>
          </cell>
          <cell r="BB9">
            <v>0.4425237683664649</v>
          </cell>
          <cell r="BC9">
            <v>0.31343906510851416</v>
          </cell>
          <cell r="BD9">
            <v>0.20613423620792681</v>
          </cell>
          <cell r="BE9">
            <v>0.31749878817256416</v>
          </cell>
          <cell r="BF9">
            <v>0.1390642406238396</v>
          </cell>
          <cell r="BG9">
            <v>4.5730550284629912E-2</v>
          </cell>
          <cell r="BH9">
            <v>7.7297626293365784E-2</v>
          </cell>
          <cell r="BI9">
            <v>8.7969201154956655E-2</v>
          </cell>
        </row>
        <row r="10">
          <cell r="A10" t="str">
            <v>Sales (IMS)</v>
          </cell>
          <cell r="B10">
            <v>1.2075560000000001</v>
          </cell>
          <cell r="C10">
            <v>1.345642</v>
          </cell>
          <cell r="D10">
            <v>2.0697429999999999</v>
          </cell>
          <cell r="E10">
            <v>4.622941</v>
          </cell>
          <cell r="F10">
            <v>1.394563</v>
          </cell>
          <cell r="G10">
            <v>1.9317249999999999</v>
          </cell>
          <cell r="H10">
            <v>2.154693</v>
          </cell>
          <cell r="I10">
            <v>5.4809809999999999</v>
          </cell>
          <cell r="J10">
            <v>2.1044390000000002</v>
          </cell>
          <cell r="K10">
            <v>1.8993040000000001</v>
          </cell>
          <cell r="L10">
            <v>1.6895990000000001</v>
          </cell>
          <cell r="M10">
            <v>5.6933420000000003</v>
          </cell>
          <cell r="N10">
            <v>1.4865250000000001</v>
          </cell>
          <cell r="O10">
            <v>2.4426770000000002</v>
          </cell>
          <cell r="P10">
            <v>2.4500310000000001</v>
          </cell>
          <cell r="Q10">
            <v>6.3792330000000002</v>
          </cell>
          <cell r="R10">
            <v>2.0590929999999998</v>
          </cell>
          <cell r="S10">
            <v>2.178423</v>
          </cell>
          <cell r="T10">
            <v>2.7543090000000001</v>
          </cell>
          <cell r="U10">
            <v>6.9918249999999995</v>
          </cell>
          <cell r="V10">
            <v>2.829996</v>
          </cell>
          <cell r="W10">
            <v>3.723786</v>
          </cell>
          <cell r="X10">
            <v>3.5959129999999999</v>
          </cell>
          <cell r="Y10">
            <v>10.149694999999999</v>
          </cell>
          <cell r="Z10">
            <v>2.5964870000000002</v>
          </cell>
          <cell r="AA10">
            <v>2.0684550000000002</v>
          </cell>
          <cell r="AB10">
            <v>2.6058539999999999</v>
          </cell>
          <cell r="AC10">
            <v>7.2707959999999998</v>
          </cell>
          <cell r="AD10">
            <v>2.0962839999999998</v>
          </cell>
          <cell r="AE10">
            <v>2.4388890000000001</v>
          </cell>
          <cell r="AF10">
            <v>2.7614920000000001</v>
          </cell>
          <cell r="AG10">
            <v>7.2966650000000008</v>
          </cell>
          <cell r="AH10">
            <v>2.3304100000000001</v>
          </cell>
          <cell r="AI10">
            <v>2.1390769999999999</v>
          </cell>
          <cell r="AJ10">
            <v>2.5944579999999999</v>
          </cell>
          <cell r="AK10">
            <v>7.0639450000000004</v>
          </cell>
          <cell r="AL10">
            <v>2.28748</v>
          </cell>
          <cell r="AM10">
            <v>2.4388550000000002</v>
          </cell>
          <cell r="AN10">
            <v>3.4544480000000002</v>
          </cell>
          <cell r="AO10">
            <v>8.1807830000000017</v>
          </cell>
          <cell r="AP10">
            <v>2.7257630000000002</v>
          </cell>
          <cell r="AQ10">
            <v>2.7858749999999999</v>
          </cell>
          <cell r="AR10">
            <v>3.4925619999999999</v>
          </cell>
          <cell r="AS10">
            <v>9.0041999999999991</v>
          </cell>
          <cell r="AT10">
            <v>2.7997459999999998</v>
          </cell>
          <cell r="AU10">
            <v>3.0145</v>
          </cell>
          <cell r="AV10">
            <v>3.5455519999999998</v>
          </cell>
          <cell r="AW10">
            <v>9.3597979999999996</v>
          </cell>
          <cell r="AX10">
            <v>2.92259</v>
          </cell>
          <cell r="AY10">
            <v>2.938723</v>
          </cell>
          <cell r="AZ10">
            <v>3.6500080000000001</v>
          </cell>
          <cell r="BA10">
            <v>9.5113210000000006</v>
          </cell>
          <cell r="BB10">
            <v>2.9350480000000001</v>
          </cell>
          <cell r="BC10">
            <v>2.6039780000000001</v>
          </cell>
          <cell r="BD10">
            <v>3.8290899999999999</v>
          </cell>
          <cell r="BE10">
            <v>9.3681160000000006</v>
          </cell>
          <cell r="BF10">
            <v>2.7085409999999999</v>
          </cell>
          <cell r="BG10">
            <v>2.7883089999999999</v>
          </cell>
        </row>
        <row r="11">
          <cell r="A11" t="str">
            <v xml:space="preserve">  % Change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0.70517392154069847</v>
          </cell>
          <cell r="S11">
            <v>0.61887262734070436</v>
          </cell>
          <cell r="T11">
            <v>0.33074927660100806</v>
          </cell>
          <cell r="U11">
            <v>0.51241925864941806</v>
          </cell>
          <cell r="V11">
            <v>1.0293066716957213</v>
          </cell>
          <cell r="W11">
            <v>0.92769985375765196</v>
          </cell>
          <cell r="X11">
            <v>0.66887486987705436</v>
          </cell>
          <cell r="Y11">
            <v>0.85180262438421139</v>
          </cell>
          <cell r="Z11">
            <v>0.23381433246580197</v>
          </cell>
          <cell r="AA11">
            <v>8.9059465993858833E-2</v>
          </cell>
          <cell r="AB11">
            <v>0.54229139576905516</v>
          </cell>
          <cell r="AC11">
            <v>0.27706995293801073</v>
          </cell>
          <cell r="AD11">
            <v>0.41019088141807214</v>
          </cell>
          <cell r="AE11">
            <v>-1.5507576318932736E-3</v>
          </cell>
          <cell r="AF11">
            <v>0.12712533025092343</v>
          </cell>
          <cell r="AG11">
            <v>0.14381540852952091</v>
          </cell>
          <cell r="AH11">
            <v>0.13176529666217118</v>
          </cell>
          <cell r="AI11">
            <v>-1.8061689580031071E-2</v>
          </cell>
          <cell r="AJ11">
            <v>-5.8036698133724363E-2</v>
          </cell>
          <cell r="AK11">
            <v>1.0314903476560167E-2</v>
          </cell>
          <cell r="AL11">
            <v>-0.19170203774139616</v>
          </cell>
          <cell r="AM11">
            <v>-0.34506037672411893</v>
          </cell>
          <cell r="AN11">
            <v>-3.9340495723895308E-2</v>
          </cell>
          <cell r="AO11">
            <v>-0.19398730700774736</v>
          </cell>
          <cell r="AP11">
            <v>4.9788810804752615E-2</v>
          </cell>
          <cell r="AQ11">
            <v>0.34683858242021204</v>
          </cell>
          <cell r="AR11">
            <v>0.34027539532145701</v>
          </cell>
          <cell r="AS11">
            <v>0.23840635880858163</v>
          </cell>
          <cell r="AT11">
            <v>0.33557571397768626</v>
          </cell>
          <cell r="AU11">
            <v>0.23601361111555286</v>
          </cell>
          <cell r="AV11">
            <v>0.28392622538830459</v>
          </cell>
          <cell r="AW11">
            <v>0.28275013310875563</v>
          </cell>
          <cell r="AX11">
            <v>0.25410979183920412</v>
          </cell>
          <cell r="AY11">
            <v>0.37382759012415168</v>
          </cell>
          <cell r="AZ11">
            <v>0.40684798135101841</v>
          </cell>
          <cell r="BA11">
            <v>0.34646022866825832</v>
          </cell>
          <cell r="BB11">
            <v>0.2830923111896062</v>
          </cell>
          <cell r="BC11">
            <v>6.7705132121425704E-2</v>
          </cell>
          <cell r="BD11">
            <v>0.10845205948967807</v>
          </cell>
          <cell r="BE11">
            <v>0.14513684081340372</v>
          </cell>
          <cell r="BF11">
            <v>-6.3182308953494415E-3</v>
          </cell>
          <cell r="BG11">
            <v>8.7369318436758547E-4</v>
          </cell>
        </row>
        <row r="13">
          <cell r="A13" t="str">
            <v>PAMIDRONATE DISOD</v>
          </cell>
        </row>
        <row r="14">
          <cell r="A14" t="str">
            <v>TRx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7</v>
          </cell>
          <cell r="AA14">
            <v>2</v>
          </cell>
          <cell r="AC14">
            <v>9</v>
          </cell>
          <cell r="AE14">
            <v>3</v>
          </cell>
          <cell r="AF14">
            <v>58</v>
          </cell>
          <cell r="AG14">
            <v>61</v>
          </cell>
          <cell r="AH14">
            <v>89</v>
          </cell>
          <cell r="AI14">
            <v>72</v>
          </cell>
          <cell r="AJ14">
            <v>70</v>
          </cell>
          <cell r="AK14">
            <v>231</v>
          </cell>
          <cell r="AL14">
            <v>46</v>
          </cell>
          <cell r="AM14">
            <v>79</v>
          </cell>
          <cell r="AN14">
            <v>46</v>
          </cell>
          <cell r="AO14">
            <v>171</v>
          </cell>
          <cell r="AP14">
            <v>75</v>
          </cell>
          <cell r="AQ14">
            <v>68</v>
          </cell>
          <cell r="AR14">
            <v>73</v>
          </cell>
          <cell r="AS14">
            <v>216</v>
          </cell>
          <cell r="AT14">
            <v>69</v>
          </cell>
          <cell r="AU14">
            <v>85</v>
          </cell>
          <cell r="AV14">
            <v>72</v>
          </cell>
          <cell r="AW14">
            <v>226</v>
          </cell>
          <cell r="AX14">
            <v>74</v>
          </cell>
          <cell r="AY14">
            <v>103</v>
          </cell>
          <cell r="AZ14">
            <v>110</v>
          </cell>
          <cell r="BA14">
            <v>287</v>
          </cell>
          <cell r="BB14">
            <v>95</v>
          </cell>
          <cell r="BC14">
            <v>87</v>
          </cell>
          <cell r="BD14">
            <v>116</v>
          </cell>
          <cell r="BE14">
            <v>298</v>
          </cell>
          <cell r="BF14">
            <v>87</v>
          </cell>
          <cell r="BG14">
            <v>38</v>
          </cell>
          <cell r="BH14">
            <v>49</v>
          </cell>
          <cell r="BI14">
            <v>174</v>
          </cell>
        </row>
        <row r="15">
          <cell r="A15" t="str">
            <v xml:space="preserve">  % Change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0.24137931034482762</v>
          </cell>
          <cell r="AW15">
            <v>2.7049180327868854</v>
          </cell>
          <cell r="AX15">
            <v>-0.1685393258426966</v>
          </cell>
          <cell r="AY15">
            <v>0.43055555555555558</v>
          </cell>
          <cell r="AZ15">
            <v>0.5714285714285714</v>
          </cell>
          <cell r="BA15">
            <v>0.24242424242424243</v>
          </cell>
          <cell r="BB15">
            <v>1.0652173913043477</v>
          </cell>
          <cell r="BC15">
            <v>0.10126582278481022</v>
          </cell>
          <cell r="BD15">
            <v>1.5217391304347827</v>
          </cell>
          <cell r="BE15">
            <v>0.74269005847953218</v>
          </cell>
          <cell r="BF15">
            <v>0.16</v>
          </cell>
          <cell r="BG15">
            <v>-0.44117647058823528</v>
          </cell>
          <cell r="BH15">
            <v>-0.32876712328767121</v>
          </cell>
          <cell r="BI15">
            <v>-0.19444444444444442</v>
          </cell>
        </row>
        <row r="16">
          <cell r="A16" t="str">
            <v>NRx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7</v>
          </cell>
          <cell r="AA16">
            <v>2</v>
          </cell>
          <cell r="AC16">
            <v>9</v>
          </cell>
          <cell r="AD16">
            <v>3</v>
          </cell>
          <cell r="AE16">
            <v>49</v>
          </cell>
          <cell r="AF16">
            <v>84</v>
          </cell>
          <cell r="AG16">
            <v>136</v>
          </cell>
          <cell r="AH16">
            <v>60</v>
          </cell>
          <cell r="AI16">
            <v>55</v>
          </cell>
          <cell r="AJ16">
            <v>43</v>
          </cell>
          <cell r="AK16">
            <v>158</v>
          </cell>
          <cell r="AL16">
            <v>43</v>
          </cell>
          <cell r="AM16">
            <v>62</v>
          </cell>
          <cell r="AN16">
            <v>39</v>
          </cell>
          <cell r="AO16">
            <v>144</v>
          </cell>
          <cell r="AP16">
            <v>57</v>
          </cell>
          <cell r="AQ16">
            <v>51</v>
          </cell>
          <cell r="AR16">
            <v>55</v>
          </cell>
          <cell r="AS16">
            <v>163</v>
          </cell>
          <cell r="AT16">
            <v>48</v>
          </cell>
          <cell r="AU16">
            <v>48</v>
          </cell>
          <cell r="AV16">
            <v>53</v>
          </cell>
          <cell r="AW16">
            <v>149</v>
          </cell>
          <cell r="AX16">
            <v>56</v>
          </cell>
          <cell r="AY16">
            <v>91</v>
          </cell>
          <cell r="AZ16">
            <v>86</v>
          </cell>
          <cell r="BA16">
            <v>233</v>
          </cell>
          <cell r="BB16">
            <v>78</v>
          </cell>
          <cell r="BC16">
            <v>72</v>
          </cell>
          <cell r="BD16">
            <v>98</v>
          </cell>
          <cell r="BE16">
            <v>248</v>
          </cell>
          <cell r="BF16">
            <v>75</v>
          </cell>
          <cell r="BG16">
            <v>27</v>
          </cell>
          <cell r="BH16">
            <v>39</v>
          </cell>
          <cell r="BI16">
            <v>141</v>
          </cell>
        </row>
        <row r="17">
          <cell r="A17" t="str">
            <v xml:space="preserve">  % Change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-0.36904761904761907</v>
          </cell>
          <cell r="AW17">
            <v>9.5588235294117752E-2</v>
          </cell>
          <cell r="AX17">
            <v>-6.6666666666666652E-2</v>
          </cell>
          <cell r="AY17">
            <v>0.65454545454545454</v>
          </cell>
          <cell r="AZ17">
            <v>1</v>
          </cell>
          <cell r="BA17">
            <v>0.47468354430379756</v>
          </cell>
          <cell r="BB17">
            <v>0.81395348837209291</v>
          </cell>
          <cell r="BC17">
            <v>0.16129032258064524</v>
          </cell>
          <cell r="BD17">
            <v>1.5128205128205128</v>
          </cell>
          <cell r="BE17">
            <v>0.72222222222222232</v>
          </cell>
          <cell r="BF17">
            <v>0.31578947368421062</v>
          </cell>
          <cell r="BG17">
            <v>-0.47058823529411764</v>
          </cell>
          <cell r="BH17">
            <v>-0.29090909090909089</v>
          </cell>
          <cell r="BI17">
            <v>-0.13496932515337423</v>
          </cell>
        </row>
        <row r="18">
          <cell r="A18" t="str">
            <v>Sales (IMS)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1.2326600000000001</v>
          </cell>
          <cell r="Y18">
            <v>1.2326600000000001</v>
          </cell>
          <cell r="Z18">
            <v>2.22566</v>
          </cell>
          <cell r="AA18">
            <v>1.5798019999999999</v>
          </cell>
          <cell r="AB18">
            <v>2.4311210000000001</v>
          </cell>
          <cell r="AC18">
            <v>6.2365829999999995</v>
          </cell>
          <cell r="AD18">
            <v>1.924793</v>
          </cell>
          <cell r="AE18">
            <v>1.7544919999999999</v>
          </cell>
          <cell r="AF18">
            <v>3.6028090000000002</v>
          </cell>
          <cell r="AG18">
            <v>7.2820940000000007</v>
          </cell>
          <cell r="AH18">
            <v>2.066986</v>
          </cell>
          <cell r="AI18">
            <v>2.066859</v>
          </cell>
          <cell r="AJ18">
            <v>2.3852199999999999</v>
          </cell>
          <cell r="AK18">
            <v>6.5190649999999994</v>
          </cell>
          <cell r="AL18">
            <v>2.0929009999999999</v>
          </cell>
          <cell r="AM18">
            <v>2.7499120000000001</v>
          </cell>
          <cell r="AN18">
            <v>2.9547650000000001</v>
          </cell>
          <cell r="AO18">
            <v>7.7975779999999997</v>
          </cell>
          <cell r="AP18">
            <v>1.9305760000000001</v>
          </cell>
          <cell r="AQ18">
            <v>2.2248190000000001</v>
          </cell>
          <cell r="AR18">
            <v>2.5845790000000002</v>
          </cell>
          <cell r="AS18">
            <v>6.7399740000000001</v>
          </cell>
          <cell r="AT18">
            <v>1.7392080000000001</v>
          </cell>
          <cell r="AU18">
            <v>2.0512130000000002</v>
          </cell>
          <cell r="AV18">
            <v>2.2404329999999999</v>
          </cell>
          <cell r="AW18">
            <v>6.0308539999999997</v>
          </cell>
          <cell r="AX18">
            <v>3.6038269999999999</v>
          </cell>
          <cell r="AY18">
            <v>3.6515689999999998</v>
          </cell>
          <cell r="AZ18">
            <v>3.9040919999999999</v>
          </cell>
          <cell r="BA18">
            <v>11.159488</v>
          </cell>
          <cell r="BB18">
            <v>2.9588920000000001</v>
          </cell>
          <cell r="BC18">
            <v>4.2118200000000003</v>
          </cell>
          <cell r="BD18">
            <v>5.3606030000000002</v>
          </cell>
          <cell r="BE18">
            <v>12.531314999999999</v>
          </cell>
          <cell r="BF18">
            <v>3.410863</v>
          </cell>
          <cell r="BG18">
            <v>3.65659</v>
          </cell>
        </row>
        <row r="19">
          <cell r="A19" t="str">
            <v xml:space="preserve">  % Change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-9.6418160290483113E-2</v>
          </cell>
          <cell r="AU19">
            <v>0.16912074834197033</v>
          </cell>
          <cell r="AV19">
            <v>-0.37814272141542893</v>
          </cell>
          <cell r="AW19">
            <v>-0.17182420331294834</v>
          </cell>
          <cell r="AX19">
            <v>0.74351785643444113</v>
          </cell>
          <cell r="AY19">
            <v>0.76672380651026506</v>
          </cell>
          <cell r="AZ19">
            <v>0.63678486680473911</v>
          </cell>
          <cell r="BA19">
            <v>0.71182339798728811</v>
          </cell>
          <cell r="BB19">
            <v>0.41377542463785932</v>
          </cell>
          <cell r="BC19">
            <v>0.53161992092837895</v>
          </cell>
          <cell r="BD19">
            <v>0.81422312772758576</v>
          </cell>
          <cell r="BE19">
            <v>0.60707786443431533</v>
          </cell>
          <cell r="BF19">
            <v>0.76675924698121167</v>
          </cell>
          <cell r="BG19">
            <v>0.64354493556554471</v>
          </cell>
        </row>
        <row r="21">
          <cell r="A21" t="str">
            <v>MESNA</v>
          </cell>
        </row>
        <row r="22">
          <cell r="A22" t="str">
            <v>TRx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4</v>
          </cell>
          <cell r="K22">
            <v>2</v>
          </cell>
          <cell r="L22">
            <v>2</v>
          </cell>
          <cell r="M22">
            <v>8</v>
          </cell>
          <cell r="N22">
            <v>2</v>
          </cell>
          <cell r="P22">
            <v>4</v>
          </cell>
          <cell r="Q22">
            <v>6</v>
          </cell>
          <cell r="R22">
            <v>9</v>
          </cell>
          <cell r="S22">
            <v>8</v>
          </cell>
          <cell r="T22">
            <v>4</v>
          </cell>
          <cell r="U22">
            <v>21</v>
          </cell>
          <cell r="V22">
            <v>2</v>
          </cell>
          <cell r="W22">
            <v>2</v>
          </cell>
          <cell r="Y22">
            <v>4</v>
          </cell>
          <cell r="Z22">
            <v>5</v>
          </cell>
          <cell r="AA22">
            <v>6</v>
          </cell>
          <cell r="AB22">
            <v>31</v>
          </cell>
          <cell r="AC22">
            <v>42</v>
          </cell>
          <cell r="AD22">
            <v>16</v>
          </cell>
          <cell r="AE22">
            <v>16</v>
          </cell>
          <cell r="AF22">
            <v>24</v>
          </cell>
          <cell r="AG22">
            <v>56</v>
          </cell>
          <cell r="AH22">
            <v>19</v>
          </cell>
          <cell r="AI22">
            <v>18</v>
          </cell>
          <cell r="AJ22">
            <v>22</v>
          </cell>
          <cell r="AK22">
            <v>59</v>
          </cell>
          <cell r="AL22">
            <v>61</v>
          </cell>
          <cell r="AM22">
            <v>68</v>
          </cell>
          <cell r="AN22">
            <v>46</v>
          </cell>
          <cell r="AO22">
            <v>175</v>
          </cell>
          <cell r="AP22">
            <v>72</v>
          </cell>
          <cell r="AQ22">
            <v>66</v>
          </cell>
          <cell r="AR22">
            <v>84</v>
          </cell>
          <cell r="AS22">
            <v>222</v>
          </cell>
          <cell r="AT22">
            <v>69</v>
          </cell>
          <cell r="AU22">
            <v>56</v>
          </cell>
          <cell r="AV22">
            <v>90</v>
          </cell>
          <cell r="AW22">
            <v>215</v>
          </cell>
          <cell r="AX22">
            <v>72</v>
          </cell>
          <cell r="AY22">
            <v>58</v>
          </cell>
          <cell r="AZ22">
            <v>78</v>
          </cell>
          <cell r="BA22">
            <v>208</v>
          </cell>
          <cell r="BB22">
            <v>63</v>
          </cell>
          <cell r="BC22">
            <v>71</v>
          </cell>
          <cell r="BD22">
            <v>84</v>
          </cell>
          <cell r="BE22">
            <v>218</v>
          </cell>
          <cell r="BF22">
            <v>97</v>
          </cell>
          <cell r="BG22">
            <v>50</v>
          </cell>
          <cell r="BH22">
            <v>39</v>
          </cell>
          <cell r="BI22">
            <v>186</v>
          </cell>
        </row>
        <row r="23">
          <cell r="A23" t="str">
            <v xml:space="preserve">  % Change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0.25</v>
          </cell>
          <cell r="AA23">
            <v>2</v>
          </cell>
          <cell r="AB23">
            <v>14.5</v>
          </cell>
          <cell r="AC23">
            <v>4.25</v>
          </cell>
          <cell r="AD23">
            <v>7</v>
          </cell>
          <cell r="AE23">
            <v>0</v>
          </cell>
          <cell r="AF23">
            <v>5</v>
          </cell>
          <cell r="AG23">
            <v>0</v>
          </cell>
          <cell r="AH23">
            <v>1.1111111111111112</v>
          </cell>
          <cell r="AI23">
            <v>1.25</v>
          </cell>
          <cell r="AJ23">
            <v>4.5</v>
          </cell>
          <cell r="AK23">
            <v>0</v>
          </cell>
          <cell r="AL23">
            <v>29.5</v>
          </cell>
          <cell r="AM23">
            <v>33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4.2857142857142856</v>
          </cell>
          <cell r="AT23">
            <v>3.3125</v>
          </cell>
          <cell r="AU23">
            <v>2.5</v>
          </cell>
          <cell r="AV23">
            <v>2.75</v>
          </cell>
          <cell r="AW23">
            <v>2.8392857142857144</v>
          </cell>
          <cell r="AX23">
            <v>2.7894736842105261</v>
          </cell>
          <cell r="AY23">
            <v>2.2222222222222223</v>
          </cell>
          <cell r="AZ23">
            <v>2.5454545454545454</v>
          </cell>
          <cell r="BA23">
            <v>2.5254237288135593</v>
          </cell>
          <cell r="BB23">
            <v>3.2786885245901676E-2</v>
          </cell>
          <cell r="BC23">
            <v>4.4117647058823595E-2</v>
          </cell>
          <cell r="BD23">
            <v>0.82608695652173902</v>
          </cell>
          <cell r="BE23">
            <v>0.24571428571428577</v>
          </cell>
          <cell r="BF23">
            <v>0.34722222222222232</v>
          </cell>
          <cell r="BG23">
            <v>-0.24242424242424243</v>
          </cell>
          <cell r="BH23">
            <v>-0.5357142857142857</v>
          </cell>
          <cell r="BI23">
            <v>-0.16216216216216217</v>
          </cell>
        </row>
        <row r="24">
          <cell r="A24" t="str">
            <v>NRx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4</v>
          </cell>
          <cell r="K24">
            <v>2</v>
          </cell>
          <cell r="L24">
            <v>2</v>
          </cell>
          <cell r="M24">
            <v>8</v>
          </cell>
          <cell r="N24">
            <v>2</v>
          </cell>
          <cell r="O24">
            <v>0</v>
          </cell>
          <cell r="P24">
            <v>4</v>
          </cell>
          <cell r="Q24">
            <v>6</v>
          </cell>
          <cell r="R24">
            <v>5</v>
          </cell>
          <cell r="S24">
            <v>4</v>
          </cell>
          <cell r="T24">
            <v>2</v>
          </cell>
          <cell r="U24">
            <v>11</v>
          </cell>
          <cell r="V24">
            <v>0</v>
          </cell>
          <cell r="W24">
            <v>2</v>
          </cell>
          <cell r="X24">
            <v>0</v>
          </cell>
          <cell r="Y24">
            <v>2</v>
          </cell>
          <cell r="Z24">
            <v>3</v>
          </cell>
          <cell r="AA24">
            <v>4</v>
          </cell>
          <cell r="AB24">
            <v>29</v>
          </cell>
          <cell r="AC24">
            <v>36</v>
          </cell>
          <cell r="AD24">
            <v>13</v>
          </cell>
          <cell r="AE24">
            <v>13</v>
          </cell>
          <cell r="AF24">
            <v>16</v>
          </cell>
          <cell r="AG24">
            <v>42</v>
          </cell>
          <cell r="AH24">
            <v>16</v>
          </cell>
          <cell r="AI24">
            <v>13</v>
          </cell>
          <cell r="AJ24">
            <v>16</v>
          </cell>
          <cell r="AK24">
            <v>45</v>
          </cell>
          <cell r="AL24">
            <v>55</v>
          </cell>
          <cell r="AM24">
            <v>41</v>
          </cell>
          <cell r="AN24">
            <v>37</v>
          </cell>
          <cell r="AO24">
            <v>133</v>
          </cell>
          <cell r="AP24">
            <v>37</v>
          </cell>
          <cell r="AQ24">
            <v>38</v>
          </cell>
          <cell r="AR24">
            <v>52</v>
          </cell>
          <cell r="AS24">
            <v>127</v>
          </cell>
          <cell r="AT24">
            <v>41</v>
          </cell>
          <cell r="AU24">
            <v>40</v>
          </cell>
          <cell r="AV24">
            <v>59</v>
          </cell>
          <cell r="AW24">
            <v>140</v>
          </cell>
          <cell r="AX24">
            <v>48</v>
          </cell>
          <cell r="AY24">
            <v>49</v>
          </cell>
          <cell r="AZ24">
            <v>56</v>
          </cell>
          <cell r="BA24">
            <v>153</v>
          </cell>
          <cell r="BB24">
            <v>50</v>
          </cell>
          <cell r="BC24">
            <v>47</v>
          </cell>
          <cell r="BD24">
            <v>59</v>
          </cell>
          <cell r="BE24">
            <v>156</v>
          </cell>
          <cell r="BF24">
            <v>73</v>
          </cell>
          <cell r="BG24">
            <v>47</v>
          </cell>
          <cell r="BH24">
            <v>32</v>
          </cell>
          <cell r="BI24">
            <v>152</v>
          </cell>
        </row>
        <row r="25">
          <cell r="A25" t="str">
            <v xml:space="preserve">  % Change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-0.25</v>
          </cell>
          <cell r="AA25">
            <v>1</v>
          </cell>
          <cell r="AB25">
            <v>13.5</v>
          </cell>
          <cell r="AC25">
            <v>3.5</v>
          </cell>
          <cell r="AD25">
            <v>5.5</v>
          </cell>
          <cell r="AE25">
            <v>0</v>
          </cell>
          <cell r="AF25">
            <v>3</v>
          </cell>
          <cell r="AG25">
            <v>0</v>
          </cell>
          <cell r="AH25">
            <v>2.2000000000000002</v>
          </cell>
          <cell r="AI25">
            <v>2.25</v>
          </cell>
          <cell r="AJ25">
            <v>7</v>
          </cell>
          <cell r="AK25">
            <v>0</v>
          </cell>
          <cell r="AL25">
            <v>0</v>
          </cell>
          <cell r="AM25">
            <v>19.5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2.5277777777777777</v>
          </cell>
          <cell r="AT25">
            <v>2.1538461538461537</v>
          </cell>
          <cell r="AU25">
            <v>2.0769230769230771</v>
          </cell>
          <cell r="AV25">
            <v>2.6875</v>
          </cell>
          <cell r="AW25">
            <v>2.3333333333333335</v>
          </cell>
          <cell r="AX25">
            <v>2</v>
          </cell>
          <cell r="AY25">
            <v>2.7692307692307692</v>
          </cell>
          <cell r="AZ25">
            <v>2.5</v>
          </cell>
          <cell r="BA25">
            <v>2.4</v>
          </cell>
          <cell r="BB25">
            <v>-9.0909090909090939E-2</v>
          </cell>
          <cell r="BC25">
            <v>0.14634146341463405</v>
          </cell>
          <cell r="BD25">
            <v>0.59459459459459452</v>
          </cell>
          <cell r="BE25">
            <v>0.1729323308270676</v>
          </cell>
          <cell r="BF25">
            <v>0.97297297297297303</v>
          </cell>
          <cell r="BG25">
            <v>0.23684210526315796</v>
          </cell>
          <cell r="BH25">
            <v>-0.38461538461538458</v>
          </cell>
          <cell r="BI25">
            <v>0.1968503937007875</v>
          </cell>
        </row>
        <row r="26">
          <cell r="A26" t="str">
            <v>Sales (IMS)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0.5948</v>
          </cell>
          <cell r="I26">
            <v>0.5948</v>
          </cell>
          <cell r="J26">
            <v>0.65871500000000005</v>
          </cell>
          <cell r="K26">
            <v>0.76999600000000001</v>
          </cell>
          <cell r="L26">
            <v>1.302656</v>
          </cell>
          <cell r="M26">
            <v>2.7313670000000001</v>
          </cell>
          <cell r="N26">
            <v>0.97030799999999995</v>
          </cell>
          <cell r="O26">
            <v>1.282475</v>
          </cell>
          <cell r="P26">
            <v>1.5104820000000001</v>
          </cell>
          <cell r="Q26">
            <v>3.7632650000000001</v>
          </cell>
          <cell r="R26">
            <v>1.451606</v>
          </cell>
          <cell r="S26">
            <v>1.437567</v>
          </cell>
          <cell r="T26">
            <v>1.7424580000000001</v>
          </cell>
          <cell r="U26">
            <v>4.6316310000000005</v>
          </cell>
          <cell r="V26">
            <v>1.286103</v>
          </cell>
          <cell r="W26">
            <v>1.2594099999999999</v>
          </cell>
          <cell r="X26">
            <v>1.7374039999999999</v>
          </cell>
          <cell r="Y26">
            <v>4.2829169999999994</v>
          </cell>
          <cell r="Z26">
            <v>1.628973</v>
          </cell>
          <cell r="AA26">
            <v>1.480518</v>
          </cell>
          <cell r="AB26">
            <v>1.8587610000000001</v>
          </cell>
          <cell r="AC26">
            <v>4.9682520000000006</v>
          </cell>
          <cell r="AD26">
            <v>1.5655349999999999</v>
          </cell>
          <cell r="AE26">
            <v>1.75532</v>
          </cell>
          <cell r="AF26">
            <v>1.954602</v>
          </cell>
          <cell r="AG26">
            <v>5.2754569999999994</v>
          </cell>
          <cell r="AH26">
            <v>1.8285389999999999</v>
          </cell>
          <cell r="AI26">
            <v>2.1105390000000002</v>
          </cell>
          <cell r="AJ26">
            <v>2.2703639999999998</v>
          </cell>
          <cell r="AK26">
            <v>6.2094420000000001</v>
          </cell>
          <cell r="AL26">
            <v>2.0950549999999999</v>
          </cell>
          <cell r="AM26">
            <v>2.2336909999999999</v>
          </cell>
          <cell r="AN26">
            <v>2.7841689999999999</v>
          </cell>
          <cell r="AO26">
            <v>7.1129149999999992</v>
          </cell>
          <cell r="AP26">
            <v>1.880504</v>
          </cell>
          <cell r="AQ26">
            <v>2.0754009999999998</v>
          </cell>
          <cell r="AR26">
            <v>2.5679690000000002</v>
          </cell>
          <cell r="AS26">
            <v>6.5238739999999993</v>
          </cell>
          <cell r="AT26">
            <v>2.0602719999999999</v>
          </cell>
          <cell r="AU26">
            <v>2.0192350000000001</v>
          </cell>
          <cell r="AV26">
            <v>2.3166850000000001</v>
          </cell>
          <cell r="AW26">
            <v>6.3961919999999992</v>
          </cell>
          <cell r="AX26">
            <v>2.0094500000000002</v>
          </cell>
          <cell r="AY26">
            <v>1.9233210000000001</v>
          </cell>
          <cell r="AZ26">
            <v>2.308465</v>
          </cell>
          <cell r="BA26">
            <v>6.2412360000000007</v>
          </cell>
          <cell r="BB26">
            <v>1.594023</v>
          </cell>
          <cell r="BC26">
            <v>1.410965</v>
          </cell>
          <cell r="BD26">
            <v>1.7667790000000001</v>
          </cell>
          <cell r="BE26">
            <v>4.7717670000000005</v>
          </cell>
          <cell r="BF26">
            <v>1.408212</v>
          </cell>
          <cell r="BG26">
            <v>1.3323510000000001</v>
          </cell>
        </row>
        <row r="27">
          <cell r="A27" t="str">
            <v xml:space="preserve">  % Change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1.4729556788595977</v>
          </cell>
          <cell r="AA27">
            <v>0.92276063771759853</v>
          </cell>
          <cell r="AB27">
            <v>0.42690088557531691</v>
          </cell>
          <cell r="AC27">
            <v>0.81896171404282181</v>
          </cell>
          <cell r="AD27">
            <v>0.6134412990514353</v>
          </cell>
          <cell r="AE27">
            <v>0</v>
          </cell>
          <cell r="AF27">
            <v>0.29402535084827219</v>
          </cell>
          <cell r="AG27">
            <v>0.40182979407509145</v>
          </cell>
          <cell r="AH27">
            <v>0.2596661904125499</v>
          </cell>
          <cell r="AI27">
            <v>0.46813261573199716</v>
          </cell>
          <cell r="AJ27">
            <v>0.30296626948827443</v>
          </cell>
          <cell r="AK27">
            <v>0.34065991008351038</v>
          </cell>
          <cell r="AL27">
            <v>0</v>
          </cell>
          <cell r="AM27">
            <v>0.77360113068817937</v>
          </cell>
          <cell r="AN27">
            <v>0</v>
          </cell>
          <cell r="AO27">
            <v>0.66076414742569156</v>
          </cell>
          <cell r="AP27">
            <v>0.15441078520024587</v>
          </cell>
          <cell r="AQ27">
            <v>0.40180734040383159</v>
          </cell>
          <cell r="AR27">
            <v>0.38154878437841111</v>
          </cell>
          <cell r="AS27">
            <v>0.31311253938004735</v>
          </cell>
          <cell r="AT27">
            <v>0.31601784693411528</v>
          </cell>
          <cell r="AU27">
            <v>0.15035150285987742</v>
          </cell>
          <cell r="AV27">
            <v>0.18524640822019012</v>
          </cell>
          <cell r="AW27">
            <v>0.21244320634212355</v>
          </cell>
          <cell r="AX27">
            <v>9.8937457718976995E-2</v>
          </cell>
          <cell r="AY27">
            <v>-8.8706249920044167E-2</v>
          </cell>
          <cell r="AZ27">
            <v>1.6781890480997763E-2</v>
          </cell>
          <cell r="BA27">
            <v>5.1202668452334787E-3</v>
          </cell>
          <cell r="BB27">
            <v>-0.23914980752295278</v>
          </cell>
          <cell r="BC27">
            <v>-0.36832578901916146</v>
          </cell>
          <cell r="BD27">
            <v>-0.36541962790333482</v>
          </cell>
          <cell r="BE27">
            <v>-0.329140443826476</v>
          </cell>
          <cell r="BF27">
            <v>-0.25115181887408899</v>
          </cell>
          <cell r="BG27">
            <v>-0.35802719570820285</v>
          </cell>
        </row>
        <row r="29">
          <cell r="A29" t="str">
            <v>VANCOMYCIN HCL</v>
          </cell>
        </row>
        <row r="30">
          <cell r="A30" t="str">
            <v>TRx</v>
          </cell>
          <cell r="B30">
            <v>97</v>
          </cell>
          <cell r="C30">
            <v>105</v>
          </cell>
          <cell r="D30">
            <v>175</v>
          </cell>
          <cell r="E30">
            <v>377</v>
          </cell>
          <cell r="F30">
            <v>97</v>
          </cell>
          <cell r="G30">
            <v>133</v>
          </cell>
          <cell r="H30">
            <v>127</v>
          </cell>
          <cell r="I30">
            <v>357</v>
          </cell>
          <cell r="J30">
            <v>205</v>
          </cell>
          <cell r="K30">
            <v>206</v>
          </cell>
          <cell r="L30">
            <v>207</v>
          </cell>
          <cell r="M30">
            <v>618</v>
          </cell>
          <cell r="N30">
            <v>116</v>
          </cell>
          <cell r="O30">
            <v>214</v>
          </cell>
          <cell r="P30">
            <v>239</v>
          </cell>
          <cell r="Q30">
            <v>569</v>
          </cell>
          <cell r="R30">
            <v>808</v>
          </cell>
          <cell r="S30">
            <v>687</v>
          </cell>
          <cell r="T30">
            <v>895</v>
          </cell>
          <cell r="U30">
            <v>2390</v>
          </cell>
          <cell r="V30">
            <v>779</v>
          </cell>
          <cell r="W30">
            <v>959</v>
          </cell>
          <cell r="X30">
            <v>758</v>
          </cell>
          <cell r="Y30">
            <v>2496</v>
          </cell>
          <cell r="Z30">
            <v>881</v>
          </cell>
          <cell r="AA30">
            <v>1232</v>
          </cell>
          <cell r="AB30">
            <v>1655</v>
          </cell>
          <cell r="AC30">
            <v>3768</v>
          </cell>
          <cell r="AD30">
            <v>2075</v>
          </cell>
          <cell r="AE30">
            <v>1212</v>
          </cell>
          <cell r="AF30">
            <v>1264</v>
          </cell>
          <cell r="AG30">
            <v>4551</v>
          </cell>
          <cell r="AH30">
            <v>1295</v>
          </cell>
          <cell r="AI30">
            <v>1596</v>
          </cell>
          <cell r="AJ30">
            <v>1418</v>
          </cell>
          <cell r="AK30">
            <v>4309</v>
          </cell>
          <cell r="AL30">
            <v>1106</v>
          </cell>
          <cell r="AM30">
            <v>1439</v>
          </cell>
          <cell r="AN30">
            <v>1390</v>
          </cell>
          <cell r="AO30">
            <v>3935</v>
          </cell>
          <cell r="AP30">
            <v>1290</v>
          </cell>
          <cell r="AQ30">
            <v>997</v>
          </cell>
          <cell r="AR30">
            <v>1066</v>
          </cell>
          <cell r="AS30">
            <v>3353</v>
          </cell>
          <cell r="AT30">
            <v>1094</v>
          </cell>
          <cell r="AU30">
            <v>1206</v>
          </cell>
          <cell r="AV30">
            <v>1123</v>
          </cell>
          <cell r="AW30">
            <v>3423</v>
          </cell>
          <cell r="AX30">
            <v>1318</v>
          </cell>
          <cell r="AY30">
            <v>1256</v>
          </cell>
          <cell r="AZ30">
            <v>1537</v>
          </cell>
          <cell r="BA30">
            <v>4111</v>
          </cell>
          <cell r="BB30">
            <v>1448</v>
          </cell>
          <cell r="BC30">
            <v>1286</v>
          </cell>
          <cell r="BD30">
            <v>1324</v>
          </cell>
          <cell r="BE30">
            <v>4058</v>
          </cell>
          <cell r="BF30">
            <v>1433</v>
          </cell>
          <cell r="BG30">
            <v>1445</v>
          </cell>
          <cell r="BH30">
            <v>1504</v>
          </cell>
          <cell r="BI30">
            <v>4382</v>
          </cell>
        </row>
        <row r="31">
          <cell r="A31" t="str">
            <v xml:space="preserve">  % Change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7.3298969072164954</v>
          </cell>
          <cell r="S31">
            <v>5.5428571428571427</v>
          </cell>
          <cell r="T31">
            <v>4.1142857142857139</v>
          </cell>
          <cell r="U31">
            <v>5.3395225464190981</v>
          </cell>
          <cell r="V31">
            <v>7.0309278350515463</v>
          </cell>
          <cell r="W31">
            <v>6.2105263157894735</v>
          </cell>
          <cell r="X31">
            <v>4.9685039370078741</v>
          </cell>
          <cell r="Y31">
            <v>5.9915966386554622</v>
          </cell>
          <cell r="Z31">
            <v>3.2975609756097564</v>
          </cell>
          <cell r="AA31">
            <v>4.9805825242718447</v>
          </cell>
          <cell r="AB31">
            <v>6.9951690821256038</v>
          </cell>
          <cell r="AC31">
            <v>5.0970873786407767</v>
          </cell>
          <cell r="AD31">
            <v>16.887931034482758</v>
          </cell>
          <cell r="AE31">
            <v>4.6635514018691593</v>
          </cell>
          <cell r="AF31">
            <v>4.2887029288702925</v>
          </cell>
          <cell r="AG31">
            <v>6.9982425307557117</v>
          </cell>
          <cell r="AH31">
            <v>0.6027227722772277</v>
          </cell>
          <cell r="AI31">
            <v>1.3231441048034935</v>
          </cell>
          <cell r="AJ31">
            <v>0.58435754189944134</v>
          </cell>
          <cell r="AK31">
            <v>0.80292887029288695</v>
          </cell>
          <cell r="AL31">
            <v>0.41976893453145059</v>
          </cell>
          <cell r="AM31">
            <v>0.50052137643378525</v>
          </cell>
          <cell r="AN31">
            <v>0.83377308707124009</v>
          </cell>
          <cell r="AO31">
            <v>0.5765224358974359</v>
          </cell>
          <cell r="AP31">
            <v>0.46424517593643588</v>
          </cell>
          <cell r="AQ31">
            <v>-0.19074675324675328</v>
          </cell>
          <cell r="AR31">
            <v>-0.35589123867069483</v>
          </cell>
          <cell r="AS31">
            <v>-0.1101380042462845</v>
          </cell>
          <cell r="AT31">
            <v>-0.47277108433734938</v>
          </cell>
          <cell r="AU31">
            <v>-4.9504950495049549E-3</v>
          </cell>
          <cell r="AV31">
            <v>-0.11155063291139244</v>
          </cell>
          <cell r="AW31">
            <v>-0.24785761371127224</v>
          </cell>
          <cell r="AX31">
            <v>1.776061776061777E-2</v>
          </cell>
          <cell r="AY31">
            <v>-0.21303258145363413</v>
          </cell>
          <cell r="AZ31">
            <v>8.3921015514809572E-2</v>
          </cell>
          <cell r="BA31">
            <v>-4.5950336504989586E-2</v>
          </cell>
          <cell r="BB31">
            <v>0.30922242314647375</v>
          </cell>
          <cell r="BC31">
            <v>-0.10632383599722028</v>
          </cell>
          <cell r="BD31">
            <v>-4.7482014388489202E-2</v>
          </cell>
          <cell r="BE31">
            <v>3.1257941550190571E-2</v>
          </cell>
          <cell r="BF31">
            <v>0.11085271317829459</v>
          </cell>
          <cell r="BG31">
            <v>0.44934804413239715</v>
          </cell>
          <cell r="BH31">
            <v>0.41088180112570361</v>
          </cell>
          <cell r="BI31">
            <v>0.3068893528183716</v>
          </cell>
        </row>
        <row r="32">
          <cell r="A32" t="str">
            <v>NRx</v>
          </cell>
          <cell r="B32">
            <v>70</v>
          </cell>
          <cell r="C32">
            <v>89</v>
          </cell>
          <cell r="D32">
            <v>131</v>
          </cell>
          <cell r="E32">
            <v>290</v>
          </cell>
          <cell r="F32">
            <v>79</v>
          </cell>
          <cell r="G32">
            <v>97</v>
          </cell>
          <cell r="H32">
            <v>88</v>
          </cell>
          <cell r="I32">
            <v>264</v>
          </cell>
          <cell r="J32">
            <v>143</v>
          </cell>
          <cell r="K32">
            <v>153</v>
          </cell>
          <cell r="L32">
            <v>116</v>
          </cell>
          <cell r="M32">
            <v>412</v>
          </cell>
          <cell r="N32">
            <v>91</v>
          </cell>
          <cell r="O32">
            <v>134</v>
          </cell>
          <cell r="P32">
            <v>141</v>
          </cell>
          <cell r="Q32">
            <v>366</v>
          </cell>
          <cell r="R32">
            <v>297</v>
          </cell>
          <cell r="S32">
            <v>302</v>
          </cell>
          <cell r="T32">
            <v>369</v>
          </cell>
          <cell r="U32">
            <v>968</v>
          </cell>
          <cell r="V32">
            <v>328</v>
          </cell>
          <cell r="W32">
            <v>458</v>
          </cell>
          <cell r="X32">
            <v>444</v>
          </cell>
          <cell r="Y32">
            <v>1230</v>
          </cell>
          <cell r="Z32">
            <v>478</v>
          </cell>
          <cell r="AA32">
            <v>650</v>
          </cell>
          <cell r="AB32">
            <v>805</v>
          </cell>
          <cell r="AC32">
            <v>1933</v>
          </cell>
          <cell r="AD32">
            <v>840</v>
          </cell>
          <cell r="AE32">
            <v>529</v>
          </cell>
          <cell r="AF32">
            <v>635</v>
          </cell>
          <cell r="AG32">
            <v>2004</v>
          </cell>
          <cell r="AH32">
            <v>627</v>
          </cell>
          <cell r="AI32">
            <v>801</v>
          </cell>
          <cell r="AJ32">
            <v>633</v>
          </cell>
          <cell r="AK32">
            <v>2061</v>
          </cell>
          <cell r="AL32">
            <v>578</v>
          </cell>
          <cell r="AM32">
            <v>718</v>
          </cell>
          <cell r="AN32">
            <v>639</v>
          </cell>
          <cell r="AO32">
            <v>1935</v>
          </cell>
          <cell r="AP32">
            <v>685</v>
          </cell>
          <cell r="AQ32">
            <v>508</v>
          </cell>
          <cell r="AR32">
            <v>536</v>
          </cell>
          <cell r="AS32">
            <v>1729</v>
          </cell>
          <cell r="AT32">
            <v>506</v>
          </cell>
          <cell r="AU32">
            <v>558</v>
          </cell>
          <cell r="AV32">
            <v>585</v>
          </cell>
          <cell r="AW32">
            <v>1649</v>
          </cell>
          <cell r="AX32">
            <v>625</v>
          </cell>
          <cell r="AY32">
            <v>650</v>
          </cell>
          <cell r="AZ32">
            <v>686</v>
          </cell>
          <cell r="BA32">
            <v>1961</v>
          </cell>
          <cell r="BB32">
            <v>682</v>
          </cell>
          <cell r="BC32">
            <v>631</v>
          </cell>
          <cell r="BD32">
            <v>687</v>
          </cell>
          <cell r="BE32">
            <v>2000</v>
          </cell>
          <cell r="BF32">
            <v>633</v>
          </cell>
          <cell r="BG32">
            <v>708</v>
          </cell>
          <cell r="BH32">
            <v>749</v>
          </cell>
          <cell r="BI32">
            <v>2090</v>
          </cell>
        </row>
        <row r="33">
          <cell r="A33" t="str">
            <v xml:space="preserve">  % Change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3.2428571428571429</v>
          </cell>
          <cell r="S33">
            <v>2.393258426966292</v>
          </cell>
          <cell r="T33">
            <v>1.8167938931297711</v>
          </cell>
          <cell r="U33">
            <v>2.3379310344827586</v>
          </cell>
          <cell r="V33">
            <v>3.1518987341772151</v>
          </cell>
          <cell r="W33">
            <v>3.7216494845360826</v>
          </cell>
          <cell r="X33">
            <v>4.0454545454545459</v>
          </cell>
          <cell r="Y33">
            <v>3.6590909090909092</v>
          </cell>
          <cell r="Z33">
            <v>2.3426573426573425</v>
          </cell>
          <cell r="AA33">
            <v>3.2483660130718954</v>
          </cell>
          <cell r="AB33">
            <v>5.9396551724137927</v>
          </cell>
          <cell r="AC33">
            <v>3.691747572815534</v>
          </cell>
          <cell r="AD33">
            <v>8.2307692307692299</v>
          </cell>
          <cell r="AE33">
            <v>2.9477611940298507</v>
          </cell>
          <cell r="AF33">
            <v>3.5035460992907801</v>
          </cell>
          <cell r="AG33">
            <v>4.4754098360655741</v>
          </cell>
          <cell r="AH33">
            <v>1.1111111111111112</v>
          </cell>
          <cell r="AI33">
            <v>1.6523178807947021</v>
          </cell>
          <cell r="AJ33">
            <v>0.71544715447154461</v>
          </cell>
          <cell r="AK33">
            <v>1.1291322314049586</v>
          </cell>
          <cell r="AL33">
            <v>0.76219512195121952</v>
          </cell>
          <cell r="AM33">
            <v>0.56768558951965065</v>
          </cell>
          <cell r="AN33">
            <v>0.43918918918918926</v>
          </cell>
          <cell r="AO33">
            <v>0.57317073170731714</v>
          </cell>
          <cell r="AP33">
            <v>0.43305439330543938</v>
          </cell>
          <cell r="AQ33">
            <v>-0.21846153846153848</v>
          </cell>
          <cell r="AR33">
            <v>-0.33416149068322987</v>
          </cell>
          <cell r="AS33">
            <v>-0.10553543714433522</v>
          </cell>
          <cell r="AT33">
            <v>-0.39761904761904765</v>
          </cell>
          <cell r="AU33">
            <v>5.4820415879017093E-2</v>
          </cell>
          <cell r="AV33">
            <v>-7.8740157480314932E-2</v>
          </cell>
          <cell r="AW33">
            <v>-0.17714570858283429</v>
          </cell>
          <cell r="AX33">
            <v>-3.1897926634768536E-3</v>
          </cell>
          <cell r="AY33">
            <v>-0.18851435705368291</v>
          </cell>
          <cell r="AZ33">
            <v>8.3728278041074189E-2</v>
          </cell>
          <cell r="BA33">
            <v>-4.8520135856380375E-2</v>
          </cell>
          <cell r="BB33">
            <v>0.17993079584775096</v>
          </cell>
          <cell r="BC33">
            <v>-0.12116991643454034</v>
          </cell>
          <cell r="BD33">
            <v>7.5117370892018753E-2</v>
          </cell>
          <cell r="BE33">
            <v>3.3591731266149782E-2</v>
          </cell>
          <cell r="BF33">
            <v>-7.5912408759124084E-2</v>
          </cell>
          <cell r="BG33">
            <v>0.39370078740157477</v>
          </cell>
          <cell r="BH33">
            <v>0.39738805970149249</v>
          </cell>
          <cell r="BI33">
            <v>0.20879120879120872</v>
          </cell>
        </row>
        <row r="34">
          <cell r="A34" t="str">
            <v>Sales (IMS)</v>
          </cell>
          <cell r="B34">
            <v>1.554881</v>
          </cell>
          <cell r="C34">
            <v>1.693522</v>
          </cell>
          <cell r="D34">
            <v>1.701997</v>
          </cell>
          <cell r="E34">
            <v>4.9504000000000001</v>
          </cell>
          <cell r="F34">
            <v>1.31182</v>
          </cell>
          <cell r="G34">
            <v>1.4309970000000001</v>
          </cell>
          <cell r="H34">
            <v>1.7729680000000001</v>
          </cell>
          <cell r="I34">
            <v>4.5157850000000002</v>
          </cell>
          <cell r="J34">
            <v>1.7156450000000001</v>
          </cell>
          <cell r="K34">
            <v>1.826587</v>
          </cell>
          <cell r="L34">
            <v>2.310505</v>
          </cell>
          <cell r="M34">
            <v>5.8527370000000003</v>
          </cell>
          <cell r="N34">
            <v>1.982747</v>
          </cell>
          <cell r="O34">
            <v>2.3091919999999999</v>
          </cell>
          <cell r="P34">
            <v>2.4746760000000001</v>
          </cell>
          <cell r="Q34">
            <v>6.7666149999999998</v>
          </cell>
          <cell r="R34">
            <v>1.811175</v>
          </cell>
          <cell r="S34">
            <v>2.01254</v>
          </cell>
          <cell r="T34">
            <v>2.5198990000000001</v>
          </cell>
          <cell r="U34">
            <v>6.3436140000000005</v>
          </cell>
          <cell r="V34">
            <v>1.901319</v>
          </cell>
          <cell r="W34">
            <v>1.9809829999999999</v>
          </cell>
          <cell r="X34">
            <v>2.460763</v>
          </cell>
          <cell r="Y34">
            <v>6.3430650000000002</v>
          </cell>
          <cell r="Z34">
            <v>2.2785440000000001</v>
          </cell>
          <cell r="AA34">
            <v>2.4007100000000001</v>
          </cell>
          <cell r="AB34">
            <v>2.735687</v>
          </cell>
          <cell r="AC34">
            <v>7.4149410000000007</v>
          </cell>
          <cell r="AD34">
            <v>1.7694639999999999</v>
          </cell>
          <cell r="AE34">
            <v>1.9840930000000001</v>
          </cell>
          <cell r="AF34">
            <v>2.483133</v>
          </cell>
          <cell r="AG34">
            <v>6.2366899999999994</v>
          </cell>
          <cell r="AH34">
            <v>2.0873330000000001</v>
          </cell>
          <cell r="AI34">
            <v>2.0310280000000001</v>
          </cell>
          <cell r="AJ34">
            <v>2.6573540000000002</v>
          </cell>
          <cell r="AK34">
            <v>6.7757149999999999</v>
          </cell>
          <cell r="AL34">
            <v>2.5502539999999998</v>
          </cell>
          <cell r="AM34">
            <v>2.3877830000000002</v>
          </cell>
          <cell r="AN34">
            <v>3.3509920000000002</v>
          </cell>
          <cell r="AO34">
            <v>8.2890289999999993</v>
          </cell>
          <cell r="AP34">
            <v>1.8084180000000001</v>
          </cell>
          <cell r="AQ34">
            <v>1.564138</v>
          </cell>
          <cell r="AR34">
            <v>2.1500560000000002</v>
          </cell>
          <cell r="AS34">
            <v>5.5226120000000005</v>
          </cell>
          <cell r="AT34">
            <v>2.059714</v>
          </cell>
          <cell r="AU34">
            <v>2.0522339999999999</v>
          </cell>
          <cell r="AV34">
            <v>2.6949350000000001</v>
          </cell>
          <cell r="AW34">
            <v>6.806883</v>
          </cell>
          <cell r="AX34">
            <v>2.293955</v>
          </cell>
          <cell r="AY34">
            <v>2.138674</v>
          </cell>
          <cell r="AZ34">
            <v>2.9772530000000001</v>
          </cell>
          <cell r="BA34">
            <v>7.4098820000000005</v>
          </cell>
          <cell r="BB34">
            <v>2.1080040000000002</v>
          </cell>
          <cell r="BC34">
            <v>2.151138</v>
          </cell>
          <cell r="BD34">
            <v>2.6660080000000002</v>
          </cell>
          <cell r="BE34">
            <v>6.9251500000000004</v>
          </cell>
          <cell r="BF34">
            <v>2.117461</v>
          </cell>
          <cell r="BG34">
            <v>2.0367310000000001</v>
          </cell>
        </row>
        <row r="35">
          <cell r="A35" t="str">
            <v xml:space="preserve">  % Change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0.16483190675042025</v>
          </cell>
          <cell r="S35">
            <v>0.18837546840253627</v>
          </cell>
          <cell r="T35">
            <v>0.48055431355049394</v>
          </cell>
          <cell r="U35">
            <v>0.28143463154492565</v>
          </cell>
          <cell r="V35">
            <v>0.44937491424128306</v>
          </cell>
          <cell r="W35">
            <v>0.38433763313270397</v>
          </cell>
          <cell r="X35">
            <v>0.38793424359604911</v>
          </cell>
          <cell r="Y35">
            <v>0.40464282511235594</v>
          </cell>
          <cell r="Z35">
            <v>0.32809759594787957</v>
          </cell>
          <cell r="AA35">
            <v>0.31431462065590088</v>
          </cell>
          <cell r="AB35">
            <v>0.18402124210940896</v>
          </cell>
          <cell r="AC35">
            <v>0.26691853742958216</v>
          </cell>
          <cell r="AD35">
            <v>-0.10756944784180744</v>
          </cell>
          <cell r="AE35">
            <v>-0.14078474202231772</v>
          </cell>
          <cell r="AF35">
            <v>3.4174170679313054E-3</v>
          </cell>
          <cell r="AG35">
            <v>-7.8314637377773111E-2</v>
          </cell>
          <cell r="AH35">
            <v>0.15247449859897588</v>
          </cell>
          <cell r="AI35">
            <v>9.1864012640743287E-3</v>
          </cell>
          <cell r="AJ35">
            <v>5.4547821162673538E-2</v>
          </cell>
          <cell r="AK35">
            <v>6.8115903647352871E-2</v>
          </cell>
          <cell r="AL35">
            <v>0.34130779737645267</v>
          </cell>
          <cell r="AM35">
            <v>0.20535259515099336</v>
          </cell>
          <cell r="AN35">
            <v>0.36176949994778052</v>
          </cell>
          <cell r="AO35">
            <v>0.30678607266360958</v>
          </cell>
          <cell r="AP35">
            <v>-0.20632737397215062</v>
          </cell>
          <cell r="AQ35">
            <v>-0.34846857804566156</v>
          </cell>
          <cell r="AR35">
            <v>-0.21407090796571382</v>
          </cell>
          <cell r="AS35">
            <v>-0.25520486272244103</v>
          </cell>
          <cell r="AT35">
            <v>0.16403272403394475</v>
          </cell>
          <cell r="AU35">
            <v>3.434365223807534E-2</v>
          </cell>
          <cell r="AV35">
            <v>8.5296276921131398E-2</v>
          </cell>
          <cell r="AW35">
            <v>9.142557991498701E-2</v>
          </cell>
          <cell r="AX35">
            <v>9.8988517883825899E-2</v>
          </cell>
          <cell r="AY35">
            <v>5.3000746420039491E-2</v>
          </cell>
          <cell r="AZ35">
            <v>0.12038253089351292</v>
          </cell>
          <cell r="BA35">
            <v>9.3594107780507363E-2</v>
          </cell>
          <cell r="BB35">
            <v>-0.17341409914463413</v>
          </cell>
          <cell r="BC35">
            <v>-9.9106577105206095E-2</v>
          </cell>
          <cell r="BD35">
            <v>-0.20441230537106625</v>
          </cell>
          <cell r="BE35">
            <v>-0.16454026159155666</v>
          </cell>
          <cell r="BF35">
            <v>0.17089135365828034</v>
          </cell>
          <cell r="BG35">
            <v>0.302142777683299</v>
          </cell>
        </row>
        <row r="37">
          <cell r="A37" t="str">
            <v>OXYTOCIN</v>
          </cell>
        </row>
        <row r="38">
          <cell r="A38" t="str">
            <v>TRx</v>
          </cell>
          <cell r="N38">
            <v>597492</v>
          </cell>
          <cell r="O38">
            <v>582548</v>
          </cell>
          <cell r="P38">
            <v>577393</v>
          </cell>
          <cell r="Q38">
            <v>1757433</v>
          </cell>
          <cell r="R38">
            <v>608189</v>
          </cell>
          <cell r="S38">
            <v>553865</v>
          </cell>
          <cell r="T38">
            <v>587573</v>
          </cell>
          <cell r="U38">
            <v>1749627</v>
          </cell>
          <cell r="V38">
            <v>594278</v>
          </cell>
          <cell r="W38">
            <v>618181</v>
          </cell>
          <cell r="X38">
            <v>575004</v>
          </cell>
          <cell r="Y38">
            <v>1787463</v>
          </cell>
          <cell r="Z38">
            <v>624014</v>
          </cell>
          <cell r="AA38">
            <v>618594</v>
          </cell>
          <cell r="AB38">
            <v>581058</v>
          </cell>
          <cell r="AC38">
            <v>1823666</v>
          </cell>
          <cell r="AD38">
            <v>632114</v>
          </cell>
          <cell r="AE38">
            <v>602373</v>
          </cell>
          <cell r="AF38">
            <v>638961</v>
          </cell>
          <cell r="AG38">
            <v>1873448</v>
          </cell>
          <cell r="AH38">
            <v>640779</v>
          </cell>
          <cell r="AI38">
            <v>580634</v>
          </cell>
          <cell r="AJ38">
            <v>635578</v>
          </cell>
          <cell r="AK38">
            <v>1856991</v>
          </cell>
          <cell r="AL38">
            <v>636757</v>
          </cell>
          <cell r="AM38">
            <v>658637</v>
          </cell>
          <cell r="AN38">
            <v>635642</v>
          </cell>
          <cell r="AO38">
            <v>1931036</v>
          </cell>
          <cell r="AP38">
            <v>671076</v>
          </cell>
          <cell r="AQ38">
            <v>650301</v>
          </cell>
          <cell r="AR38">
            <v>644789</v>
          </cell>
          <cell r="AS38">
            <v>1966166</v>
          </cell>
          <cell r="AT38">
            <v>42</v>
          </cell>
        </row>
        <row r="39">
          <cell r="A39" t="str">
            <v xml:space="preserve">  % Change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5.3585316406577599E-2</v>
          </cell>
          <cell r="AI39">
            <v>4.8331272060881281E-2</v>
          </cell>
          <cell r="AJ39">
            <v>8.1700486577837905E-2</v>
          </cell>
          <cell r="AK39">
            <v>6.1363936427592858E-2</v>
          </cell>
          <cell r="AL39">
            <v>7.1480014404033065E-2</v>
          </cell>
          <cell r="AM39">
            <v>6.5443616028315388E-2</v>
          </cell>
          <cell r="AN39">
            <v>0.10545665769281598</v>
          </cell>
          <cell r="AO39">
            <v>8.0322222054386661E-2</v>
          </cell>
          <cell r="AP39">
            <v>7.5418179720326828E-2</v>
          </cell>
          <cell r="AQ39">
            <v>5.1256559229478471E-2</v>
          </cell>
          <cell r="AR39">
            <v>0.10968096128097371</v>
          </cell>
          <cell r="AS39">
            <v>7.8139308404060914E-2</v>
          </cell>
        </row>
        <row r="40">
          <cell r="A40" t="str">
            <v>NRx</v>
          </cell>
          <cell r="N40">
            <v>581509</v>
          </cell>
          <cell r="O40">
            <v>567996</v>
          </cell>
          <cell r="P40">
            <v>561019</v>
          </cell>
          <cell r="Q40">
            <v>1710524</v>
          </cell>
          <cell r="R40">
            <v>591366</v>
          </cell>
          <cell r="S40">
            <v>539588</v>
          </cell>
          <cell r="T40">
            <v>573704</v>
          </cell>
          <cell r="U40">
            <v>1704658</v>
          </cell>
          <cell r="V40">
            <v>580125</v>
          </cell>
          <cell r="W40">
            <v>603559</v>
          </cell>
          <cell r="X40">
            <v>561664</v>
          </cell>
          <cell r="Y40">
            <v>1745348</v>
          </cell>
          <cell r="Z40">
            <v>608775</v>
          </cell>
          <cell r="AA40">
            <v>603955</v>
          </cell>
          <cell r="AB40">
            <v>566969</v>
          </cell>
          <cell r="AC40">
            <v>1779699</v>
          </cell>
          <cell r="AD40">
            <v>617028</v>
          </cell>
          <cell r="AE40">
            <v>587608</v>
          </cell>
          <cell r="AF40">
            <v>623793</v>
          </cell>
          <cell r="AG40">
            <v>1828429</v>
          </cell>
          <cell r="AH40">
            <v>624443</v>
          </cell>
          <cell r="AI40">
            <v>565722</v>
          </cell>
          <cell r="AJ40">
            <v>619759</v>
          </cell>
          <cell r="AK40">
            <v>1809924</v>
          </cell>
          <cell r="AL40">
            <v>620057</v>
          </cell>
          <cell r="AM40">
            <v>641167</v>
          </cell>
          <cell r="AN40">
            <v>618478</v>
          </cell>
          <cell r="AO40">
            <v>1879702</v>
          </cell>
          <cell r="AP40">
            <v>654079</v>
          </cell>
          <cell r="AQ40">
            <v>634858</v>
          </cell>
          <cell r="AR40">
            <v>628381</v>
          </cell>
          <cell r="AS40">
            <v>1917318</v>
          </cell>
        </row>
        <row r="41">
          <cell r="A41" t="str">
            <v xml:space="preserve">  % Change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5.5933212257721854E-2</v>
          </cell>
          <cell r="AI41">
            <v>4.8433249071513806E-2</v>
          </cell>
          <cell r="AJ41">
            <v>8.027658862409881E-2</v>
          </cell>
          <cell r="AK41">
            <v>6.1751976056194202E-2</v>
          </cell>
          <cell r="AL41">
            <v>6.8833441068735235E-2</v>
          </cell>
          <cell r="AM41">
            <v>6.2310395504002081E-2</v>
          </cell>
          <cell r="AN41">
            <v>0.10115300250683679</v>
          </cell>
          <cell r="AO41">
            <v>7.6978344719792258E-2</v>
          </cell>
          <cell r="AP41">
            <v>7.4418299043160552E-2</v>
          </cell>
          <cell r="AQ41">
            <v>5.1167719449296767E-2</v>
          </cell>
          <cell r="AR41">
            <v>0.10831632770045618</v>
          </cell>
          <cell r="AS41">
            <v>7.7327121046873559E-2</v>
          </cell>
        </row>
        <row r="42">
          <cell r="A42" t="str">
            <v>Sales (IMS)</v>
          </cell>
          <cell r="N42">
            <v>116.044217</v>
          </cell>
          <cell r="O42">
            <v>116.067009</v>
          </cell>
          <cell r="P42">
            <v>145.39710500000001</v>
          </cell>
          <cell r="Q42">
            <v>377.508331</v>
          </cell>
          <cell r="R42">
            <v>123.920693</v>
          </cell>
          <cell r="S42">
            <v>120.267293</v>
          </cell>
          <cell r="T42">
            <v>151.92800500000001</v>
          </cell>
          <cell r="U42">
            <v>396.11599100000001</v>
          </cell>
          <cell r="V42">
            <v>117.60055</v>
          </cell>
          <cell r="W42">
            <v>120.97884999999999</v>
          </cell>
          <cell r="X42">
            <v>157.197913</v>
          </cell>
          <cell r="Y42">
            <v>395.77731299999999</v>
          </cell>
          <cell r="Z42">
            <v>127.212062</v>
          </cell>
          <cell r="AA42">
            <v>127.34554900000001</v>
          </cell>
          <cell r="AB42">
            <v>162.658705</v>
          </cell>
          <cell r="AC42">
            <v>417.21631600000001</v>
          </cell>
          <cell r="AD42">
            <v>131.40774300000001</v>
          </cell>
          <cell r="AE42">
            <v>131.24360899999999</v>
          </cell>
          <cell r="AF42">
            <v>167.88801100000001</v>
          </cell>
          <cell r="AG42">
            <v>430.53936299999998</v>
          </cell>
          <cell r="AH42">
            <v>141.23877200000001</v>
          </cell>
          <cell r="AI42">
            <v>137.35954000000001</v>
          </cell>
          <cell r="AJ42">
            <v>178.52205599999999</v>
          </cell>
          <cell r="AK42">
            <v>457.12036799999998</v>
          </cell>
          <cell r="AL42">
            <v>137.974762</v>
          </cell>
          <cell r="AM42">
            <v>140.00762900000001</v>
          </cell>
          <cell r="AN42">
            <v>181.07761099999999</v>
          </cell>
          <cell r="AO42">
            <v>459.060002</v>
          </cell>
          <cell r="AP42">
            <v>154.626386</v>
          </cell>
          <cell r="AQ42">
            <v>153.52598800000001</v>
          </cell>
          <cell r="AR42">
            <v>196.11869799999999</v>
          </cell>
          <cell r="AS42">
            <v>504.271072</v>
          </cell>
        </row>
        <row r="43">
          <cell r="A43" t="str">
            <v xml:space="preserve">  % Change</v>
          </cell>
          <cell r="AD43">
            <v>0.13239372367862168</v>
          </cell>
          <cell r="AE43">
            <v>0.13075722490617459</v>
          </cell>
          <cell r="AF43">
            <v>0.15468606476036784</v>
          </cell>
          <cell r="AG43">
            <v>0.14047645480968196</v>
          </cell>
          <cell r="AH43">
            <v>0.13975130852439643</v>
          </cell>
          <cell r="AI43">
            <v>0.14211883026252203</v>
          </cell>
          <cell r="AJ43">
            <v>0.17504377155482276</v>
          </cell>
          <cell r="AK43">
            <v>0.15400634760034215</v>
          </cell>
          <cell r="AL43">
            <v>0.17324929177627135</v>
          </cell>
          <cell r="AM43">
            <v>0.15729012963836264</v>
          </cell>
          <cell r="AN43">
            <v>0.15190849257648864</v>
          </cell>
          <cell r="AO43">
            <v>0.1598946855248371</v>
          </cell>
          <cell r="AP43">
            <v>0.21550097977344307</v>
          </cell>
          <cell r="AQ43">
            <v>0.20558581910075246</v>
          </cell>
          <cell r="AR43">
            <v>0.20570674652795251</v>
          </cell>
          <cell r="AS43">
            <v>0.20865616386872077</v>
          </cell>
        </row>
        <row r="45">
          <cell r="A45" t="str">
            <v>CEFOXITIN</v>
          </cell>
        </row>
        <row r="46">
          <cell r="A46" t="str">
            <v>TRx</v>
          </cell>
          <cell r="N46">
            <v>23</v>
          </cell>
          <cell r="O46">
            <v>49</v>
          </cell>
          <cell r="P46">
            <v>31</v>
          </cell>
          <cell r="Q46">
            <v>103</v>
          </cell>
          <cell r="R46">
            <v>31</v>
          </cell>
          <cell r="S46">
            <v>15</v>
          </cell>
          <cell r="T46">
            <v>23</v>
          </cell>
          <cell r="U46">
            <v>69</v>
          </cell>
          <cell r="V46">
            <v>5</v>
          </cell>
          <cell r="W46">
            <v>8</v>
          </cell>
          <cell r="X46">
            <v>80</v>
          </cell>
          <cell r="Y46">
            <v>93</v>
          </cell>
          <cell r="Z46">
            <v>18</v>
          </cell>
          <cell r="AA46">
            <v>20</v>
          </cell>
          <cell r="AB46">
            <v>5</v>
          </cell>
          <cell r="AC46">
            <v>43</v>
          </cell>
          <cell r="AD46">
            <v>17</v>
          </cell>
          <cell r="AG46">
            <v>17</v>
          </cell>
          <cell r="AH46">
            <v>14</v>
          </cell>
          <cell r="AI46">
            <v>4</v>
          </cell>
          <cell r="AJ46">
            <v>42</v>
          </cell>
          <cell r="AK46">
            <v>60</v>
          </cell>
          <cell r="AL46">
            <v>132</v>
          </cell>
          <cell r="AM46">
            <v>58</v>
          </cell>
          <cell r="AN46">
            <v>21</v>
          </cell>
          <cell r="AO46">
            <v>211</v>
          </cell>
          <cell r="AP46">
            <v>4</v>
          </cell>
          <cell r="AQ46">
            <v>0</v>
          </cell>
          <cell r="AR46">
            <v>9</v>
          </cell>
          <cell r="AS46">
            <v>13</v>
          </cell>
          <cell r="AT46">
            <v>17</v>
          </cell>
          <cell r="AU46">
            <v>10</v>
          </cell>
          <cell r="AV46">
            <v>12</v>
          </cell>
          <cell r="AW46">
            <v>39</v>
          </cell>
          <cell r="AX46">
            <v>2</v>
          </cell>
          <cell r="AY46">
            <v>0</v>
          </cell>
          <cell r="AZ46">
            <v>20</v>
          </cell>
          <cell r="BA46">
            <v>22</v>
          </cell>
          <cell r="BB46">
            <v>9</v>
          </cell>
          <cell r="BC46">
            <v>9</v>
          </cell>
          <cell r="BD46">
            <v>10</v>
          </cell>
          <cell r="BE46">
            <v>28</v>
          </cell>
          <cell r="BF46">
            <v>7</v>
          </cell>
          <cell r="BG46">
            <v>9</v>
          </cell>
          <cell r="BH46">
            <v>7</v>
          </cell>
          <cell r="BI46">
            <v>23</v>
          </cell>
        </row>
        <row r="47">
          <cell r="A47" t="str">
            <v xml:space="preserve">  % Change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-0.54838709677419351</v>
          </cell>
          <cell r="AI47">
            <v>-0.73333333333333339</v>
          </cell>
          <cell r="AJ47">
            <v>0.82608695652173902</v>
          </cell>
          <cell r="AK47">
            <v>-0.13043478260869568</v>
          </cell>
          <cell r="AL47">
            <v>25.4</v>
          </cell>
          <cell r="AM47">
            <v>6.25</v>
          </cell>
          <cell r="AN47">
            <v>-0.73750000000000004</v>
          </cell>
          <cell r="AO47">
            <v>1.2688172043010755</v>
          </cell>
          <cell r="AP47">
            <v>-0.77777777777777779</v>
          </cell>
          <cell r="AQ47">
            <v>0</v>
          </cell>
          <cell r="AR47">
            <v>0.8</v>
          </cell>
          <cell r="AS47">
            <v>-0.69767441860465118</v>
          </cell>
          <cell r="AT47">
            <v>0</v>
          </cell>
          <cell r="AU47">
            <v>0</v>
          </cell>
          <cell r="AV47">
            <v>0</v>
          </cell>
          <cell r="AW47">
            <v>1.2941176470588234</v>
          </cell>
          <cell r="AX47">
            <v>-0.85714285714285721</v>
          </cell>
          <cell r="AY47">
            <v>-1</v>
          </cell>
          <cell r="AZ47">
            <v>-0.52380952380952384</v>
          </cell>
          <cell r="BA47">
            <v>-0.6333333333333333</v>
          </cell>
          <cell r="BB47">
            <v>-0.93181818181818188</v>
          </cell>
          <cell r="BC47">
            <v>-0.84482758620689657</v>
          </cell>
          <cell r="BD47">
            <v>-0.52380952380952384</v>
          </cell>
          <cell r="BE47">
            <v>-0.86729857819905209</v>
          </cell>
          <cell r="BF47">
            <v>0.75</v>
          </cell>
          <cell r="BG47">
            <v>0</v>
          </cell>
          <cell r="BH47">
            <v>-0.22222222222222221</v>
          </cell>
          <cell r="BI47">
            <v>0.76923076923076916</v>
          </cell>
        </row>
        <row r="48">
          <cell r="A48" t="str">
            <v>NRx</v>
          </cell>
          <cell r="N48">
            <v>9</v>
          </cell>
          <cell r="O48">
            <v>0</v>
          </cell>
          <cell r="P48">
            <v>5</v>
          </cell>
          <cell r="Q48">
            <v>14</v>
          </cell>
          <cell r="R48">
            <v>3</v>
          </cell>
          <cell r="S48">
            <v>9</v>
          </cell>
          <cell r="T48">
            <v>10</v>
          </cell>
          <cell r="U48">
            <v>22</v>
          </cell>
          <cell r="V48">
            <v>5</v>
          </cell>
          <cell r="W48">
            <v>0</v>
          </cell>
          <cell r="X48">
            <v>18</v>
          </cell>
          <cell r="Y48">
            <v>23</v>
          </cell>
          <cell r="Z48">
            <v>5</v>
          </cell>
          <cell r="AA48">
            <v>5</v>
          </cell>
          <cell r="AB48">
            <v>5</v>
          </cell>
          <cell r="AC48">
            <v>15</v>
          </cell>
          <cell r="AD48">
            <v>5</v>
          </cell>
          <cell r="AG48">
            <v>5</v>
          </cell>
          <cell r="AH48">
            <v>7</v>
          </cell>
          <cell r="AI48">
            <v>2</v>
          </cell>
          <cell r="AJ48">
            <v>12</v>
          </cell>
          <cell r="AK48">
            <v>21</v>
          </cell>
          <cell r="AL48">
            <v>54</v>
          </cell>
          <cell r="AM48">
            <v>23</v>
          </cell>
          <cell r="AN48">
            <v>5</v>
          </cell>
          <cell r="AO48">
            <v>82</v>
          </cell>
          <cell r="AP48">
            <v>4</v>
          </cell>
          <cell r="AQ48">
            <v>0</v>
          </cell>
          <cell r="AR48">
            <v>6</v>
          </cell>
          <cell r="AS48">
            <v>10</v>
          </cell>
          <cell r="AT48">
            <v>7</v>
          </cell>
          <cell r="AU48">
            <v>2</v>
          </cell>
          <cell r="AV48">
            <v>4</v>
          </cell>
          <cell r="AW48">
            <v>13</v>
          </cell>
          <cell r="AX48">
            <v>2</v>
          </cell>
          <cell r="AY48">
            <v>0</v>
          </cell>
          <cell r="AZ48">
            <v>4</v>
          </cell>
          <cell r="BA48">
            <v>6</v>
          </cell>
          <cell r="BB48">
            <v>0</v>
          </cell>
          <cell r="BC48">
            <v>9</v>
          </cell>
          <cell r="BD48">
            <v>0</v>
          </cell>
          <cell r="BE48">
            <v>9</v>
          </cell>
          <cell r="BF48">
            <v>3</v>
          </cell>
          <cell r="BG48">
            <v>7</v>
          </cell>
          <cell r="BH48">
            <v>2</v>
          </cell>
          <cell r="BI48">
            <v>12</v>
          </cell>
        </row>
        <row r="49">
          <cell r="A49" t="str">
            <v xml:space="preserve">  % Change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1.3333333333333335</v>
          </cell>
          <cell r="AI49">
            <v>-0.77777777777777779</v>
          </cell>
          <cell r="AJ49">
            <v>0.2</v>
          </cell>
          <cell r="AK49">
            <v>-4.5454545454545414E-2</v>
          </cell>
          <cell r="AL49">
            <v>9.8000000000000007</v>
          </cell>
          <cell r="AN49">
            <v>-0.72222222222222221</v>
          </cell>
          <cell r="AO49">
            <v>2.5652173913043477</v>
          </cell>
          <cell r="AP49">
            <v>-0.2</v>
          </cell>
          <cell r="AQ49">
            <v>0</v>
          </cell>
          <cell r="AR49">
            <v>0.2</v>
          </cell>
          <cell r="AS49">
            <v>-0.33333333333333337</v>
          </cell>
          <cell r="AT49">
            <v>0.4</v>
          </cell>
          <cell r="AU49">
            <v>0</v>
          </cell>
          <cell r="AV49">
            <v>0</v>
          </cell>
          <cell r="AW49">
            <v>1.6</v>
          </cell>
          <cell r="AX49">
            <v>-0.7142857142857143</v>
          </cell>
          <cell r="AY49">
            <v>-1</v>
          </cell>
          <cell r="AZ49">
            <v>-0.66666666666666674</v>
          </cell>
          <cell r="BA49">
            <v>-0.7142857142857143</v>
          </cell>
          <cell r="BB49">
            <v>-1</v>
          </cell>
          <cell r="BC49">
            <v>-0.60869565217391308</v>
          </cell>
          <cell r="BD49">
            <v>-1</v>
          </cell>
          <cell r="BE49">
            <v>-0.8902439024390244</v>
          </cell>
          <cell r="BF49">
            <v>-0.25</v>
          </cell>
          <cell r="BG49">
            <v>0</v>
          </cell>
          <cell r="BH49">
            <v>-0.66666666666666674</v>
          </cell>
          <cell r="BI49">
            <v>0.2</v>
          </cell>
        </row>
        <row r="50">
          <cell r="A50" t="str">
            <v>Sales (IMS)</v>
          </cell>
          <cell r="N50">
            <v>0.15317700000000001</v>
          </cell>
          <cell r="O50">
            <v>0.13711400000000001</v>
          </cell>
          <cell r="P50">
            <v>0.16084000000000001</v>
          </cell>
          <cell r="Q50">
            <v>0.45113100000000006</v>
          </cell>
          <cell r="R50">
            <v>0.16398699999999999</v>
          </cell>
          <cell r="S50">
            <v>0.13456000000000001</v>
          </cell>
          <cell r="T50">
            <v>0.15709100000000001</v>
          </cell>
          <cell r="U50">
            <v>0.45563799999999999</v>
          </cell>
          <cell r="V50">
            <v>0.15162200000000001</v>
          </cell>
          <cell r="W50">
            <v>0.16669300000000001</v>
          </cell>
          <cell r="X50">
            <v>0.15922600000000001</v>
          </cell>
          <cell r="Y50">
            <v>0.47754099999999999</v>
          </cell>
          <cell r="Z50">
            <v>0.106901</v>
          </cell>
          <cell r="AA50">
            <v>7.2138999999999995E-2</v>
          </cell>
          <cell r="AB50">
            <v>5.9109000000000002E-2</v>
          </cell>
          <cell r="AC50">
            <v>0.23814899999999997</v>
          </cell>
          <cell r="AD50">
            <v>1.8457999999999999E-2</v>
          </cell>
          <cell r="AE50">
            <v>1.0012E-2</v>
          </cell>
          <cell r="AF50">
            <v>0.56787299999999996</v>
          </cell>
          <cell r="AG50">
            <v>0.59634299999999996</v>
          </cell>
          <cell r="AH50">
            <v>1.172175</v>
          </cell>
          <cell r="AI50">
            <v>0.922157</v>
          </cell>
          <cell r="AJ50">
            <v>1.3715329999999999</v>
          </cell>
          <cell r="AK50">
            <v>3.465865</v>
          </cell>
          <cell r="AL50">
            <v>0.88312299999999999</v>
          </cell>
          <cell r="AM50">
            <v>0.87005600000000005</v>
          </cell>
          <cell r="AN50">
            <v>1.178914</v>
          </cell>
          <cell r="AO50">
            <v>2.9320930000000001</v>
          </cell>
          <cell r="AP50">
            <v>0.93193199999999998</v>
          </cell>
          <cell r="AQ50">
            <v>1.1975750000000001</v>
          </cell>
          <cell r="AR50">
            <v>1.426933</v>
          </cell>
          <cell r="AS50">
            <v>3.5564400000000003</v>
          </cell>
          <cell r="AT50">
            <v>1.800187</v>
          </cell>
          <cell r="AU50">
            <v>1.7791760000000001</v>
          </cell>
          <cell r="AV50">
            <v>2.6088909999999998</v>
          </cell>
          <cell r="AW50">
            <v>6.1882539999999997</v>
          </cell>
          <cell r="AX50">
            <v>3.0527799999999998</v>
          </cell>
          <cell r="AY50">
            <v>3.3351769999999998</v>
          </cell>
          <cell r="AZ50">
            <v>3.7898139999999998</v>
          </cell>
          <cell r="BA50">
            <v>10.177771</v>
          </cell>
          <cell r="BB50">
            <v>1.690083</v>
          </cell>
          <cell r="BC50">
            <v>1.445333</v>
          </cell>
          <cell r="BD50">
            <v>1.9956160000000001</v>
          </cell>
          <cell r="BE50">
            <v>5.1310320000000003</v>
          </cell>
          <cell r="BF50">
            <v>2.4244430000000001</v>
          </cell>
          <cell r="BG50">
            <v>2.8264900000000002</v>
          </cell>
        </row>
        <row r="51">
          <cell r="A51" t="str">
            <v xml:space="preserve">  % Change</v>
          </cell>
          <cell r="AD51">
            <v>-0.87949888038021373</v>
          </cell>
          <cell r="AE51">
            <v>-0.92698046880697815</v>
          </cell>
          <cell r="AF51">
            <v>2.5306702312857494</v>
          </cell>
          <cell r="AG51">
            <v>0.32188433071546818</v>
          </cell>
          <cell r="AH51">
            <v>6.1479751443712001</v>
          </cell>
          <cell r="AI51">
            <v>5.8531287158145062</v>
          </cell>
          <cell r="AJ51">
            <v>7.7308184428133995</v>
          </cell>
          <cell r="AK51">
            <v>6.6066197288198092</v>
          </cell>
          <cell r="AL51">
            <v>4.8245043595256618</v>
          </cell>
          <cell r="AM51">
            <v>4.2195113172118806</v>
          </cell>
          <cell r="AN51">
            <v>6.4040294926707944</v>
          </cell>
          <cell r="AO51">
            <v>0</v>
          </cell>
          <cell r="AP51">
            <v>7.7177107791320942</v>
          </cell>
          <cell r="AQ51">
            <v>15.600937079804268</v>
          </cell>
          <cell r="AR51">
            <v>23.1407061530393</v>
          </cell>
          <cell r="AS51">
            <v>0</v>
          </cell>
          <cell r="AT51">
            <v>0</v>
          </cell>
          <cell r="AU51">
            <v>0</v>
          </cell>
          <cell r="AV51">
            <v>3.5941451697826805</v>
          </cell>
          <cell r="AW51">
            <v>0</v>
          </cell>
          <cell r="AX51">
            <v>1.6043722140465375</v>
          </cell>
          <cell r="AY51">
            <v>2.6167127723370314</v>
          </cell>
          <cell r="AZ51">
            <v>1.7631956358323131</v>
          </cell>
          <cell r="BA51">
            <v>1.9365745636370719</v>
          </cell>
          <cell r="BB51">
            <v>0.91375720029939211</v>
          </cell>
          <cell r="BC51">
            <v>0.6611953713324199</v>
          </cell>
          <cell r="BD51">
            <v>0.69275791109444795</v>
          </cell>
          <cell r="BE51">
            <v>0.74995540728073773</v>
          </cell>
          <cell r="BF51">
            <v>1.6015235017147176</v>
          </cell>
          <cell r="BG51">
            <v>1.3601778594242533</v>
          </cell>
        </row>
        <row r="53">
          <cell r="A53" t="str">
            <v>MIDAZOLAM HCL</v>
          </cell>
        </row>
        <row r="54">
          <cell r="A54" t="str">
            <v>TRx</v>
          </cell>
          <cell r="N54">
            <v>76</v>
          </cell>
          <cell r="O54">
            <v>100</v>
          </cell>
          <cell r="P54">
            <v>95</v>
          </cell>
          <cell r="Q54">
            <v>271</v>
          </cell>
          <cell r="R54">
            <v>46</v>
          </cell>
          <cell r="S54">
            <v>81</v>
          </cell>
          <cell r="T54">
            <v>63</v>
          </cell>
          <cell r="U54">
            <v>190</v>
          </cell>
          <cell r="V54">
            <v>64</v>
          </cell>
          <cell r="W54">
            <v>75</v>
          </cell>
          <cell r="X54">
            <v>67</v>
          </cell>
          <cell r="Y54">
            <v>206</v>
          </cell>
          <cell r="Z54">
            <v>152</v>
          </cell>
          <cell r="AA54">
            <v>187</v>
          </cell>
          <cell r="AB54">
            <v>201</v>
          </cell>
          <cell r="AC54">
            <v>540</v>
          </cell>
          <cell r="AD54">
            <v>147</v>
          </cell>
          <cell r="AE54">
            <v>158</v>
          </cell>
          <cell r="AF54">
            <v>151</v>
          </cell>
          <cell r="AG54">
            <v>456</v>
          </cell>
          <cell r="AH54">
            <v>107</v>
          </cell>
          <cell r="AI54">
            <v>65</v>
          </cell>
          <cell r="AJ54">
            <v>138</v>
          </cell>
          <cell r="AK54">
            <v>310</v>
          </cell>
          <cell r="AL54">
            <v>127</v>
          </cell>
          <cell r="AM54">
            <v>82</v>
          </cell>
          <cell r="AN54">
            <v>118</v>
          </cell>
          <cell r="AO54">
            <v>327</v>
          </cell>
          <cell r="AP54">
            <v>124</v>
          </cell>
          <cell r="AQ54">
            <v>129</v>
          </cell>
          <cell r="AR54">
            <v>165</v>
          </cell>
          <cell r="AS54">
            <v>418</v>
          </cell>
          <cell r="AT54">
            <v>174</v>
          </cell>
          <cell r="AU54">
            <v>190</v>
          </cell>
          <cell r="AV54">
            <v>173</v>
          </cell>
          <cell r="AW54">
            <v>537</v>
          </cell>
          <cell r="AX54">
            <v>190</v>
          </cell>
          <cell r="AY54">
            <v>145</v>
          </cell>
          <cell r="AZ54">
            <v>195</v>
          </cell>
          <cell r="BA54">
            <v>530</v>
          </cell>
          <cell r="BB54">
            <v>134</v>
          </cell>
          <cell r="BC54">
            <v>129</v>
          </cell>
          <cell r="BD54">
            <v>181</v>
          </cell>
          <cell r="BE54">
            <v>444</v>
          </cell>
          <cell r="BF54">
            <v>147</v>
          </cell>
          <cell r="BG54">
            <v>176</v>
          </cell>
          <cell r="BH54">
            <v>137</v>
          </cell>
          <cell r="BI54">
            <v>460</v>
          </cell>
        </row>
        <row r="55">
          <cell r="A55" t="str">
            <v xml:space="preserve">  % Change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1.3260869565217392</v>
          </cell>
          <cell r="AI55">
            <v>-0.19753086419753085</v>
          </cell>
          <cell r="AJ55">
            <v>1.1904761904761907</v>
          </cell>
          <cell r="AK55">
            <v>0.63157894736842102</v>
          </cell>
          <cell r="AL55">
            <v>0.984375</v>
          </cell>
          <cell r="AM55">
            <v>9.3333333333333268E-2</v>
          </cell>
          <cell r="AN55">
            <v>0.76119402985074625</v>
          </cell>
          <cell r="AO55">
            <v>0.58737864077669899</v>
          </cell>
          <cell r="AP55">
            <v>-0.18421052631578949</v>
          </cell>
          <cell r="AQ55">
            <v>-0.31016042780748665</v>
          </cell>
          <cell r="AR55">
            <v>-0.17910447761194026</v>
          </cell>
          <cell r="AS55">
            <v>-0.22592592592592597</v>
          </cell>
          <cell r="AT55">
            <v>0.18367346938775508</v>
          </cell>
          <cell r="AU55">
            <v>0.20253164556962022</v>
          </cell>
          <cell r="AV55">
            <v>0.14569536423841067</v>
          </cell>
          <cell r="AW55">
            <v>0.17763157894736836</v>
          </cell>
          <cell r="AX55">
            <v>0.77570093457943923</v>
          </cell>
          <cell r="AY55">
            <v>1.2307692307692308</v>
          </cell>
          <cell r="AZ55">
            <v>0.41304347826086962</v>
          </cell>
          <cell r="BA55">
            <v>0.70967741935483875</v>
          </cell>
          <cell r="BB55">
            <v>5.5118110236220375E-2</v>
          </cell>
          <cell r="BC55">
            <v>0.57317073170731714</v>
          </cell>
          <cell r="BD55">
            <v>0.53389830508474567</v>
          </cell>
          <cell r="BE55">
            <v>0.35779816513761475</v>
          </cell>
          <cell r="BF55">
            <v>0.18548387096774199</v>
          </cell>
          <cell r="BG55">
            <v>0.36434108527131781</v>
          </cell>
          <cell r="BH55">
            <v>-0.16969696969696968</v>
          </cell>
          <cell r="BI55">
            <v>0.1004784688995215</v>
          </cell>
        </row>
        <row r="56">
          <cell r="A56" t="str">
            <v>NRx</v>
          </cell>
          <cell r="N56">
            <v>60</v>
          </cell>
          <cell r="O56">
            <v>64</v>
          </cell>
          <cell r="P56">
            <v>53</v>
          </cell>
          <cell r="Q56">
            <v>177</v>
          </cell>
          <cell r="R56">
            <v>27</v>
          </cell>
          <cell r="S56">
            <v>49</v>
          </cell>
          <cell r="T56">
            <v>48</v>
          </cell>
          <cell r="U56">
            <v>124</v>
          </cell>
          <cell r="V56">
            <v>53</v>
          </cell>
          <cell r="W56">
            <v>54</v>
          </cell>
          <cell r="X56">
            <v>55</v>
          </cell>
          <cell r="Y56">
            <v>162</v>
          </cell>
          <cell r="Z56">
            <v>111</v>
          </cell>
          <cell r="AA56">
            <v>107</v>
          </cell>
          <cell r="AB56">
            <v>145</v>
          </cell>
          <cell r="AC56">
            <v>363</v>
          </cell>
          <cell r="AD56">
            <v>120</v>
          </cell>
          <cell r="AE56">
            <v>97</v>
          </cell>
          <cell r="AF56">
            <v>136</v>
          </cell>
          <cell r="AG56">
            <v>353</v>
          </cell>
          <cell r="AH56">
            <v>73</v>
          </cell>
          <cell r="AI56">
            <v>52</v>
          </cell>
          <cell r="AJ56">
            <v>71</v>
          </cell>
          <cell r="AK56">
            <v>196</v>
          </cell>
          <cell r="AL56">
            <v>97</v>
          </cell>
          <cell r="AM56">
            <v>66</v>
          </cell>
          <cell r="AN56">
            <v>93</v>
          </cell>
          <cell r="AO56">
            <v>256</v>
          </cell>
          <cell r="AP56">
            <v>107</v>
          </cell>
          <cell r="AQ56">
            <v>101</v>
          </cell>
          <cell r="AR56">
            <v>138</v>
          </cell>
          <cell r="AS56">
            <v>346</v>
          </cell>
          <cell r="AT56">
            <v>133</v>
          </cell>
          <cell r="AU56">
            <v>135</v>
          </cell>
          <cell r="AV56">
            <v>130</v>
          </cell>
          <cell r="AW56">
            <v>398</v>
          </cell>
          <cell r="AX56">
            <v>164</v>
          </cell>
          <cell r="AY56">
            <v>108</v>
          </cell>
          <cell r="AZ56">
            <v>156</v>
          </cell>
          <cell r="BA56">
            <v>428</v>
          </cell>
          <cell r="BB56">
            <v>101</v>
          </cell>
          <cell r="BC56">
            <v>93</v>
          </cell>
          <cell r="BD56">
            <v>137</v>
          </cell>
          <cell r="BE56">
            <v>331</v>
          </cell>
          <cell r="BF56">
            <v>127</v>
          </cell>
          <cell r="BG56">
            <v>169</v>
          </cell>
          <cell r="BH56">
            <v>103</v>
          </cell>
          <cell r="BI56">
            <v>399</v>
          </cell>
        </row>
        <row r="57">
          <cell r="A57" t="str">
            <v xml:space="preserve">  % Change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1.7037037037037037</v>
          </cell>
          <cell r="AI57">
            <v>6.1224489795918435E-2</v>
          </cell>
          <cell r="AJ57">
            <v>0.47916666666666674</v>
          </cell>
          <cell r="AK57">
            <v>0.58064516129032251</v>
          </cell>
          <cell r="AL57">
            <v>0.83018867924528306</v>
          </cell>
          <cell r="AM57">
            <v>0.22222222222222232</v>
          </cell>
          <cell r="AN57">
            <v>0.69090909090909092</v>
          </cell>
          <cell r="AO57">
            <v>0.58024691358024683</v>
          </cell>
          <cell r="AP57">
            <v>-3.6036036036036001E-2</v>
          </cell>
          <cell r="AQ57">
            <v>-5.6074766355140193E-2</v>
          </cell>
          <cell r="AR57">
            <v>-4.8275862068965503E-2</v>
          </cell>
          <cell r="AS57">
            <v>-4.6831955922865043E-2</v>
          </cell>
          <cell r="AT57">
            <v>0.10833333333333339</v>
          </cell>
          <cell r="AU57">
            <v>0.39175257731958757</v>
          </cell>
          <cell r="AV57">
            <v>-4.4117647058823484E-2</v>
          </cell>
          <cell r="AW57">
            <v>0.12747875354107641</v>
          </cell>
          <cell r="AX57">
            <v>1.2465753424657535</v>
          </cell>
          <cell r="AY57">
            <v>1.0769230769230771</v>
          </cell>
          <cell r="AZ57">
            <v>1.1971830985915495</v>
          </cell>
          <cell r="BA57">
            <v>1.1836734693877551</v>
          </cell>
          <cell r="BB57">
            <v>4.1237113402061931E-2</v>
          </cell>
          <cell r="BC57">
            <v>0.40909090909090917</v>
          </cell>
          <cell r="BD57">
            <v>0.4731182795698925</v>
          </cell>
          <cell r="BE57">
            <v>0.29296875</v>
          </cell>
          <cell r="BF57">
            <v>0.18691588785046731</v>
          </cell>
          <cell r="BG57">
            <v>0.6732673267326732</v>
          </cell>
          <cell r="BH57">
            <v>-0.25362318840579712</v>
          </cell>
          <cell r="BI57">
            <v>0.15317919075144504</v>
          </cell>
        </row>
        <row r="58">
          <cell r="A58" t="str">
            <v>Sales (IMS)</v>
          </cell>
          <cell r="N58">
            <v>0.33834500000000001</v>
          </cell>
          <cell r="O58">
            <v>0.29869899999999999</v>
          </cell>
          <cell r="P58">
            <v>0.348829</v>
          </cell>
          <cell r="Q58">
            <v>0.985873</v>
          </cell>
          <cell r="R58">
            <v>0.37761600000000001</v>
          </cell>
          <cell r="S58">
            <v>0.38517499999999999</v>
          </cell>
          <cell r="T58">
            <v>0.45650200000000002</v>
          </cell>
          <cell r="U58">
            <v>1.219293</v>
          </cell>
          <cell r="V58">
            <v>0.39177499999999998</v>
          </cell>
          <cell r="W58">
            <v>0.44779999999999998</v>
          </cell>
          <cell r="X58">
            <v>0.60362700000000002</v>
          </cell>
          <cell r="Y58">
            <v>1.4432019999999999</v>
          </cell>
          <cell r="Z58">
            <v>0.56937099999999996</v>
          </cell>
          <cell r="AA58">
            <v>0.64530399999999999</v>
          </cell>
          <cell r="AB58">
            <v>0.69720899999999997</v>
          </cell>
          <cell r="AC58">
            <v>1.9118839999999999</v>
          </cell>
          <cell r="AD58">
            <v>0.704013</v>
          </cell>
          <cell r="AE58">
            <v>0.57396599999999998</v>
          </cell>
          <cell r="AF58">
            <v>0.61738700000000002</v>
          </cell>
          <cell r="AG58">
            <v>1.8953660000000001</v>
          </cell>
          <cell r="AH58">
            <v>0.63638600000000001</v>
          </cell>
          <cell r="AI58">
            <v>0.81323699999999999</v>
          </cell>
          <cell r="AJ58">
            <v>1.193873</v>
          </cell>
          <cell r="AK58">
            <v>2.6434959999999998</v>
          </cell>
          <cell r="AL58">
            <v>0.77597000000000005</v>
          </cell>
          <cell r="AM58">
            <v>0.73333700000000002</v>
          </cell>
          <cell r="AN58">
            <v>0.87001700000000004</v>
          </cell>
          <cell r="AO58">
            <v>2.3793240000000004</v>
          </cell>
          <cell r="AP58">
            <v>0.72581499999999999</v>
          </cell>
          <cell r="AQ58">
            <v>0.82318800000000003</v>
          </cell>
          <cell r="AR58">
            <v>0.93775699999999995</v>
          </cell>
          <cell r="AS58">
            <v>2.4867599999999999</v>
          </cell>
          <cell r="AT58">
            <v>0.80650200000000005</v>
          </cell>
          <cell r="AU58">
            <v>0.81146600000000002</v>
          </cell>
          <cell r="AV58">
            <v>0.89944100000000005</v>
          </cell>
          <cell r="AW58">
            <v>2.5174090000000002</v>
          </cell>
          <cell r="AX58">
            <v>0.81569199999999997</v>
          </cell>
          <cell r="AY58">
            <v>0.74145899999999998</v>
          </cell>
          <cell r="AZ58">
            <v>0.89844900000000005</v>
          </cell>
          <cell r="BA58">
            <v>2.4556</v>
          </cell>
          <cell r="BB58">
            <v>0.75409499999999996</v>
          </cell>
          <cell r="BC58">
            <v>0.72672599999999998</v>
          </cell>
          <cell r="BD58">
            <v>0.85226299999999999</v>
          </cell>
          <cell r="BE58">
            <v>2.3330839999999999</v>
          </cell>
          <cell r="BF58">
            <v>0.75712800000000002</v>
          </cell>
          <cell r="BG58">
            <v>0.77512199999999998</v>
          </cell>
        </row>
        <row r="59">
          <cell r="A59" t="str">
            <v xml:space="preserve">  % Change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0.68527286979365276</v>
          </cell>
          <cell r="AI59">
            <v>1.1113441941974429</v>
          </cell>
          <cell r="AJ59">
            <v>1.6152634599629354</v>
          </cell>
          <cell r="AK59">
            <v>1.1680564064584966</v>
          </cell>
          <cell r="AL59">
            <v>0.98065216004083999</v>
          </cell>
          <cell r="AM59">
            <v>0.6376440375167487</v>
          </cell>
          <cell r="AN59">
            <v>0.44131558064831422</v>
          </cell>
          <cell r="AO59">
            <v>0.6486423937882575</v>
          </cell>
          <cell r="AP59">
            <v>0.2747663649887333</v>
          </cell>
          <cell r="AQ59">
            <v>0.27565922417961164</v>
          </cell>
          <cell r="AR59">
            <v>0.34501562659116569</v>
          </cell>
          <cell r="AS59">
            <v>0.30068560644892672</v>
          </cell>
          <cell r="AT59">
            <v>0.1455782776738499</v>
          </cell>
          <cell r="AU59">
            <v>0.41378757626758378</v>
          </cell>
          <cell r="AV59">
            <v>0.45685121325845857</v>
          </cell>
          <cell r="AW59">
            <v>0.32819149441321627</v>
          </cell>
          <cell r="AX59">
            <v>0.28175666969417934</v>
          </cell>
          <cell r="AY59">
            <v>-8.8262093338104419E-2</v>
          </cell>
          <cell r="AZ59">
            <v>-0.24745010566450532</v>
          </cell>
          <cell r="BA59">
            <v>-7.1078601972539346E-2</v>
          </cell>
          <cell r="BB59">
            <v>-2.8190522829490972E-2</v>
          </cell>
          <cell r="BC59">
            <v>-9.0149549252254157E-3</v>
          </cell>
          <cell r="BD59">
            <v>-2.0406497804066004E-2</v>
          </cell>
          <cell r="BE59">
            <v>-1.9434091363765726E-2</v>
          </cell>
          <cell r="BF59">
            <v>4.3141847440463454E-2</v>
          </cell>
          <cell r="BG59">
            <v>-5.8390063995102048E-2</v>
          </cell>
        </row>
        <row r="61">
          <cell r="A61" t="str">
            <v>CEFAZOLIN SOD</v>
          </cell>
        </row>
        <row r="62">
          <cell r="A62" t="str">
            <v>TRx</v>
          </cell>
          <cell r="O62">
            <v>343</v>
          </cell>
          <cell r="P62">
            <v>442</v>
          </cell>
          <cell r="Q62">
            <v>785</v>
          </cell>
          <cell r="R62">
            <v>545</v>
          </cell>
          <cell r="S62">
            <v>478</v>
          </cell>
          <cell r="T62">
            <v>615</v>
          </cell>
          <cell r="U62">
            <v>1638</v>
          </cell>
          <cell r="V62">
            <v>568</v>
          </cell>
          <cell r="W62">
            <v>904</v>
          </cell>
          <cell r="X62">
            <v>470</v>
          </cell>
          <cell r="Y62">
            <v>1942</v>
          </cell>
          <cell r="Z62">
            <v>486</v>
          </cell>
          <cell r="AA62">
            <v>674</v>
          </cell>
          <cell r="AB62">
            <v>853</v>
          </cell>
          <cell r="AC62">
            <v>2013</v>
          </cell>
          <cell r="AD62">
            <v>868</v>
          </cell>
          <cell r="AE62">
            <v>847</v>
          </cell>
          <cell r="AF62">
            <v>866</v>
          </cell>
          <cell r="AG62">
            <v>2581</v>
          </cell>
          <cell r="AH62">
            <v>802</v>
          </cell>
          <cell r="AI62">
            <v>703</v>
          </cell>
          <cell r="AJ62">
            <v>905</v>
          </cell>
          <cell r="AK62">
            <v>2410</v>
          </cell>
          <cell r="AL62">
            <v>828</v>
          </cell>
          <cell r="AM62">
            <v>752</v>
          </cell>
          <cell r="AN62">
            <v>959</v>
          </cell>
          <cell r="AO62">
            <v>2539</v>
          </cell>
          <cell r="AP62">
            <v>755</v>
          </cell>
          <cell r="AQ62">
            <v>773</v>
          </cell>
          <cell r="AR62">
            <v>802</v>
          </cell>
          <cell r="AS62">
            <v>2330</v>
          </cell>
          <cell r="AT62">
            <v>911</v>
          </cell>
          <cell r="AU62">
            <v>785</v>
          </cell>
          <cell r="AV62">
            <v>740</v>
          </cell>
          <cell r="AW62">
            <v>2436</v>
          </cell>
          <cell r="AX62">
            <v>828</v>
          </cell>
          <cell r="AY62">
            <v>823</v>
          </cell>
          <cell r="AZ62">
            <v>801</v>
          </cell>
          <cell r="BA62">
            <v>2452</v>
          </cell>
          <cell r="BB62">
            <v>811</v>
          </cell>
          <cell r="BC62">
            <v>689</v>
          </cell>
          <cell r="BD62">
            <v>642</v>
          </cell>
          <cell r="BE62">
            <v>2142</v>
          </cell>
          <cell r="BF62">
            <v>684</v>
          </cell>
          <cell r="BG62">
            <v>641</v>
          </cell>
          <cell r="BH62">
            <v>737</v>
          </cell>
          <cell r="BI62">
            <v>2062</v>
          </cell>
        </row>
        <row r="63">
          <cell r="A63" t="str">
            <v xml:space="preserve">  % Change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0.47155963302752291</v>
          </cell>
          <cell r="AI63">
            <v>0.4707112970711298</v>
          </cell>
          <cell r="AJ63">
            <v>0.47154471544715437</v>
          </cell>
          <cell r="AK63">
            <v>0.47130647130647141</v>
          </cell>
          <cell r="AL63">
            <v>0.45774647887323949</v>
          </cell>
          <cell r="AM63">
            <v>-0.16814159292035402</v>
          </cell>
          <cell r="AN63">
            <v>1.0404255319148934</v>
          </cell>
          <cell r="AO63">
            <v>0.30741503604531406</v>
          </cell>
          <cell r="AP63">
            <v>0.55349794238683137</v>
          </cell>
          <cell r="AQ63">
            <v>0</v>
          </cell>
          <cell r="AR63">
            <v>-5.9788980070339948E-2</v>
          </cell>
          <cell r="AS63">
            <v>0.1574764033780427</v>
          </cell>
          <cell r="AT63">
            <v>4.9539170506912367E-2</v>
          </cell>
          <cell r="AU63">
            <v>-7.3199527744982285E-2</v>
          </cell>
          <cell r="AV63">
            <v>-0.14549653579676669</v>
          </cell>
          <cell r="AW63">
            <v>-5.6179775280898903E-2</v>
          </cell>
          <cell r="AX63">
            <v>3.2418952618453956E-2</v>
          </cell>
          <cell r="AY63">
            <v>0.170697012802276</v>
          </cell>
          <cell r="AZ63">
            <v>-0.11491712707182322</v>
          </cell>
          <cell r="BA63">
            <v>1.7427385892116121E-2</v>
          </cell>
          <cell r="BB63">
            <v>-2.0531400966183555E-2</v>
          </cell>
          <cell r="BC63">
            <v>-8.3776595744680882E-2</v>
          </cell>
          <cell r="BD63">
            <v>-0.33055265901981234</v>
          </cell>
          <cell r="BE63">
            <v>-0.15636077195746356</v>
          </cell>
          <cell r="BF63">
            <v>-9.4039735099337718E-2</v>
          </cell>
          <cell r="BG63">
            <v>-0.17076326002587328</v>
          </cell>
          <cell r="BH63">
            <v>-8.1047381546134667E-2</v>
          </cell>
          <cell r="BI63">
            <v>-0.11502145922746776</v>
          </cell>
        </row>
        <row r="64">
          <cell r="A64" t="str">
            <v>NRx</v>
          </cell>
          <cell r="O64">
            <v>167</v>
          </cell>
          <cell r="P64">
            <v>222</v>
          </cell>
          <cell r="Q64">
            <v>389</v>
          </cell>
          <cell r="R64">
            <v>248</v>
          </cell>
          <cell r="S64">
            <v>220</v>
          </cell>
          <cell r="T64">
            <v>268</v>
          </cell>
          <cell r="U64">
            <v>736</v>
          </cell>
          <cell r="V64">
            <v>244</v>
          </cell>
          <cell r="W64">
            <v>326</v>
          </cell>
          <cell r="X64">
            <v>285</v>
          </cell>
          <cell r="Y64">
            <v>855</v>
          </cell>
          <cell r="Z64">
            <v>296</v>
          </cell>
          <cell r="AA64">
            <v>355</v>
          </cell>
          <cell r="AB64">
            <v>425</v>
          </cell>
          <cell r="AC64">
            <v>1076</v>
          </cell>
          <cell r="AD64">
            <v>456</v>
          </cell>
          <cell r="AE64">
            <v>339</v>
          </cell>
          <cell r="AF64">
            <v>391</v>
          </cell>
          <cell r="AG64">
            <v>1186</v>
          </cell>
          <cell r="AH64">
            <v>398</v>
          </cell>
          <cell r="AI64">
            <v>350</v>
          </cell>
          <cell r="AJ64">
            <v>369</v>
          </cell>
          <cell r="AK64">
            <v>1117</v>
          </cell>
          <cell r="AL64">
            <v>385</v>
          </cell>
          <cell r="AM64">
            <v>341</v>
          </cell>
          <cell r="AN64">
            <v>443</v>
          </cell>
          <cell r="AO64">
            <v>1169</v>
          </cell>
          <cell r="AP64">
            <v>374</v>
          </cell>
          <cell r="AQ64">
            <v>305</v>
          </cell>
          <cell r="AR64">
            <v>327</v>
          </cell>
          <cell r="AS64">
            <v>1006</v>
          </cell>
          <cell r="AT64">
            <v>339</v>
          </cell>
          <cell r="AU64">
            <v>331</v>
          </cell>
          <cell r="AV64">
            <v>288</v>
          </cell>
          <cell r="AW64">
            <v>958</v>
          </cell>
          <cell r="AX64">
            <v>373</v>
          </cell>
          <cell r="AY64">
            <v>344</v>
          </cell>
          <cell r="AZ64">
            <v>333</v>
          </cell>
          <cell r="BA64">
            <v>1050</v>
          </cell>
          <cell r="BB64">
            <v>342</v>
          </cell>
          <cell r="BC64">
            <v>375</v>
          </cell>
          <cell r="BD64">
            <v>339</v>
          </cell>
          <cell r="BE64">
            <v>1056</v>
          </cell>
          <cell r="BF64">
            <v>397</v>
          </cell>
          <cell r="BG64">
            <v>348</v>
          </cell>
          <cell r="BH64">
            <v>436</v>
          </cell>
          <cell r="BI64">
            <v>1181</v>
          </cell>
        </row>
        <row r="65">
          <cell r="A65" t="str">
            <v xml:space="preserve">  % Change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0.60483870967741926</v>
          </cell>
          <cell r="AI65">
            <v>0.59090909090909083</v>
          </cell>
          <cell r="AJ65">
            <v>0.37686567164179108</v>
          </cell>
          <cell r="AK65">
            <v>0.51766304347826098</v>
          </cell>
          <cell r="AL65">
            <v>0.57786885245901631</v>
          </cell>
          <cell r="AN65">
            <v>0.55438596491228065</v>
          </cell>
          <cell r="AO65">
            <v>0.36725146198830405</v>
          </cell>
          <cell r="AP65">
            <v>0.2635135135135136</v>
          </cell>
          <cell r="AQ65">
            <v>0</v>
          </cell>
          <cell r="AR65">
            <v>-0.23058823529411765</v>
          </cell>
          <cell r="AS65">
            <v>-6.505576208178443E-2</v>
          </cell>
          <cell r="AT65">
            <v>-0.25657894736842102</v>
          </cell>
          <cell r="AU65">
            <v>-2.359882005899705E-2</v>
          </cell>
          <cell r="AV65">
            <v>-0.26342710997442453</v>
          </cell>
          <cell r="AW65">
            <v>-0.19224283305227652</v>
          </cell>
          <cell r="AX65">
            <v>-6.2814070351758788E-2</v>
          </cell>
          <cell r="AY65">
            <v>-1.7142857142857126E-2</v>
          </cell>
          <cell r="AZ65">
            <v>-9.7560975609756073E-2</v>
          </cell>
          <cell r="BA65">
            <v>-5.9982094897045646E-2</v>
          </cell>
          <cell r="BB65">
            <v>-0.11168831168831173</v>
          </cell>
          <cell r="BC65">
            <v>9.9706744868035102E-2</v>
          </cell>
          <cell r="BD65">
            <v>-0.23476297968397286</v>
          </cell>
          <cell r="BE65">
            <v>-9.6663815226689431E-2</v>
          </cell>
          <cell r="BF65">
            <v>6.149732620320858E-2</v>
          </cell>
          <cell r="BG65">
            <v>0.14098360655737707</v>
          </cell>
          <cell r="BH65">
            <v>0.33333333333333326</v>
          </cell>
          <cell r="BI65">
            <v>0.17395626242544737</v>
          </cell>
        </row>
        <row r="66">
          <cell r="A66" t="str">
            <v>Sales (IMS)</v>
          </cell>
          <cell r="N66">
            <v>0.37916</v>
          </cell>
          <cell r="O66">
            <v>0.39609499999999997</v>
          </cell>
          <cell r="P66">
            <v>0.55145900000000003</v>
          </cell>
          <cell r="Q66">
            <v>1.3267139999999999</v>
          </cell>
          <cell r="R66">
            <v>0.46931800000000001</v>
          </cell>
          <cell r="S66">
            <v>0.50517999999999996</v>
          </cell>
          <cell r="T66">
            <v>0.55591199999999996</v>
          </cell>
          <cell r="U66">
            <v>1.5304099999999998</v>
          </cell>
          <cell r="V66">
            <v>0.41245399999999999</v>
          </cell>
          <cell r="W66">
            <v>0.42974400000000001</v>
          </cell>
          <cell r="X66">
            <v>0.49768200000000001</v>
          </cell>
          <cell r="Y66">
            <v>1.33988</v>
          </cell>
          <cell r="Z66">
            <v>0.42244399999999999</v>
          </cell>
          <cell r="AA66">
            <v>0.410389</v>
          </cell>
          <cell r="AB66">
            <v>0.10272199999999999</v>
          </cell>
          <cell r="AC66">
            <v>0.93555499999999991</v>
          </cell>
          <cell r="AD66">
            <v>0.89025600000000005</v>
          </cell>
          <cell r="AE66">
            <v>0.69229399999999996</v>
          </cell>
          <cell r="AF66">
            <v>0.80125800000000003</v>
          </cell>
          <cell r="AG66">
            <v>2.3838080000000001</v>
          </cell>
          <cell r="AH66">
            <v>0.696851</v>
          </cell>
          <cell r="AI66">
            <v>0.78001200000000004</v>
          </cell>
          <cell r="AJ66">
            <v>0.14860570000000001</v>
          </cell>
          <cell r="AK66">
            <v>1.6254687000000001</v>
          </cell>
          <cell r="AL66">
            <v>0.1242172</v>
          </cell>
          <cell r="AM66">
            <v>0.90602300000000002</v>
          </cell>
          <cell r="AN66">
            <v>1.0833630000000001</v>
          </cell>
          <cell r="AO66">
            <v>2.1136032</v>
          </cell>
          <cell r="AP66">
            <v>0.68854599999999999</v>
          </cell>
          <cell r="AQ66">
            <v>0.76634800000000003</v>
          </cell>
          <cell r="AR66">
            <v>0.86451699999999998</v>
          </cell>
          <cell r="AS66">
            <v>2.3194109999999997</v>
          </cell>
          <cell r="AT66">
            <v>0.81848500000000002</v>
          </cell>
          <cell r="AU66">
            <v>0.86546100000000004</v>
          </cell>
          <cell r="AV66">
            <v>0.71256600000000003</v>
          </cell>
          <cell r="AW66">
            <v>2.3965120000000004</v>
          </cell>
          <cell r="AX66">
            <v>0.54682299999999995</v>
          </cell>
          <cell r="AY66">
            <v>0.50735699999999995</v>
          </cell>
          <cell r="AZ66">
            <v>0.71312299999999995</v>
          </cell>
          <cell r="BA66">
            <v>1.7673029999999998</v>
          </cell>
          <cell r="BB66">
            <v>0.71959099999999998</v>
          </cell>
          <cell r="BC66">
            <v>0.67220100000000005</v>
          </cell>
          <cell r="BD66">
            <v>0.98505200000000004</v>
          </cell>
          <cell r="BE66">
            <v>2.3768440000000002</v>
          </cell>
          <cell r="BF66">
            <v>1.0872790000000001</v>
          </cell>
          <cell r="BG66">
            <v>0.92753600000000003</v>
          </cell>
        </row>
        <row r="67">
          <cell r="A67" t="str">
            <v xml:space="preserve">  % Change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0.48481626530412214</v>
          </cell>
          <cell r="AI67">
            <v>0.54402787125381069</v>
          </cell>
          <cell r="AJ67">
            <v>-0.73268125170890352</v>
          </cell>
          <cell r="AK67">
            <v>6.2113224560738756E-2</v>
          </cell>
          <cell r="AL67">
            <v>-0.69883380934601191</v>
          </cell>
          <cell r="AM67">
            <v>1.1082853978182361</v>
          </cell>
          <cell r="AN67">
            <v>1.1768177269822901</v>
          </cell>
          <cell r="AO67">
            <v>0.57745708570916809</v>
          </cell>
          <cell r="AP67">
            <v>0.62991071005861143</v>
          </cell>
          <cell r="AQ67">
            <v>0.86736973944233409</v>
          </cell>
          <cell r="AR67">
            <v>7.4160841883919701</v>
          </cell>
          <cell r="AS67">
            <v>1.4791818759987385</v>
          </cell>
          <cell r="AT67">
            <v>-8.0618383925522563E-2</v>
          </cell>
          <cell r="AU67">
            <v>0.25013505822670723</v>
          </cell>
          <cell r="AV67">
            <v>-0.11069093849920997</v>
          </cell>
          <cell r="AW67">
            <v>5.3292882648268147E-3</v>
          </cell>
          <cell r="AX67">
            <v>-0.21529423076095189</v>
          </cell>
          <cell r="AY67">
            <v>-0.34955231457977576</v>
          </cell>
          <cell r="AZ67">
            <v>3.798759401557275</v>
          </cell>
          <cell r="BA67">
            <v>8.7257478412226419E-2</v>
          </cell>
          <cell r="BB67">
            <v>4.7930061215355035</v>
          </cell>
          <cell r="BC67">
            <v>-0.25807512612814465</v>
          </cell>
          <cell r="BD67">
            <v>-9.0746130336738506E-2</v>
          </cell>
          <cell r="BE67">
            <v>0.12454598857533905</v>
          </cell>
          <cell r="BF67">
            <v>0.5790942072134615</v>
          </cell>
          <cell r="BG67">
            <v>0.21033264261145068</v>
          </cell>
        </row>
        <row r="69">
          <cell r="A69" t="str">
            <v>CALCITRIOL</v>
          </cell>
        </row>
        <row r="70">
          <cell r="A70" t="str">
            <v>TRx</v>
          </cell>
          <cell r="AQ70">
            <v>2</v>
          </cell>
          <cell r="AR70">
            <v>7</v>
          </cell>
          <cell r="AS70">
            <v>9</v>
          </cell>
          <cell r="AT70">
            <v>11</v>
          </cell>
          <cell r="AU70">
            <v>0</v>
          </cell>
          <cell r="AV70">
            <v>10</v>
          </cell>
          <cell r="AW70">
            <v>21</v>
          </cell>
          <cell r="AX70">
            <v>5</v>
          </cell>
          <cell r="AY70">
            <v>26</v>
          </cell>
          <cell r="AZ70">
            <v>28</v>
          </cell>
          <cell r="BA70">
            <v>59</v>
          </cell>
          <cell r="BB70">
            <v>0</v>
          </cell>
          <cell r="BC70">
            <v>9</v>
          </cell>
          <cell r="BD70">
            <v>11</v>
          </cell>
          <cell r="BE70">
            <v>20</v>
          </cell>
          <cell r="BF70">
            <v>45</v>
          </cell>
          <cell r="BG70">
            <v>15</v>
          </cell>
          <cell r="BH70">
            <v>32</v>
          </cell>
          <cell r="BI70">
            <v>92</v>
          </cell>
        </row>
        <row r="71">
          <cell r="A71" t="str">
            <v xml:space="preserve">  % Change</v>
          </cell>
        </row>
        <row r="72">
          <cell r="A72" t="str">
            <v>NRx</v>
          </cell>
          <cell r="AQ72">
            <v>2</v>
          </cell>
          <cell r="AR72">
            <v>5</v>
          </cell>
          <cell r="AS72">
            <v>7</v>
          </cell>
          <cell r="AT72">
            <v>11</v>
          </cell>
          <cell r="AU72">
            <v>0</v>
          </cell>
          <cell r="AV72">
            <v>10</v>
          </cell>
          <cell r="AW72">
            <v>21</v>
          </cell>
          <cell r="AX72">
            <v>0</v>
          </cell>
          <cell r="AY72">
            <v>21</v>
          </cell>
          <cell r="AZ72">
            <v>0</v>
          </cell>
          <cell r="BA72">
            <v>21</v>
          </cell>
          <cell r="BB72">
            <v>0</v>
          </cell>
          <cell r="BC72">
            <v>9</v>
          </cell>
          <cell r="BD72">
            <v>11</v>
          </cell>
          <cell r="BE72">
            <v>20</v>
          </cell>
          <cell r="BF72">
            <v>27</v>
          </cell>
          <cell r="BG72">
            <v>0</v>
          </cell>
          <cell r="BH72">
            <v>15</v>
          </cell>
          <cell r="BI72">
            <v>42</v>
          </cell>
        </row>
        <row r="73">
          <cell r="A73" t="str">
            <v xml:space="preserve">  % Change</v>
          </cell>
        </row>
        <row r="74">
          <cell r="A74" t="str">
            <v>Sales (IMS)</v>
          </cell>
          <cell r="AM74">
            <v>0.282115</v>
          </cell>
          <cell r="AN74">
            <v>0.361765</v>
          </cell>
          <cell r="AO74">
            <v>0.64388000000000001</v>
          </cell>
          <cell r="AP74">
            <v>0.50377899999999998</v>
          </cell>
          <cell r="AQ74">
            <v>0.75978199999999996</v>
          </cell>
          <cell r="AR74">
            <v>0.89497400000000005</v>
          </cell>
          <cell r="AS74">
            <v>2.1585350000000001</v>
          </cell>
          <cell r="AT74">
            <v>0.89497400000000005</v>
          </cell>
          <cell r="AU74">
            <v>0.79200800000000005</v>
          </cell>
          <cell r="AV74">
            <v>0.80120400000000003</v>
          </cell>
          <cell r="AW74">
            <v>2.4881859999999998</v>
          </cell>
          <cell r="AX74">
            <v>0.81060500000000002</v>
          </cell>
          <cell r="AY74">
            <v>0.77269299999999996</v>
          </cell>
          <cell r="AZ74">
            <v>1.0034209999999999</v>
          </cell>
          <cell r="BA74">
            <v>2.586719</v>
          </cell>
          <cell r="BB74">
            <v>0.80812399999999995</v>
          </cell>
          <cell r="BC74">
            <v>0.69155900000000003</v>
          </cell>
          <cell r="BD74">
            <v>0.89756400000000003</v>
          </cell>
          <cell r="BE74">
            <v>2.3972470000000001</v>
          </cell>
          <cell r="BF74">
            <v>0.74148999999999998</v>
          </cell>
          <cell r="BG74">
            <v>0.71740099999999996</v>
          </cell>
        </row>
        <row r="76">
          <cell r="A76" t="str">
            <v>Product</v>
          </cell>
          <cell r="B76">
            <v>36892</v>
          </cell>
          <cell r="C76">
            <v>36923</v>
          </cell>
          <cell r="D76">
            <v>36951</v>
          </cell>
          <cell r="E76" t="str">
            <v>Q1:01</v>
          </cell>
          <cell r="F76">
            <v>36982</v>
          </cell>
          <cell r="G76">
            <v>37012</v>
          </cell>
          <cell r="H76">
            <v>37043</v>
          </cell>
          <cell r="I76" t="str">
            <v>Q2:01</v>
          </cell>
          <cell r="J76">
            <v>37073</v>
          </cell>
          <cell r="K76">
            <v>37104</v>
          </cell>
          <cell r="L76">
            <v>37135</v>
          </cell>
          <cell r="M76" t="str">
            <v>Q3:01</v>
          </cell>
          <cell r="N76">
            <v>37165</v>
          </cell>
          <cell r="O76">
            <v>37196</v>
          </cell>
          <cell r="P76">
            <v>37226</v>
          </cell>
          <cell r="Q76" t="str">
            <v>Q4:01</v>
          </cell>
          <cell r="R76">
            <v>37257</v>
          </cell>
          <cell r="S76">
            <v>37288</v>
          </cell>
          <cell r="T76">
            <v>37316</v>
          </cell>
          <cell r="U76" t="str">
            <v>Q1:02</v>
          </cell>
          <cell r="V76">
            <v>37347</v>
          </cell>
          <cell r="W76">
            <v>37377</v>
          </cell>
          <cell r="X76">
            <v>37408</v>
          </cell>
          <cell r="Y76" t="str">
            <v>Q2:02</v>
          </cell>
          <cell r="Z76">
            <v>37438</v>
          </cell>
          <cell r="AA76">
            <v>37469</v>
          </cell>
          <cell r="AB76">
            <v>37500</v>
          </cell>
          <cell r="AC76" t="str">
            <v>Q3:02</v>
          </cell>
          <cell r="AD76">
            <v>37530</v>
          </cell>
          <cell r="AE76">
            <v>37561</v>
          </cell>
          <cell r="AF76">
            <v>37591</v>
          </cell>
          <cell r="AG76" t="str">
            <v>Q4:02</v>
          </cell>
          <cell r="AH76">
            <v>37622</v>
          </cell>
          <cell r="AI76">
            <v>37653</v>
          </cell>
          <cell r="AJ76">
            <v>37681</v>
          </cell>
          <cell r="AK76" t="str">
            <v>Q1:03</v>
          </cell>
          <cell r="AL76" t="str">
            <v>Apr-03</v>
          </cell>
          <cell r="AM76">
            <v>37744</v>
          </cell>
          <cell r="AN76">
            <v>37775</v>
          </cell>
          <cell r="AO76" t="str">
            <v>Q2:03</v>
          </cell>
          <cell r="AP76">
            <v>37805</v>
          </cell>
          <cell r="AQ76">
            <v>37836</v>
          </cell>
          <cell r="AR76">
            <v>37867</v>
          </cell>
          <cell r="AS76" t="str">
            <v>Q3:03</v>
          </cell>
          <cell r="AT76">
            <v>37897</v>
          </cell>
          <cell r="AU76">
            <v>37928</v>
          </cell>
          <cell r="AV76">
            <v>37958</v>
          </cell>
          <cell r="AW76" t="str">
            <v>Q4:03</v>
          </cell>
          <cell r="AX76">
            <v>37987</v>
          </cell>
          <cell r="AY76">
            <v>38018</v>
          </cell>
          <cell r="AZ76">
            <v>38047</v>
          </cell>
          <cell r="BA76" t="str">
            <v>Q1:04</v>
          </cell>
          <cell r="BB76">
            <v>38078</v>
          </cell>
          <cell r="BC76">
            <v>38108</v>
          </cell>
          <cell r="BD76">
            <v>38139</v>
          </cell>
          <cell r="BE76" t="str">
            <v>Q2:04</v>
          </cell>
          <cell r="BF76">
            <v>38169</v>
          </cell>
          <cell r="BG76">
            <v>38200</v>
          </cell>
          <cell r="BH76">
            <v>38231</v>
          </cell>
          <cell r="BI76" t="str">
            <v>Q3:04E</v>
          </cell>
        </row>
        <row r="77">
          <cell r="A77" t="str">
            <v>DEXAMETHASONE</v>
          </cell>
        </row>
        <row r="78">
          <cell r="A78" t="str">
            <v>TRx</v>
          </cell>
          <cell r="O78">
            <v>1925</v>
          </cell>
          <cell r="P78">
            <v>2234</v>
          </cell>
          <cell r="Q78">
            <v>4159</v>
          </cell>
          <cell r="R78">
            <v>2595</v>
          </cell>
          <cell r="S78">
            <v>2519</v>
          </cell>
          <cell r="T78">
            <v>2712</v>
          </cell>
          <cell r="U78">
            <v>7826</v>
          </cell>
          <cell r="V78">
            <v>3010</v>
          </cell>
          <cell r="W78">
            <v>3006</v>
          </cell>
          <cell r="X78">
            <v>2512</v>
          </cell>
          <cell r="Y78">
            <v>8528</v>
          </cell>
          <cell r="Z78">
            <v>2960</v>
          </cell>
          <cell r="AA78">
            <v>3082</v>
          </cell>
          <cell r="AB78">
            <v>2985</v>
          </cell>
          <cell r="AC78">
            <v>9027</v>
          </cell>
          <cell r="AD78">
            <v>3499</v>
          </cell>
          <cell r="AE78">
            <v>2746</v>
          </cell>
          <cell r="AF78">
            <v>2761</v>
          </cell>
          <cell r="AG78">
            <v>9006</v>
          </cell>
          <cell r="AH78">
            <v>3429</v>
          </cell>
          <cell r="AI78">
            <v>3124</v>
          </cell>
          <cell r="AJ78">
            <v>3288</v>
          </cell>
          <cell r="AK78">
            <v>9841</v>
          </cell>
          <cell r="AL78">
            <v>3157</v>
          </cell>
          <cell r="AM78">
            <v>3543</v>
          </cell>
          <cell r="AN78">
            <v>3476</v>
          </cell>
          <cell r="AO78">
            <v>10176</v>
          </cell>
          <cell r="AP78">
            <v>3681</v>
          </cell>
          <cell r="AQ78">
            <v>3506</v>
          </cell>
          <cell r="AR78">
            <v>3675</v>
          </cell>
          <cell r="AS78">
            <v>10862</v>
          </cell>
          <cell r="AT78">
            <v>3968</v>
          </cell>
          <cell r="AU78">
            <v>3523</v>
          </cell>
          <cell r="AV78">
            <v>3387</v>
          </cell>
          <cell r="AW78">
            <v>10878</v>
          </cell>
          <cell r="AX78">
            <v>3798</v>
          </cell>
          <cell r="AY78">
            <v>3689</v>
          </cell>
          <cell r="AZ78">
            <v>4443</v>
          </cell>
          <cell r="BA78">
            <v>11930</v>
          </cell>
          <cell r="BB78">
            <v>4139</v>
          </cell>
          <cell r="BC78">
            <v>3951</v>
          </cell>
          <cell r="BD78">
            <v>3889</v>
          </cell>
          <cell r="BE78">
            <v>11979</v>
          </cell>
          <cell r="BF78">
            <v>3805</v>
          </cell>
          <cell r="BG78">
            <v>4204</v>
          </cell>
          <cell r="BH78">
            <v>4112</v>
          </cell>
          <cell r="BI78">
            <v>12121</v>
          </cell>
        </row>
        <row r="79">
          <cell r="A79" t="str">
            <v xml:space="preserve">  % Change</v>
          </cell>
          <cell r="AE79">
            <v>0.42649350649350648</v>
          </cell>
          <cell r="AF79">
            <v>0.23589973142345566</v>
          </cell>
          <cell r="AG79">
            <v>1.165424380860784</v>
          </cell>
          <cell r="AH79">
            <v>0.32138728323699417</v>
          </cell>
          <cell r="AI79">
            <v>0.24017467248908297</v>
          </cell>
          <cell r="AJ79">
            <v>0.21238938053097356</v>
          </cell>
          <cell r="AK79">
            <v>0.25747508305647848</v>
          </cell>
          <cell r="AL79">
            <v>4.8837209302325491E-2</v>
          </cell>
          <cell r="AM79">
            <v>0.17864271457085823</v>
          </cell>
          <cell r="AN79">
            <v>0.38375796178343946</v>
          </cell>
          <cell r="AO79">
            <v>0.19324577861163217</v>
          </cell>
          <cell r="AP79">
            <v>0.24358108108108101</v>
          </cell>
          <cell r="AQ79">
            <v>0.13757300454250476</v>
          </cell>
          <cell r="AR79">
            <v>0.23115577889447225</v>
          </cell>
          <cell r="AS79">
            <v>0.20327905173368777</v>
          </cell>
          <cell r="AT79">
            <v>0.13403829665618749</v>
          </cell>
          <cell r="AU79">
            <v>0.28295702840495274</v>
          </cell>
          <cell r="AV79">
            <v>0.22672944585295185</v>
          </cell>
          <cell r="AW79">
            <v>0.20786142571618926</v>
          </cell>
          <cell r="AX79">
            <v>0.1076115485564304</v>
          </cell>
          <cell r="AY79">
            <v>0.18085787451984636</v>
          </cell>
          <cell r="AZ79">
            <v>0.35127737226277378</v>
          </cell>
          <cell r="BA79">
            <v>0.21227517528706441</v>
          </cell>
          <cell r="BB79">
            <v>0.31105479885967702</v>
          </cell>
          <cell r="BC79">
            <v>0.11515664690939875</v>
          </cell>
          <cell r="BD79">
            <v>0.11881472957422323</v>
          </cell>
          <cell r="BE79">
            <v>0.17718160377358494</v>
          </cell>
          <cell r="BF79">
            <v>3.3686498234175577E-2</v>
          </cell>
          <cell r="BG79">
            <v>0.19908727895037082</v>
          </cell>
          <cell r="BH79">
            <v>0.11891156462585029</v>
          </cell>
          <cell r="BI79">
            <v>0.11590867243601544</v>
          </cell>
        </row>
        <row r="80">
          <cell r="A80" t="str">
            <v>NRx</v>
          </cell>
          <cell r="O80">
            <v>1704</v>
          </cell>
          <cell r="P80">
            <v>1973</v>
          </cell>
          <cell r="Q80">
            <v>3677</v>
          </cell>
          <cell r="R80">
            <v>2294</v>
          </cell>
          <cell r="S80">
            <v>2285</v>
          </cell>
          <cell r="T80">
            <v>2472</v>
          </cell>
          <cell r="U80">
            <v>7051</v>
          </cell>
          <cell r="V80">
            <v>2720</v>
          </cell>
          <cell r="W80">
            <v>2702</v>
          </cell>
          <cell r="X80">
            <v>2237</v>
          </cell>
          <cell r="Y80">
            <v>7659</v>
          </cell>
          <cell r="Z80">
            <v>2741</v>
          </cell>
          <cell r="AA80">
            <v>2814</v>
          </cell>
          <cell r="AB80">
            <v>2731</v>
          </cell>
          <cell r="AC80">
            <v>8286</v>
          </cell>
          <cell r="AD80">
            <v>3238</v>
          </cell>
          <cell r="AE80">
            <v>2510</v>
          </cell>
          <cell r="AF80">
            <v>2448</v>
          </cell>
          <cell r="AG80">
            <v>8196</v>
          </cell>
          <cell r="AH80">
            <v>3107</v>
          </cell>
          <cell r="AI80">
            <v>2814</v>
          </cell>
          <cell r="AJ80">
            <v>2988</v>
          </cell>
          <cell r="AK80">
            <v>8909</v>
          </cell>
          <cell r="AL80">
            <v>2924</v>
          </cell>
          <cell r="AM80">
            <v>3289</v>
          </cell>
          <cell r="AN80">
            <v>3184</v>
          </cell>
          <cell r="AO80">
            <v>9397</v>
          </cell>
          <cell r="AP80">
            <v>3317</v>
          </cell>
          <cell r="AQ80">
            <v>3211</v>
          </cell>
          <cell r="AR80">
            <v>3281</v>
          </cell>
          <cell r="AS80">
            <v>9809</v>
          </cell>
          <cell r="AT80">
            <v>3645</v>
          </cell>
          <cell r="AU80">
            <v>3215</v>
          </cell>
          <cell r="AV80">
            <v>3075</v>
          </cell>
          <cell r="AW80">
            <v>9935</v>
          </cell>
          <cell r="AX80">
            <v>3481</v>
          </cell>
          <cell r="AY80">
            <v>3367</v>
          </cell>
          <cell r="AZ80">
            <v>4059</v>
          </cell>
          <cell r="BA80">
            <v>10907</v>
          </cell>
          <cell r="BB80">
            <v>3781</v>
          </cell>
          <cell r="BC80">
            <v>3616</v>
          </cell>
          <cell r="BD80">
            <v>3496</v>
          </cell>
          <cell r="BE80">
            <v>10893</v>
          </cell>
          <cell r="BF80">
            <v>3466</v>
          </cell>
          <cell r="BG80">
            <v>3844</v>
          </cell>
          <cell r="BH80">
            <v>3752</v>
          </cell>
          <cell r="BI80">
            <v>11062</v>
          </cell>
        </row>
        <row r="81">
          <cell r="A81" t="str">
            <v xml:space="preserve">  % Change</v>
          </cell>
          <cell r="AE81">
            <v>0.47300469483568075</v>
          </cell>
          <cell r="AF81">
            <v>0.24075012671059293</v>
          </cell>
          <cell r="AG81">
            <v>1.2289910252923577</v>
          </cell>
          <cell r="AH81">
            <v>0.35440278988666085</v>
          </cell>
          <cell r="AI81">
            <v>0.23150984682713349</v>
          </cell>
          <cell r="AJ81">
            <v>0.20873786407766981</v>
          </cell>
          <cell r="AK81">
            <v>0.26350872216706844</v>
          </cell>
          <cell r="AL81">
            <v>7.4999999999999997E-2</v>
          </cell>
          <cell r="AM81">
            <v>0.21724648408586233</v>
          </cell>
          <cell r="AN81">
            <v>0.4233348234242289</v>
          </cell>
          <cell r="AO81">
            <v>0.22692257474866162</v>
          </cell>
          <cell r="AP81">
            <v>0.21014228383801536</v>
          </cell>
          <cell r="AQ81">
            <v>0.14108031272210386</v>
          </cell>
          <cell r="AR81">
            <v>0.20139143170999629</v>
          </cell>
          <cell r="AS81">
            <v>0.18380400675838771</v>
          </cell>
          <cell r="AT81">
            <v>0.12569487337862872</v>
          </cell>
          <cell r="AU81">
            <v>0.28087649402390436</v>
          </cell>
          <cell r="AV81">
            <v>0.25612745098039214</v>
          </cell>
          <cell r="AW81">
            <v>0.21217667154709607</v>
          </cell>
          <cell r="AX81">
            <v>0.12037335049887354</v>
          </cell>
          <cell r="AY81">
            <v>0.19651741293532332</v>
          </cell>
          <cell r="AZ81">
            <v>0.35843373493975905</v>
          </cell>
          <cell r="BA81">
            <v>0.2242675945672914</v>
          </cell>
          <cell r="BB81">
            <v>0.29309165526675796</v>
          </cell>
          <cell r="BC81">
            <v>9.9422316813621237E-2</v>
          </cell>
          <cell r="BD81">
            <v>9.7989949748743754E-2</v>
          </cell>
          <cell r="BE81">
            <v>0.15919974459934028</v>
          </cell>
          <cell r="BF81">
            <v>4.4920108531805836E-2</v>
          </cell>
          <cell r="BG81">
            <v>0.19713484895671129</v>
          </cell>
          <cell r="BH81">
            <v>0.14355379457482464</v>
          </cell>
          <cell r="BI81">
            <v>0.12773983076766227</v>
          </cell>
        </row>
        <row r="82">
          <cell r="A82" t="str">
            <v>Sales (IMS)</v>
          </cell>
          <cell r="N82">
            <v>0.16317100000000001</v>
          </cell>
          <cell r="O82">
            <v>0.27528399999999997</v>
          </cell>
          <cell r="P82">
            <v>0.54417599999999999</v>
          </cell>
          <cell r="Q82">
            <v>0.98263100000000003</v>
          </cell>
          <cell r="R82">
            <v>0.67137199999999997</v>
          </cell>
          <cell r="S82">
            <v>0.26453500000000002</v>
          </cell>
          <cell r="T82">
            <v>0.47981000000000001</v>
          </cell>
          <cell r="U82">
            <v>1.4157170000000001</v>
          </cell>
          <cell r="V82">
            <v>0.31376500000000002</v>
          </cell>
          <cell r="W82">
            <v>0.29660300000000001</v>
          </cell>
          <cell r="X82">
            <v>0.345223</v>
          </cell>
          <cell r="Y82">
            <v>0.95559100000000008</v>
          </cell>
          <cell r="Z82">
            <v>0.28647400000000001</v>
          </cell>
          <cell r="AA82">
            <v>0.27910099999999999</v>
          </cell>
          <cell r="AB82">
            <v>0.314946</v>
          </cell>
          <cell r="AC82">
            <v>0.88052099999999989</v>
          </cell>
          <cell r="AD82">
            <v>0.37737100000000001</v>
          </cell>
          <cell r="AE82">
            <v>0.319882</v>
          </cell>
          <cell r="AF82">
            <v>0.58529100000000001</v>
          </cell>
          <cell r="AG82">
            <v>1.2825440000000001</v>
          </cell>
          <cell r="AH82">
            <v>0.62586200000000003</v>
          </cell>
          <cell r="AI82">
            <v>0.37112899999999999</v>
          </cell>
          <cell r="AJ82">
            <v>0.79220299999999999</v>
          </cell>
          <cell r="AK82">
            <v>1.789194</v>
          </cell>
          <cell r="AL82">
            <v>0.47358800000000001</v>
          </cell>
          <cell r="AM82">
            <v>0.471862</v>
          </cell>
          <cell r="AN82">
            <v>0.70701099999999995</v>
          </cell>
          <cell r="AO82">
            <v>1.652461</v>
          </cell>
          <cell r="AP82">
            <v>0.63905699999999999</v>
          </cell>
          <cell r="AQ82">
            <v>0.69893899999999998</v>
          </cell>
          <cell r="AR82">
            <v>0.84454399999999996</v>
          </cell>
          <cell r="AS82">
            <v>2.1825399999999999</v>
          </cell>
          <cell r="AT82">
            <v>0.74111400000000005</v>
          </cell>
          <cell r="AU82">
            <v>0.74130700000000005</v>
          </cell>
          <cell r="AV82">
            <v>1.0243180000000001</v>
          </cell>
          <cell r="AW82">
            <v>2.5067390000000001</v>
          </cell>
          <cell r="AX82">
            <v>0.73680699999999999</v>
          </cell>
          <cell r="AY82">
            <v>0.72312699999999996</v>
          </cell>
          <cell r="AZ82">
            <v>0.96787100000000004</v>
          </cell>
          <cell r="BA82">
            <v>2.4278050000000002</v>
          </cell>
          <cell r="BB82">
            <v>0.73849900000000002</v>
          </cell>
          <cell r="BC82">
            <v>0.744278</v>
          </cell>
          <cell r="BD82">
            <v>0.93110199999999999</v>
          </cell>
          <cell r="BE82">
            <v>2.4138790000000001</v>
          </cell>
          <cell r="BF82">
            <v>0.73276699999999995</v>
          </cell>
          <cell r="BG82">
            <v>0.73842399999999997</v>
          </cell>
        </row>
        <row r="83">
          <cell r="A83" t="str">
            <v xml:space="preserve">  % Change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-6.7786562442282317E-2</v>
          </cell>
          <cell r="AI83">
            <v>0.40294857013249641</v>
          </cell>
          <cell r="AJ83">
            <v>0.65107646776849171</v>
          </cell>
          <cell r="AK83">
            <v>0.26380766777540976</v>
          </cell>
          <cell r="AL83">
            <v>0.50937166350612717</v>
          </cell>
          <cell r="AM83">
            <v>0.59088748259457935</v>
          </cell>
          <cell r="AN83">
            <v>1.0479834773465266</v>
          </cell>
          <cell r="AO83">
            <v>0.72925550784802273</v>
          </cell>
          <cell r="AP83">
            <v>1.2307678881853152</v>
          </cell>
          <cell r="AQ83">
            <v>1.5042511492255493</v>
          </cell>
          <cell r="AR83">
            <v>1.6815517580791628</v>
          </cell>
          <cell r="AS83">
            <v>1.4786915928183428</v>
          </cell>
          <cell r="AT83">
            <v>0.96388699714604464</v>
          </cell>
          <cell r="AU83">
            <v>1.3174389306056611</v>
          </cell>
          <cell r="AV83">
            <v>0.75010037741909596</v>
          </cell>
          <cell r="AW83">
            <v>0.95450526453673312</v>
          </cell>
          <cell r="AX83">
            <v>0.17726751264655771</v>
          </cell>
          <cell r="AY83">
            <v>0.94845188600190222</v>
          </cell>
          <cell r="AZ83">
            <v>0.22174619384173</v>
          </cell>
          <cell r="BA83">
            <v>0.3569266384752019</v>
          </cell>
          <cell r="BB83">
            <v>0.55937016985227661</v>
          </cell>
          <cell r="BC83">
            <v>0.57732133547520248</v>
          </cell>
          <cell r="BD83">
            <v>0.31695546462502011</v>
          </cell>
          <cell r="BE83">
            <v>0.46077819688331534</v>
          </cell>
          <cell r="BF83">
            <v>0.14663793683505544</v>
          </cell>
          <cell r="BG83">
            <v>5.6492769755300598E-2</v>
          </cell>
        </row>
        <row r="85">
          <cell r="A85" t="str">
            <v>PROTAMINE SULF</v>
          </cell>
        </row>
        <row r="86">
          <cell r="A86" t="str">
            <v>TRx</v>
          </cell>
          <cell r="N86">
            <v>15</v>
          </cell>
          <cell r="O86">
            <v>15</v>
          </cell>
          <cell r="P86">
            <v>5</v>
          </cell>
          <cell r="Q86">
            <v>35</v>
          </cell>
          <cell r="R86">
            <v>3</v>
          </cell>
          <cell r="S86">
            <v>9</v>
          </cell>
          <cell r="T86">
            <v>12</v>
          </cell>
          <cell r="U86">
            <v>24</v>
          </cell>
          <cell r="V86">
            <v>8</v>
          </cell>
          <cell r="W86">
            <v>3</v>
          </cell>
          <cell r="X86">
            <v>16</v>
          </cell>
          <cell r="Y86">
            <v>27</v>
          </cell>
          <cell r="Z86">
            <v>9</v>
          </cell>
          <cell r="AA86">
            <v>13</v>
          </cell>
          <cell r="AB86">
            <v>2</v>
          </cell>
          <cell r="AC86">
            <v>24</v>
          </cell>
          <cell r="AD86">
            <v>8</v>
          </cell>
          <cell r="AE86">
            <v>5</v>
          </cell>
          <cell r="AF86">
            <v>10</v>
          </cell>
          <cell r="AG86">
            <v>23</v>
          </cell>
          <cell r="AH86">
            <v>2</v>
          </cell>
          <cell r="AI86">
            <v>14</v>
          </cell>
          <cell r="AJ86">
            <v>5</v>
          </cell>
          <cell r="AK86">
            <v>21</v>
          </cell>
          <cell r="AL86">
            <v>0</v>
          </cell>
          <cell r="AM86">
            <v>13</v>
          </cell>
          <cell r="AN86">
            <v>7</v>
          </cell>
          <cell r="AO86">
            <v>20</v>
          </cell>
          <cell r="AP86">
            <v>0</v>
          </cell>
          <cell r="AQ86">
            <v>2</v>
          </cell>
          <cell r="AR86">
            <v>2</v>
          </cell>
          <cell r="AS86">
            <v>4</v>
          </cell>
          <cell r="AT86">
            <v>9</v>
          </cell>
          <cell r="AU86">
            <v>0</v>
          </cell>
          <cell r="AV86">
            <v>4</v>
          </cell>
          <cell r="AW86">
            <v>13</v>
          </cell>
          <cell r="AX86">
            <v>5</v>
          </cell>
          <cell r="AY86">
            <v>9</v>
          </cell>
          <cell r="AZ86">
            <v>5</v>
          </cell>
          <cell r="BA86">
            <v>19</v>
          </cell>
          <cell r="BB86">
            <v>5</v>
          </cell>
          <cell r="BC86">
            <v>6</v>
          </cell>
          <cell r="BD86">
            <v>9</v>
          </cell>
          <cell r="BE86">
            <v>20</v>
          </cell>
          <cell r="BF86">
            <v>7</v>
          </cell>
          <cell r="BG86">
            <v>0</v>
          </cell>
          <cell r="BH86">
            <v>4</v>
          </cell>
          <cell r="BI86">
            <v>11</v>
          </cell>
        </row>
        <row r="87">
          <cell r="A87" t="str">
            <v xml:space="preserve">  % Change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-0.33333333333333337</v>
          </cell>
          <cell r="AI87">
            <v>0.55555555555555558</v>
          </cell>
          <cell r="AJ87">
            <v>-0.58333333333333326</v>
          </cell>
          <cell r="AK87">
            <v>-0.125</v>
          </cell>
          <cell r="AL87">
            <v>0</v>
          </cell>
          <cell r="AM87">
            <v>3.333333333333333</v>
          </cell>
          <cell r="AN87">
            <v>-0.5625</v>
          </cell>
          <cell r="AO87">
            <v>-0.2592592592592593</v>
          </cell>
          <cell r="AP87">
            <v>0</v>
          </cell>
          <cell r="AQ87">
            <v>-0.84615384615384615</v>
          </cell>
          <cell r="AR87">
            <v>0</v>
          </cell>
          <cell r="AS87">
            <v>-0.83333333333333337</v>
          </cell>
          <cell r="AT87">
            <v>0.125</v>
          </cell>
          <cell r="AU87">
            <v>-1</v>
          </cell>
          <cell r="AV87">
            <v>-0.6</v>
          </cell>
          <cell r="AW87">
            <v>-0.43478260869565222</v>
          </cell>
          <cell r="AX87">
            <v>1.5</v>
          </cell>
          <cell r="AY87">
            <v>-0.3571428571428571</v>
          </cell>
          <cell r="AZ87">
            <v>0</v>
          </cell>
          <cell r="BA87">
            <v>-9.5238095238095233E-2</v>
          </cell>
          <cell r="BB87">
            <v>0</v>
          </cell>
          <cell r="BC87">
            <v>-0.53846153846153844</v>
          </cell>
          <cell r="BD87">
            <v>0.28571428571428581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1.75</v>
          </cell>
        </row>
        <row r="88">
          <cell r="A88" t="str">
            <v>NRx</v>
          </cell>
          <cell r="N88">
            <v>10</v>
          </cell>
          <cell r="O88">
            <v>5</v>
          </cell>
          <cell r="P88">
            <v>0</v>
          </cell>
          <cell r="Q88">
            <v>15</v>
          </cell>
          <cell r="R88">
            <v>0</v>
          </cell>
          <cell r="S88">
            <v>6</v>
          </cell>
          <cell r="T88">
            <v>4</v>
          </cell>
          <cell r="U88">
            <v>10</v>
          </cell>
          <cell r="V88">
            <v>5</v>
          </cell>
          <cell r="W88">
            <v>0</v>
          </cell>
          <cell r="X88">
            <v>13</v>
          </cell>
          <cell r="Y88">
            <v>18</v>
          </cell>
          <cell r="Z88">
            <v>6</v>
          </cell>
          <cell r="AA88">
            <v>13</v>
          </cell>
          <cell r="AB88">
            <v>2</v>
          </cell>
          <cell r="AC88">
            <v>21</v>
          </cell>
          <cell r="AD88">
            <v>2</v>
          </cell>
          <cell r="AE88">
            <v>0</v>
          </cell>
          <cell r="AF88">
            <v>7</v>
          </cell>
          <cell r="AG88">
            <v>9</v>
          </cell>
          <cell r="AH88">
            <v>0</v>
          </cell>
          <cell r="AI88">
            <v>7</v>
          </cell>
          <cell r="AJ88">
            <v>0</v>
          </cell>
          <cell r="AK88">
            <v>7</v>
          </cell>
          <cell r="AL88">
            <v>0</v>
          </cell>
          <cell r="AM88">
            <v>9</v>
          </cell>
          <cell r="AN88">
            <v>3</v>
          </cell>
          <cell r="AO88">
            <v>12</v>
          </cell>
          <cell r="AP88">
            <v>0</v>
          </cell>
          <cell r="AQ88">
            <v>2</v>
          </cell>
          <cell r="AR88">
            <v>2</v>
          </cell>
          <cell r="AS88">
            <v>4</v>
          </cell>
          <cell r="AT88">
            <v>9</v>
          </cell>
          <cell r="AU88">
            <v>0</v>
          </cell>
          <cell r="AV88">
            <v>4</v>
          </cell>
          <cell r="AW88">
            <v>13</v>
          </cell>
          <cell r="AX88">
            <v>0</v>
          </cell>
          <cell r="AY88">
            <v>2</v>
          </cell>
          <cell r="AZ88">
            <v>3</v>
          </cell>
          <cell r="BA88">
            <v>5</v>
          </cell>
          <cell r="BB88">
            <v>5</v>
          </cell>
          <cell r="BC88">
            <v>0</v>
          </cell>
          <cell r="BD88">
            <v>2</v>
          </cell>
          <cell r="BE88">
            <v>7</v>
          </cell>
          <cell r="BF88">
            <v>2</v>
          </cell>
          <cell r="BG88">
            <v>0</v>
          </cell>
          <cell r="BH88">
            <v>4</v>
          </cell>
          <cell r="BI88">
            <v>6</v>
          </cell>
        </row>
        <row r="89">
          <cell r="A89" t="str">
            <v xml:space="preserve">  % Change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0.16666666666666674</v>
          </cell>
          <cell r="AJ89">
            <v>0</v>
          </cell>
          <cell r="AK89">
            <v>-0.3</v>
          </cell>
          <cell r="AL89">
            <v>0</v>
          </cell>
          <cell r="AM89">
            <v>0</v>
          </cell>
          <cell r="AN89">
            <v>-0.76923076923076916</v>
          </cell>
          <cell r="AO89">
            <v>-0.33333333333333337</v>
          </cell>
          <cell r="AP89">
            <v>0</v>
          </cell>
          <cell r="AQ89">
            <v>-0.84615384615384615</v>
          </cell>
          <cell r="AR89">
            <v>0</v>
          </cell>
          <cell r="AS89">
            <v>-0.80952380952380953</v>
          </cell>
          <cell r="AT89">
            <v>3.5</v>
          </cell>
          <cell r="AU89">
            <v>0</v>
          </cell>
          <cell r="AV89">
            <v>-0.4285714285714286</v>
          </cell>
          <cell r="AW89">
            <v>0.44444444444444442</v>
          </cell>
          <cell r="AX89">
            <v>0</v>
          </cell>
          <cell r="AY89">
            <v>-0.7142857142857143</v>
          </cell>
          <cell r="AZ89">
            <v>0</v>
          </cell>
          <cell r="BA89">
            <v>-0.2857142857142857</v>
          </cell>
          <cell r="BB89">
            <v>0</v>
          </cell>
          <cell r="BC89">
            <v>0</v>
          </cell>
          <cell r="BD89">
            <v>-0.33333333333333337</v>
          </cell>
          <cell r="BE89">
            <v>-0.41666666666666663</v>
          </cell>
          <cell r="BF89">
            <v>0</v>
          </cell>
          <cell r="BG89">
            <v>0</v>
          </cell>
          <cell r="BH89">
            <v>0</v>
          </cell>
          <cell r="BI89">
            <v>0.5</v>
          </cell>
        </row>
        <row r="90">
          <cell r="A90" t="str">
            <v>Sales (IMS)</v>
          </cell>
          <cell r="N90">
            <v>0.22945599999999999</v>
          </cell>
          <cell r="O90">
            <v>0.27719300000000002</v>
          </cell>
          <cell r="P90">
            <v>0.25687500000000002</v>
          </cell>
          <cell r="Q90">
            <v>0.76352400000000009</v>
          </cell>
          <cell r="R90">
            <v>0.24529200000000001</v>
          </cell>
          <cell r="S90">
            <v>0.25244</v>
          </cell>
          <cell r="T90">
            <v>0.336615</v>
          </cell>
          <cell r="U90">
            <v>0.83434699999999995</v>
          </cell>
          <cell r="V90">
            <v>0.28155000000000002</v>
          </cell>
          <cell r="W90">
            <v>0.26414399999999999</v>
          </cell>
          <cell r="X90">
            <v>0.29762</v>
          </cell>
          <cell r="Y90">
            <v>0.84331400000000001</v>
          </cell>
          <cell r="Z90">
            <v>0.30022399999999999</v>
          </cell>
          <cell r="AA90">
            <v>0.33164700000000003</v>
          </cell>
          <cell r="AB90">
            <v>0.29408400000000001</v>
          </cell>
          <cell r="AC90">
            <v>0.92595500000000008</v>
          </cell>
          <cell r="AD90">
            <v>0.25903300000000001</v>
          </cell>
          <cell r="AE90">
            <v>0.26785300000000001</v>
          </cell>
          <cell r="AF90">
            <v>0.52332800000000002</v>
          </cell>
          <cell r="AG90">
            <v>1.050214</v>
          </cell>
          <cell r="AH90">
            <v>0.66126799999999997</v>
          </cell>
          <cell r="AI90">
            <v>0.66836399999999996</v>
          </cell>
          <cell r="AJ90">
            <v>8.7733000000000005E-2</v>
          </cell>
          <cell r="AK90">
            <v>1.417365</v>
          </cell>
          <cell r="AL90">
            <v>0.682392</v>
          </cell>
          <cell r="AM90">
            <v>0.70182299999999997</v>
          </cell>
          <cell r="AN90">
            <v>0.93427400000000005</v>
          </cell>
          <cell r="AO90">
            <v>2.318489</v>
          </cell>
          <cell r="AP90">
            <v>0.68251899999999999</v>
          </cell>
          <cell r="AQ90">
            <v>0.69471400000000005</v>
          </cell>
          <cell r="AR90">
            <v>0.85394300000000001</v>
          </cell>
          <cell r="AS90">
            <v>2.231176</v>
          </cell>
          <cell r="AT90">
            <v>0.69923900000000005</v>
          </cell>
          <cell r="AU90">
            <v>0.70106299999999999</v>
          </cell>
          <cell r="AV90">
            <v>0.80121600000000004</v>
          </cell>
          <cell r="AW90">
            <v>2.2015180000000001</v>
          </cell>
          <cell r="AX90">
            <v>0.73035700000000003</v>
          </cell>
          <cell r="AY90">
            <v>0.80893300000000001</v>
          </cell>
          <cell r="AZ90">
            <v>0.97465100000000005</v>
          </cell>
          <cell r="BA90">
            <v>2.513941</v>
          </cell>
          <cell r="BB90">
            <v>0.79877299999999996</v>
          </cell>
          <cell r="BC90">
            <v>0.85020300000000004</v>
          </cell>
          <cell r="BD90">
            <v>0.97204400000000002</v>
          </cell>
          <cell r="BE90">
            <v>2.6210200000000001</v>
          </cell>
          <cell r="BF90">
            <v>0.72547300000000003</v>
          </cell>
          <cell r="BG90">
            <v>0.69364000000000003</v>
          </cell>
        </row>
        <row r="91">
          <cell r="A91" t="str">
            <v xml:space="preserve">  % Change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1.6958400600101102</v>
          </cell>
          <cell r="AI91">
            <v>1.6476152749168116</v>
          </cell>
          <cell r="AJ91">
            <v>-0.73936693254905461</v>
          </cell>
          <cell r="AK91">
            <v>0.698771614208477</v>
          </cell>
          <cell r="AL91">
            <v>1.4236973894512519</v>
          </cell>
          <cell r="AM91">
            <v>1.6569711975286205</v>
          </cell>
          <cell r="AN91">
            <v>2.1391505947180973</v>
          </cell>
          <cell r="AO91">
            <v>1.7492594691894121</v>
          </cell>
          <cell r="AP91">
            <v>1.2733658868045192</v>
          </cell>
          <cell r="AQ91">
            <v>1.0947392860481173</v>
          </cell>
          <cell r="AR91">
            <v>1.9037383876715497</v>
          </cell>
          <cell r="AS91">
            <v>1.4095944187352516</v>
          </cell>
          <cell r="AT91">
            <v>1.6994205371516373</v>
          </cell>
          <cell r="AU91">
            <v>1.6173423482283193</v>
          </cell>
          <cell r="AV91">
            <v>0.53100158982511925</v>
          </cell>
          <cell r="AW91">
            <v>1.0962565724699918</v>
          </cell>
          <cell r="AX91">
            <v>0.10447957560323506</v>
          </cell>
          <cell r="AY91">
            <v>0.21031803029486928</v>
          </cell>
          <cell r="AZ91">
            <v>10.109286129506572</v>
          </cell>
          <cell r="BA91">
            <v>0.77367227213879275</v>
          </cell>
          <cell r="BB91">
            <v>0.17054859963188318</v>
          </cell>
          <cell r="BC91">
            <v>0.21142082832851039</v>
          </cell>
          <cell r="BD91">
            <v>4.0427112388870867E-2</v>
          </cell>
          <cell r="BE91">
            <v>0.13048627791634981</v>
          </cell>
          <cell r="BF91">
            <v>6.293451171322717E-2</v>
          </cell>
          <cell r="BG91">
            <v>-1.5459599201974594E-3</v>
          </cell>
        </row>
        <row r="93">
          <cell r="A93" t="str">
            <v>TRx APP PRODUCTS</v>
          </cell>
          <cell r="B93">
            <v>37331</v>
          </cell>
          <cell r="C93">
            <v>33390</v>
          </cell>
          <cell r="D93">
            <v>36184</v>
          </cell>
          <cell r="E93">
            <v>106905</v>
          </cell>
          <cell r="F93">
            <v>35225</v>
          </cell>
          <cell r="G93">
            <v>35473</v>
          </cell>
          <cell r="H93">
            <v>35179</v>
          </cell>
          <cell r="I93">
            <v>105877</v>
          </cell>
          <cell r="J93">
            <v>34600</v>
          </cell>
          <cell r="K93">
            <v>35249</v>
          </cell>
          <cell r="L93">
            <v>32249</v>
          </cell>
          <cell r="M93">
            <v>102098</v>
          </cell>
          <cell r="N93">
            <v>36930</v>
          </cell>
          <cell r="O93">
            <v>34011</v>
          </cell>
          <cell r="P93">
            <v>35669</v>
          </cell>
          <cell r="Q93">
            <v>106610</v>
          </cell>
          <cell r="R93">
            <v>42903</v>
          </cell>
          <cell r="S93">
            <v>40026</v>
          </cell>
          <cell r="T93">
            <v>42973</v>
          </cell>
          <cell r="U93">
            <v>125902</v>
          </cell>
          <cell r="V93">
            <v>43713</v>
          </cell>
          <cell r="W93">
            <v>47012</v>
          </cell>
          <cell r="X93">
            <v>42363</v>
          </cell>
          <cell r="Y93">
            <v>133088</v>
          </cell>
          <cell r="Z93">
            <v>45604</v>
          </cell>
          <cell r="AA93">
            <v>47169</v>
          </cell>
          <cell r="AB93">
            <v>46472</v>
          </cell>
          <cell r="AC93">
            <v>139245</v>
          </cell>
          <cell r="AD93">
            <v>51374</v>
          </cell>
          <cell r="AE93">
            <v>48429</v>
          </cell>
          <cell r="AF93">
            <v>50768</v>
          </cell>
          <cell r="AG93">
            <v>150571</v>
          </cell>
          <cell r="AH93">
            <v>53379</v>
          </cell>
          <cell r="AI93">
            <v>50073</v>
          </cell>
          <cell r="AJ93">
            <v>54802</v>
          </cell>
          <cell r="AK93">
            <v>158254</v>
          </cell>
          <cell r="AL93">
            <v>56637</v>
          </cell>
          <cell r="AM93">
            <v>55674</v>
          </cell>
          <cell r="AN93">
            <v>57868</v>
          </cell>
          <cell r="AO93">
            <v>170179</v>
          </cell>
          <cell r="AP93">
            <v>57367</v>
          </cell>
          <cell r="AQ93">
            <v>55752</v>
          </cell>
          <cell r="AR93">
            <v>55874</v>
          </cell>
          <cell r="AS93">
            <v>168993</v>
          </cell>
          <cell r="AT93">
            <v>63490</v>
          </cell>
          <cell r="AU93">
            <v>61028</v>
          </cell>
          <cell r="AV93">
            <v>67297</v>
          </cell>
          <cell r="AW93">
            <v>191815</v>
          </cell>
          <cell r="AX93">
            <v>69911</v>
          </cell>
          <cell r="AY93">
            <v>64145</v>
          </cell>
          <cell r="AZ93">
            <v>72275</v>
          </cell>
          <cell r="BA93">
            <v>206331</v>
          </cell>
          <cell r="BB93">
            <v>68669</v>
          </cell>
          <cell r="BC93">
            <v>66270</v>
          </cell>
          <cell r="BD93">
            <v>68286</v>
          </cell>
          <cell r="BE93">
            <v>203225</v>
          </cell>
          <cell r="BF93">
            <v>69477</v>
          </cell>
          <cell r="BG93">
            <v>71624</v>
          </cell>
          <cell r="BH93">
            <v>68954</v>
          </cell>
          <cell r="BI93">
            <v>210055</v>
          </cell>
        </row>
        <row r="94">
          <cell r="A94" t="str">
            <v xml:space="preserve">  % Change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0.14925932870804415</v>
          </cell>
          <cell r="S94">
            <v>0.19874213836477983</v>
          </cell>
          <cell r="T94">
            <v>0.18762436435993801</v>
          </cell>
          <cell r="U94">
            <v>0.17769982694916053</v>
          </cell>
          <cell r="V94">
            <v>0.24096522356281058</v>
          </cell>
          <cell r="W94">
            <v>0.32528965692216616</v>
          </cell>
          <cell r="X94">
            <v>0.20421274055544503</v>
          </cell>
          <cell r="Y94">
            <v>0.25700577084730392</v>
          </cell>
          <cell r="Z94">
            <v>0.31803468208092478</v>
          </cell>
          <cell r="AA94">
            <v>0.33816562171976505</v>
          </cell>
          <cell r="AB94">
            <v>0.44103693137771716</v>
          </cell>
          <cell r="AC94">
            <v>0.36383670591000805</v>
          </cell>
          <cell r="AD94">
            <v>0.39111833197942047</v>
          </cell>
          <cell r="AE94">
            <v>0.42392167240010581</v>
          </cell>
          <cell r="AF94">
            <v>0.42330875550197655</v>
          </cell>
          <cell r="AG94">
            <v>0.41235343776381206</v>
          </cell>
          <cell r="AH94">
            <v>0.24417872876022662</v>
          </cell>
          <cell r="AI94">
            <v>0.2510118423025034</v>
          </cell>
          <cell r="AJ94">
            <v>0.27526586461266378</v>
          </cell>
          <cell r="AK94">
            <v>0.25696176391161374</v>
          </cell>
          <cell r="AL94">
            <v>0.29565575458101701</v>
          </cell>
          <cell r="AM94">
            <v>0.18425082957542749</v>
          </cell>
          <cell r="AN94">
            <v>0.3660033519816821</v>
          </cell>
          <cell r="AO94">
            <v>0.27869529935080539</v>
          </cell>
          <cell r="AP94">
            <v>0.25793790018419438</v>
          </cell>
          <cell r="AQ94">
            <v>0.18196272975895189</v>
          </cell>
          <cell r="AR94">
            <v>0.20231537269753841</v>
          </cell>
          <cell r="AS94">
            <v>0.2136378325972208</v>
          </cell>
          <cell r="AT94">
            <v>0.23583914042122478</v>
          </cell>
          <cell r="AU94">
            <v>0.26015403993474995</v>
          </cell>
          <cell r="AV94">
            <v>0.3255791049479988</v>
          </cell>
          <cell r="AW94">
            <v>0.2739172881896248</v>
          </cell>
          <cell r="AX94">
            <v>0.30970981097435324</v>
          </cell>
          <cell r="AY94">
            <v>0.28102969664290134</v>
          </cell>
          <cell r="AZ94">
            <v>0.31883872851355788</v>
          </cell>
          <cell r="BA94">
            <v>0.30379642852629307</v>
          </cell>
          <cell r="BB94">
            <v>0.21244063068312236</v>
          </cell>
          <cell r="BC94">
            <v>0.19032223299924556</v>
          </cell>
          <cell r="BD94">
            <v>0.18003041404575937</v>
          </cell>
          <cell r="BE94">
            <v>0.19418377120561292</v>
          </cell>
          <cell r="BF94">
            <v>0.21109697212683254</v>
          </cell>
          <cell r="BG94">
            <v>0.28468933849906719</v>
          </cell>
          <cell r="BH94">
            <v>0.23409814940759577</v>
          </cell>
          <cell r="BI94">
            <v>0.24298047848135718</v>
          </cell>
        </row>
        <row r="96">
          <cell r="A96" t="str">
            <v xml:space="preserve">TOTAL APP REPORTED SALES </v>
          </cell>
          <cell r="E96">
            <v>39.033999999999999</v>
          </cell>
          <cell r="I96">
            <v>48.073999999999998</v>
          </cell>
          <cell r="M96">
            <v>49.29</v>
          </cell>
          <cell r="Q96">
            <v>55.631</v>
          </cell>
          <cell r="U96">
            <v>53.851999999999997</v>
          </cell>
          <cell r="Y96">
            <v>69.039000000000001</v>
          </cell>
          <cell r="AC96">
            <v>70.599000000000004</v>
          </cell>
          <cell r="AG96">
            <v>83.983999999999995</v>
          </cell>
          <cell r="AK96">
            <v>81.344999999999999</v>
          </cell>
          <cell r="AO96">
            <v>90.4</v>
          </cell>
          <cell r="AS96">
            <v>90.4</v>
          </cell>
          <cell r="AW96">
            <v>89.2</v>
          </cell>
          <cell r="BA96">
            <v>89.2</v>
          </cell>
          <cell r="BE96">
            <v>97.6</v>
          </cell>
          <cell r="BI96">
            <v>100</v>
          </cell>
        </row>
        <row r="97">
          <cell r="A97" t="str">
            <v xml:space="preserve">  % Change</v>
          </cell>
          <cell r="E97">
            <v>0</v>
          </cell>
          <cell r="I97">
            <v>0</v>
          </cell>
          <cell r="M97">
            <v>0</v>
          </cell>
          <cell r="Q97">
            <v>0</v>
          </cell>
          <cell r="U97">
            <v>0.37961776912435319</v>
          </cell>
          <cell r="Y97">
            <v>0.43609851478969941</v>
          </cell>
          <cell r="AC97">
            <v>0.43231892878880118</v>
          </cell>
          <cell r="AG97">
            <v>0.50966187916808958</v>
          </cell>
          <cell r="AK97">
            <v>0.51052885686696881</v>
          </cell>
          <cell r="AO97">
            <v>0.30940482915453593</v>
          </cell>
          <cell r="AS97">
            <v>0.28047139477896299</v>
          </cell>
          <cell r="AW97">
            <v>6.2107068012954958E-2</v>
          </cell>
          <cell r="BA97">
            <v>9.656401745651233E-2</v>
          </cell>
          <cell r="BE97">
            <v>7.9646017699114946E-2</v>
          </cell>
          <cell r="BI97">
            <v>0.10619469026548667</v>
          </cell>
        </row>
        <row r="99">
          <cell r="A99" t="str">
            <v>TOTAL APP SALES (IMS)</v>
          </cell>
          <cell r="B99">
            <v>10.724005</v>
          </cell>
          <cell r="C99">
            <v>10.948123000000001</v>
          </cell>
          <cell r="D99">
            <v>13.488205000000001</v>
          </cell>
          <cell r="E99">
            <v>35.160333000000001</v>
          </cell>
          <cell r="F99">
            <v>10.286640999999999</v>
          </cell>
          <cell r="G99">
            <v>11.412082</v>
          </cell>
          <cell r="H99">
            <v>14.580736999999999</v>
          </cell>
          <cell r="I99">
            <v>36.27946</v>
          </cell>
          <cell r="J99">
            <v>13.023403</v>
          </cell>
          <cell r="K99">
            <v>12.981903000000001</v>
          </cell>
          <cell r="L99">
            <v>14.785876999999999</v>
          </cell>
          <cell r="M99">
            <v>40.791183000000004</v>
          </cell>
          <cell r="N99">
            <v>11.870578</v>
          </cell>
          <cell r="O99">
            <v>15.994571000000001</v>
          </cell>
          <cell r="P99">
            <v>15.847923</v>
          </cell>
          <cell r="Q99">
            <v>43.713072000000004</v>
          </cell>
          <cell r="R99">
            <v>14.133787999999999</v>
          </cell>
          <cell r="S99">
            <v>13.342385999999999</v>
          </cell>
          <cell r="T99">
            <v>16.778016000000001</v>
          </cell>
          <cell r="U99">
            <v>44.254190000000001</v>
          </cell>
          <cell r="V99">
            <v>14.27251</v>
          </cell>
          <cell r="W99">
            <v>15.245630999999999</v>
          </cell>
          <cell r="X99">
            <v>21.020236000000001</v>
          </cell>
          <cell r="Y99">
            <v>50.538376999999997</v>
          </cell>
          <cell r="Z99">
            <v>18.227049000000001</v>
          </cell>
          <cell r="AA99">
            <v>17.742384000000001</v>
          </cell>
          <cell r="AB99">
            <v>21.230553</v>
          </cell>
          <cell r="AC99">
            <v>57.199986000000003</v>
          </cell>
          <cell r="AD99">
            <v>17.741223999999999</v>
          </cell>
          <cell r="AE99">
            <v>19.961307000000001</v>
          </cell>
          <cell r="AF99">
            <v>25.550014000000001</v>
          </cell>
          <cell r="AG99">
            <v>63.252544999999998</v>
          </cell>
          <cell r="AH99">
            <v>22.518039000000002</v>
          </cell>
          <cell r="AI99">
            <v>21.976862000000001</v>
          </cell>
          <cell r="AJ99">
            <v>27.207553000000001</v>
          </cell>
          <cell r="AK99">
            <v>71.702454000000003</v>
          </cell>
          <cell r="AL99">
            <v>25.260083000000002</v>
          </cell>
          <cell r="AM99">
            <v>24.945695000000001</v>
          </cell>
          <cell r="AN99">
            <v>32.423690000000001</v>
          </cell>
          <cell r="AO99">
            <v>82.629468000000003</v>
          </cell>
          <cell r="AP99">
            <v>23.960547999999999</v>
          </cell>
          <cell r="AQ99">
            <v>25.539881999999999</v>
          </cell>
          <cell r="AR99">
            <v>30.349474000000001</v>
          </cell>
          <cell r="AS99">
            <v>79.849903999999995</v>
          </cell>
          <cell r="AT99">
            <v>26.018086</v>
          </cell>
          <cell r="AU99">
            <v>26.642575000000001</v>
          </cell>
          <cell r="AV99">
            <v>32.272184000000003</v>
          </cell>
          <cell r="AW99">
            <v>84.932845000000015</v>
          </cell>
          <cell r="AX99">
            <v>30.056218999999999</v>
          </cell>
          <cell r="AY99">
            <v>29.190200000000001</v>
          </cell>
          <cell r="AZ99">
            <v>36.084750999999997</v>
          </cell>
          <cell r="BA99">
            <v>95.33117</v>
          </cell>
          <cell r="BB99">
            <v>27.161244</v>
          </cell>
          <cell r="BC99">
            <v>28.728956</v>
          </cell>
          <cell r="BD99">
            <v>35.258291</v>
          </cell>
          <cell r="BE99">
            <v>91.148491000000007</v>
          </cell>
          <cell r="BF99">
            <v>28.598293000000002</v>
          </cell>
          <cell r="BG99">
            <v>29.118962</v>
          </cell>
        </row>
        <row r="100">
          <cell r="A100" t="str">
            <v xml:space="preserve">  % Change</v>
          </cell>
          <cell r="E100">
            <v>0</v>
          </cell>
          <cell r="I100">
            <v>0</v>
          </cell>
          <cell r="M100">
            <v>0</v>
          </cell>
          <cell r="Q100">
            <v>0</v>
          </cell>
          <cell r="U100">
            <v>0.25863967215555106</v>
          </cell>
          <cell r="Y100">
            <v>0.39303002304885459</v>
          </cell>
          <cell r="AC100">
            <v>0.4022634744376008</v>
          </cell>
          <cell r="AG100">
            <v>0.44699381914865177</v>
          </cell>
          <cell r="AK100">
            <v>0.62024102124567193</v>
          </cell>
          <cell r="AO100">
            <v>0.6349845979422728</v>
          </cell>
          <cell r="AP100">
            <v>0.31455991587008936</v>
          </cell>
          <cell r="AQ100">
            <v>0.43948423165680528</v>
          </cell>
          <cell r="AR100">
            <v>0.42951876948282974</v>
          </cell>
          <cell r="AS100">
            <v>0.39597768433020231</v>
          </cell>
          <cell r="AT100">
            <v>0.46653274881146878</v>
          </cell>
          <cell r="AU100">
            <v>0.33471094853658623</v>
          </cell>
          <cell r="AV100">
            <v>0.26309848597343244</v>
          </cell>
          <cell r="AW100">
            <v>0.34275774990555741</v>
          </cell>
          <cell r="AX100">
            <v>0.33476183250237712</v>
          </cell>
          <cell r="AY100">
            <v>0.32822420234517558</v>
          </cell>
          <cell r="AZ100">
            <v>0.32627697169238257</v>
          </cell>
          <cell r="BA100">
            <v>0.32953845624307365</v>
          </cell>
          <cell r="BB100">
            <v>7.5263450242819774E-2</v>
          </cell>
          <cell r="BC100">
            <v>0.15165987558173866</v>
          </cell>
          <cell r="BD100">
            <v>8.7423763303929869E-2</v>
          </cell>
          <cell r="BE100">
            <v>0.10309909050848542</v>
          </cell>
          <cell r="BF100">
            <v>0.19355755135483554</v>
          </cell>
          <cell r="BG100">
            <v>0.14013690431302694</v>
          </cell>
        </row>
        <row r="102">
          <cell r="A102" t="str">
            <v>REPORTED SALES/TRx</v>
          </cell>
          <cell r="E102">
            <v>365.12791730976102</v>
          </cell>
          <cell r="I102">
            <v>454.05517723396014</v>
          </cell>
          <cell r="M102">
            <v>482.77145487668707</v>
          </cell>
          <cell r="Q102">
            <v>521.81784072788662</v>
          </cell>
          <cell r="U102">
            <v>427.72950389985857</v>
          </cell>
          <cell r="Y102">
            <v>518.74699446982447</v>
          </cell>
          <cell r="AC102">
            <v>507.0128191317462</v>
          </cell>
          <cell r="AG102">
            <v>557.77008852966367</v>
          </cell>
          <cell r="AK102">
            <v>514.01544352749374</v>
          </cell>
          <cell r="AO102">
            <v>531.2053778668344</v>
          </cell>
          <cell r="AS102">
            <v>534.93339960826779</v>
          </cell>
          <cell r="AW102">
            <v>465.03141047363346</v>
          </cell>
          <cell r="BA102">
            <v>432.31506656779641</v>
          </cell>
          <cell r="BE102">
            <v>480.25587403124609</v>
          </cell>
          <cell r="BI102">
            <v>476.06579229249479</v>
          </cell>
        </row>
        <row r="103">
          <cell r="A103" t="str">
            <v>IMS SALES/REPORTED SALES</v>
          </cell>
          <cell r="E103">
            <v>0.90076172055131432</v>
          </cell>
          <cell r="I103">
            <v>0.75465865124599574</v>
          </cell>
          <cell r="M103">
            <v>0.82757522824102259</v>
          </cell>
          <cell r="Q103">
            <v>0.78576822275350078</v>
          </cell>
          <cell r="U103">
            <v>0.82177430736091517</v>
          </cell>
          <cell r="Y103">
            <v>0.73202649227248362</v>
          </cell>
          <cell r="AC103">
            <v>0.81020957803934901</v>
          </cell>
          <cell r="AG103">
            <v>0.75314994522766243</v>
          </cell>
          <cell r="AK103">
            <v>0.88146111008666794</v>
          </cell>
          <cell r="AO103">
            <v>0.91404278761061941</v>
          </cell>
          <cell r="AS103">
            <v>0.8832953982300884</v>
          </cell>
          <cell r="AW103">
            <v>0.95216193946188354</v>
          </cell>
          <cell r="BA103">
            <v>1.0687350896860985</v>
          </cell>
          <cell r="BE103">
            <v>0.9338984733606559</v>
          </cell>
        </row>
      </sheetData>
      <sheetData sheetId="9"/>
      <sheetData sheetId="10"/>
      <sheetData sheetId="1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Lexapro"/>
      <sheetName val="Namenda"/>
      <sheetName val="Benicar"/>
      <sheetName val="Nebivolol"/>
      <sheetName val="Orapem"/>
      <sheetName val="BAL-CF"/>
      <sheetName val="MKTD"/>
      <sheetName val="PPLN"/>
      <sheetName val="IMS"/>
      <sheetName val="------"/>
      <sheetName val="NPV"/>
      <sheetName val="Charts"/>
      <sheetName val="VAR"/>
      <sheetName val="NPV_Bad"/>
      <sheetName val="Sheet1"/>
      <sheetName val="Compare"/>
      <sheetName val="Financial Analysis Table"/>
      <sheetName val="Taxes"/>
      <sheetName val="iQ_Measure_Validations_Errors"/>
      <sheetName val="iQ_US_CoreIndustrials"/>
      <sheetName val="Celexa"/>
      <sheetName val="NPV_Down"/>
      <sheetName val="Product NPV"/>
      <sheetName val="Sheet2"/>
      <sheetName val="SUMMARY"/>
      <sheetName val="P&amp;L Review"/>
      <sheetName val="NAMENDA TRx"/>
      <sheetName val="Benicar TRx"/>
      <sheetName val="VAR-June"/>
      <sheetName val="VAR-March"/>
      <sheetName val="IMS (2)"/>
      <sheetName val="Faropenem"/>
      <sheetName val="COVER SHEET"/>
      <sheetName val="__FDSCACHE__"/>
      <sheetName val="IS-ANNUAL"/>
      <sheetName val="IS-QTRLY"/>
      <sheetName val="REV-ANNUAL"/>
      <sheetName val="REV-QTRLY"/>
      <sheetName val="CFBS"/>
      <sheetName val="DCF"/>
      <sheetName val="LINZESS"/>
      <sheetName val="MGMT PROJECTIONS"/>
      <sheetName val="PIPELINE"/>
      <sheetName val="MW-Cache"/>
      <sheetName val="PIPELINE_UNADJ"/>
      <sheetName val="FOOTNOTES"/>
      <sheetName val="AGREEMENTS"/>
      <sheetName val="PIV Challenges"/>
      <sheetName val="Var-YOY"/>
      <sheetName val="Var-Seq"/>
      <sheetName val="AMORT"/>
      <sheetName val="calendar"/>
      <sheetName val="patents"/>
      <sheetName val="patent expirations"/>
      <sheetName val="change"/>
      <sheetName val="launches"/>
      <sheetName val="consensus"/>
      <sheetName val="pipeline handout"/>
      <sheetName val="SAVELLA"/>
      <sheetName val="DEBT"/>
      <sheetName val="MWA RR"/>
      <sheetName val="mwareDates"/>
      <sheetName val="revenue snapshot"/>
      <sheetName val="rev contribution analysis"/>
      <sheetName val="rev change analysis"/>
      <sheetName val="Gaap Adj"/>
      <sheetName val="mwareSettings"/>
      <sheetName val="ImportantDisclosures"/>
      <sheetName val="LINACLOTIDE"/>
      <sheetName val="MW Valuation"/>
      <sheetName val="TR Convert"/>
    </sheetNames>
    <sheetDataSet>
      <sheetData sheetId="0"/>
      <sheetData sheetId="1"/>
      <sheetData sheetId="2">
        <row r="3">
          <cell r="A3" t="str">
            <v>Product</v>
          </cell>
        </row>
      </sheetData>
      <sheetData sheetId="3"/>
      <sheetData sheetId="4"/>
      <sheetData sheetId="5">
        <row r="6">
          <cell r="C6" t="str">
            <v>Namenda</v>
          </cell>
          <cell r="D6" t="str">
            <v>Y-O-Y</v>
          </cell>
          <cell r="F6" t="str">
            <v>Market (1)</v>
          </cell>
          <cell r="G6" t="str">
            <v>Y-O-Y</v>
          </cell>
          <cell r="I6" t="str">
            <v>Namenda</v>
          </cell>
          <cell r="K6" t="str">
            <v>Namenda</v>
          </cell>
          <cell r="L6" t="str">
            <v>Namenda</v>
          </cell>
        </row>
        <row r="7">
          <cell r="A7" t="str">
            <v xml:space="preserve">Date </v>
          </cell>
          <cell r="C7" t="str">
            <v>TRx</v>
          </cell>
          <cell r="D7" t="str">
            <v>Growth</v>
          </cell>
          <cell r="F7" t="str">
            <v>TRx</v>
          </cell>
          <cell r="G7" t="str">
            <v>Growth</v>
          </cell>
          <cell r="I7" t="str">
            <v>Share</v>
          </cell>
          <cell r="K7" t="str">
            <v>Sales</v>
          </cell>
          <cell r="L7" t="str">
            <v>Sales / TRx (2)</v>
          </cell>
        </row>
        <row r="10">
          <cell r="A10">
            <v>36982</v>
          </cell>
          <cell r="D10">
            <v>0</v>
          </cell>
          <cell r="F10">
            <v>487604</v>
          </cell>
          <cell r="G10">
            <v>0</v>
          </cell>
          <cell r="I10">
            <v>0</v>
          </cell>
          <cell r="K10">
            <v>0</v>
          </cell>
          <cell r="L10">
            <v>0</v>
          </cell>
        </row>
        <row r="11">
          <cell r="A11">
            <v>37012</v>
          </cell>
          <cell r="D11">
            <v>0</v>
          </cell>
          <cell r="F11">
            <v>511348</v>
          </cell>
          <cell r="G11">
            <v>0</v>
          </cell>
          <cell r="I11">
            <v>0</v>
          </cell>
          <cell r="K11">
            <v>0</v>
          </cell>
          <cell r="L11">
            <v>0</v>
          </cell>
        </row>
        <row r="12">
          <cell r="A12">
            <v>37043</v>
          </cell>
          <cell r="D12">
            <v>0</v>
          </cell>
          <cell r="F12">
            <v>503140</v>
          </cell>
          <cell r="G12">
            <v>0</v>
          </cell>
          <cell r="I12">
            <v>0</v>
          </cell>
          <cell r="K12">
            <v>0</v>
          </cell>
          <cell r="L12">
            <v>0</v>
          </cell>
        </row>
        <row r="13">
          <cell r="A13" t="str">
            <v>F1Q:02A</v>
          </cell>
          <cell r="D13">
            <v>0</v>
          </cell>
          <cell r="F13">
            <v>1502092</v>
          </cell>
          <cell r="G13">
            <v>0</v>
          </cell>
          <cell r="I13">
            <v>0</v>
          </cell>
          <cell r="K13">
            <v>0</v>
          </cell>
          <cell r="L13">
            <v>0</v>
          </cell>
        </row>
        <row r="15">
          <cell r="A15">
            <v>37073</v>
          </cell>
          <cell r="D15">
            <v>0</v>
          </cell>
          <cell r="F15">
            <v>529466</v>
          </cell>
          <cell r="G15">
            <v>0</v>
          </cell>
          <cell r="I15">
            <v>0</v>
          </cell>
          <cell r="K15">
            <v>0</v>
          </cell>
          <cell r="L15">
            <v>0</v>
          </cell>
        </row>
        <row r="16">
          <cell r="A16">
            <v>37104</v>
          </cell>
          <cell r="D16">
            <v>0</v>
          </cell>
          <cell r="F16">
            <v>543954</v>
          </cell>
          <cell r="G16">
            <v>0</v>
          </cell>
          <cell r="I16">
            <v>0</v>
          </cell>
          <cell r="K16">
            <v>0</v>
          </cell>
          <cell r="L16">
            <v>0</v>
          </cell>
        </row>
        <row r="17">
          <cell r="A17">
            <v>37135</v>
          </cell>
          <cell r="D17">
            <v>0</v>
          </cell>
          <cell r="F17">
            <v>517275</v>
          </cell>
          <cell r="G17">
            <v>0</v>
          </cell>
          <cell r="I17">
            <v>0</v>
          </cell>
          <cell r="K17">
            <v>0</v>
          </cell>
          <cell r="L17">
            <v>0</v>
          </cell>
        </row>
        <row r="18">
          <cell r="A18" t="str">
            <v>F2Q:02A</v>
          </cell>
          <cell r="D18">
            <v>0</v>
          </cell>
          <cell r="F18">
            <v>1590695</v>
          </cell>
          <cell r="G18">
            <v>0</v>
          </cell>
          <cell r="I18">
            <v>0</v>
          </cell>
          <cell r="K18">
            <v>0</v>
          </cell>
          <cell r="L18">
            <v>0</v>
          </cell>
        </row>
        <row r="20">
          <cell r="A20">
            <v>37165</v>
          </cell>
          <cell r="D20">
            <v>0</v>
          </cell>
          <cell r="F20">
            <v>576110</v>
          </cell>
          <cell r="G20">
            <v>0</v>
          </cell>
          <cell r="I20">
            <v>0</v>
          </cell>
          <cell r="K20">
            <v>0</v>
          </cell>
          <cell r="L20">
            <v>0</v>
          </cell>
        </row>
        <row r="21">
          <cell r="A21">
            <v>37196</v>
          </cell>
          <cell r="D21">
            <v>0</v>
          </cell>
          <cell r="F21">
            <v>561767</v>
          </cell>
          <cell r="G21">
            <v>0</v>
          </cell>
          <cell r="I21">
            <v>0</v>
          </cell>
          <cell r="K21">
            <v>0</v>
          </cell>
          <cell r="L21">
            <v>0</v>
          </cell>
        </row>
        <row r="22">
          <cell r="A22">
            <v>37226</v>
          </cell>
          <cell r="D22">
            <v>0</v>
          </cell>
          <cell r="F22">
            <v>575722</v>
          </cell>
          <cell r="G22">
            <v>0</v>
          </cell>
          <cell r="I22">
            <v>0</v>
          </cell>
          <cell r="K22">
            <v>0</v>
          </cell>
          <cell r="L22">
            <v>0</v>
          </cell>
        </row>
        <row r="23">
          <cell r="A23" t="str">
            <v>F3Q:02A</v>
          </cell>
          <cell r="D23">
            <v>0</v>
          </cell>
          <cell r="F23">
            <v>1713599</v>
          </cell>
          <cell r="G23">
            <v>0</v>
          </cell>
          <cell r="I23">
            <v>0</v>
          </cell>
          <cell r="K23">
            <v>0</v>
          </cell>
          <cell r="L23">
            <v>0</v>
          </cell>
        </row>
        <row r="25">
          <cell r="A25">
            <v>37257</v>
          </cell>
          <cell r="D25">
            <v>0</v>
          </cell>
          <cell r="F25">
            <v>619422</v>
          </cell>
          <cell r="G25">
            <v>0</v>
          </cell>
          <cell r="I25">
            <v>0</v>
          </cell>
          <cell r="K25">
            <v>0</v>
          </cell>
          <cell r="L25">
            <v>0</v>
          </cell>
        </row>
        <row r="26">
          <cell r="A26">
            <v>37288</v>
          </cell>
          <cell r="D26">
            <v>0</v>
          </cell>
          <cell r="F26">
            <v>569353</v>
          </cell>
          <cell r="G26">
            <v>0</v>
          </cell>
          <cell r="I26">
            <v>0</v>
          </cell>
          <cell r="K26">
            <v>0</v>
          </cell>
          <cell r="L26">
            <v>0</v>
          </cell>
        </row>
        <row r="27">
          <cell r="A27">
            <v>37316</v>
          </cell>
          <cell r="D27">
            <v>0</v>
          </cell>
          <cell r="F27">
            <v>616975</v>
          </cell>
          <cell r="G27">
            <v>0</v>
          </cell>
          <cell r="I27">
            <v>0</v>
          </cell>
          <cell r="K27">
            <v>0</v>
          </cell>
          <cell r="L27">
            <v>0</v>
          </cell>
        </row>
        <row r="28">
          <cell r="A28" t="str">
            <v>F4Q:02A</v>
          </cell>
          <cell r="D28">
            <v>0</v>
          </cell>
          <cell r="F28">
            <v>1805750</v>
          </cell>
          <cell r="G28">
            <v>0</v>
          </cell>
          <cell r="I28">
            <v>0</v>
          </cell>
          <cell r="K28">
            <v>0</v>
          </cell>
          <cell r="L28">
            <v>0</v>
          </cell>
        </row>
        <row r="30">
          <cell r="A30" t="str">
            <v>F2002A</v>
          </cell>
          <cell r="D30">
            <v>0</v>
          </cell>
          <cell r="F30">
            <v>6612136</v>
          </cell>
          <cell r="G30">
            <v>0</v>
          </cell>
          <cell r="I30">
            <v>0</v>
          </cell>
          <cell r="K30">
            <v>0</v>
          </cell>
          <cell r="L30">
            <v>0</v>
          </cell>
        </row>
        <row r="32">
          <cell r="A32">
            <v>37347</v>
          </cell>
          <cell r="D32">
            <v>0</v>
          </cell>
          <cell r="F32">
            <v>637989</v>
          </cell>
          <cell r="G32">
            <v>0.30841625581414434</v>
          </cell>
          <cell r="I32">
            <v>0</v>
          </cell>
          <cell r="K32">
            <v>0</v>
          </cell>
          <cell r="L32">
            <v>0</v>
          </cell>
        </row>
        <row r="33">
          <cell r="A33">
            <v>37377</v>
          </cell>
          <cell r="D33">
            <v>0</v>
          </cell>
          <cell r="F33">
            <v>651353</v>
          </cell>
          <cell r="G33">
            <v>0.27379592762658689</v>
          </cell>
          <cell r="I33">
            <v>0</v>
          </cell>
          <cell r="K33">
            <v>0</v>
          </cell>
          <cell r="L33">
            <v>0</v>
          </cell>
        </row>
        <row r="34">
          <cell r="A34">
            <v>37408</v>
          </cell>
          <cell r="D34">
            <v>0</v>
          </cell>
          <cell r="F34">
            <v>619653</v>
          </cell>
          <cell r="G34">
            <v>0.23157172953849825</v>
          </cell>
          <cell r="I34">
            <v>0</v>
          </cell>
          <cell r="K34">
            <v>0</v>
          </cell>
          <cell r="L34">
            <v>0</v>
          </cell>
        </row>
        <row r="35">
          <cell r="A35" t="str">
            <v>F1Q:03A</v>
          </cell>
          <cell r="D35">
            <v>0</v>
          </cell>
          <cell r="F35">
            <v>1908995</v>
          </cell>
          <cell r="G35">
            <v>0.2708908642080512</v>
          </cell>
          <cell r="I35">
            <v>0</v>
          </cell>
          <cell r="K35">
            <v>0</v>
          </cell>
          <cell r="L35">
            <v>0</v>
          </cell>
        </row>
        <row r="37">
          <cell r="A37">
            <v>37438</v>
          </cell>
          <cell r="D37">
            <v>0</v>
          </cell>
          <cell r="F37">
            <v>671846</v>
          </cell>
          <cell r="G37">
            <v>0.26891245141331077</v>
          </cell>
          <cell r="I37">
            <v>0</v>
          </cell>
          <cell r="K37">
            <v>0</v>
          </cell>
          <cell r="L37">
            <v>0</v>
          </cell>
        </row>
        <row r="38">
          <cell r="A38">
            <v>37469</v>
          </cell>
          <cell r="D38">
            <v>0</v>
          </cell>
          <cell r="F38">
            <v>668578</v>
          </cell>
          <cell r="G38">
            <v>0.22910760836394251</v>
          </cell>
          <cell r="I38">
            <v>0</v>
          </cell>
          <cell r="K38">
            <v>0</v>
          </cell>
          <cell r="L38">
            <v>0</v>
          </cell>
        </row>
        <row r="39">
          <cell r="A39">
            <v>37500</v>
          </cell>
          <cell r="D39">
            <v>0</v>
          </cell>
          <cell r="F39">
            <v>647113</v>
          </cell>
          <cell r="G39">
            <v>0.2510038180851577</v>
          </cell>
          <cell r="I39">
            <v>0</v>
          </cell>
          <cell r="K39">
            <v>0</v>
          </cell>
          <cell r="L39">
            <v>0</v>
          </cell>
        </row>
        <row r="40">
          <cell r="A40" t="str">
            <v>F2Q:03A</v>
          </cell>
          <cell r="D40">
            <v>0</v>
          </cell>
          <cell r="F40">
            <v>1987537</v>
          </cell>
          <cell r="G40">
            <v>0.24947711534895123</v>
          </cell>
          <cell r="I40">
            <v>0</v>
          </cell>
          <cell r="K40">
            <v>0</v>
          </cell>
          <cell r="L40">
            <v>0</v>
          </cell>
        </row>
        <row r="42">
          <cell r="A42" t="str">
            <v>Oct-02</v>
          </cell>
          <cell r="D42">
            <v>0</v>
          </cell>
          <cell r="F42">
            <v>683796</v>
          </cell>
          <cell r="G42">
            <v>0.18691916474284431</v>
          </cell>
          <cell r="I42">
            <v>0</v>
          </cell>
          <cell r="K42">
            <v>0</v>
          </cell>
          <cell r="L42">
            <v>0</v>
          </cell>
        </row>
        <row r="43">
          <cell r="A43" t="str">
            <v>Nov-02</v>
          </cell>
          <cell r="D43">
            <v>0</v>
          </cell>
          <cell r="F43">
            <v>664793</v>
          </cell>
          <cell r="G43">
            <v>0.18339631911450827</v>
          </cell>
          <cell r="I43">
            <v>0</v>
          </cell>
          <cell r="K43">
            <v>0</v>
          </cell>
          <cell r="L43">
            <v>0</v>
          </cell>
        </row>
        <row r="44">
          <cell r="A44" t="str">
            <v>Dec-02</v>
          </cell>
          <cell r="D44">
            <v>0</v>
          </cell>
          <cell r="F44">
            <v>713103</v>
          </cell>
          <cell r="G44">
            <v>0.23862384970523975</v>
          </cell>
          <cell r="I44">
            <v>0</v>
          </cell>
          <cell r="K44">
            <v>0</v>
          </cell>
          <cell r="L44">
            <v>0</v>
          </cell>
        </row>
        <row r="45">
          <cell r="A45" t="str">
            <v>F3Q:03A</v>
          </cell>
          <cell r="D45">
            <v>0</v>
          </cell>
          <cell r="F45">
            <v>2061692</v>
          </cell>
          <cell r="G45">
            <v>0.20313562274487795</v>
          </cell>
          <cell r="I45">
            <v>0</v>
          </cell>
          <cell r="K45">
            <v>0</v>
          </cell>
          <cell r="L45">
            <v>0</v>
          </cell>
        </row>
        <row r="47">
          <cell r="A47">
            <v>37622</v>
          </cell>
          <cell r="D47">
            <v>0</v>
          </cell>
          <cell r="F47">
            <v>722165</v>
          </cell>
          <cell r="G47">
            <v>0.16586914898082417</v>
          </cell>
          <cell r="I47">
            <v>0</v>
          </cell>
          <cell r="K47">
            <v>0</v>
          </cell>
          <cell r="L47">
            <v>0</v>
          </cell>
        </row>
        <row r="48">
          <cell r="A48" t="str">
            <v>Feb-03</v>
          </cell>
          <cell r="D48">
            <v>0</v>
          </cell>
          <cell r="F48">
            <v>655602</v>
          </cell>
          <cell r="G48">
            <v>0.1514859849689032</v>
          </cell>
          <cell r="I48">
            <v>0</v>
          </cell>
          <cell r="K48">
            <v>0</v>
          </cell>
          <cell r="L48">
            <v>0</v>
          </cell>
        </row>
        <row r="49">
          <cell r="A49" t="str">
            <v>Mar-03</v>
          </cell>
          <cell r="D49">
            <v>0</v>
          </cell>
          <cell r="F49">
            <v>726550</v>
          </cell>
          <cell r="G49">
            <v>0.17760038899469177</v>
          </cell>
          <cell r="I49">
            <v>0</v>
          </cell>
          <cell r="K49">
            <v>0</v>
          </cell>
          <cell r="L49">
            <v>0</v>
          </cell>
        </row>
        <row r="50">
          <cell r="A50" t="str">
            <v>F4Q:03A</v>
          </cell>
          <cell r="D50">
            <v>0</v>
          </cell>
          <cell r="F50">
            <v>2104317</v>
          </cell>
          <cell r="G50">
            <v>0.1653423785130832</v>
          </cell>
          <cell r="I50">
            <v>0</v>
          </cell>
          <cell r="K50">
            <v>0</v>
          </cell>
          <cell r="L50">
            <v>0</v>
          </cell>
        </row>
        <row r="52">
          <cell r="A52" t="str">
            <v>F2003A</v>
          </cell>
          <cell r="D52">
            <v>0</v>
          </cell>
          <cell r="F52">
            <v>8062541</v>
          </cell>
          <cell r="G52">
            <v>0.21935498604384418</v>
          </cell>
          <cell r="I52">
            <v>0</v>
          </cell>
          <cell r="K52">
            <v>0</v>
          </cell>
          <cell r="L52">
            <v>0</v>
          </cell>
        </row>
        <row r="54">
          <cell r="A54" t="str">
            <v>Apr-03</v>
          </cell>
          <cell r="D54">
            <v>0</v>
          </cell>
          <cell r="F54">
            <v>731952</v>
          </cell>
          <cell r="G54">
            <v>0.14727996877689109</v>
          </cell>
          <cell r="I54">
            <v>0</v>
          </cell>
          <cell r="K54">
            <v>0</v>
          </cell>
          <cell r="L54">
            <v>0</v>
          </cell>
        </row>
        <row r="55">
          <cell r="A55" t="str">
            <v>May-03</v>
          </cell>
          <cell r="D55">
            <v>0</v>
          </cell>
          <cell r="F55">
            <v>751530</v>
          </cell>
          <cell r="G55">
            <v>0.15379832441088004</v>
          </cell>
          <cell r="I55">
            <v>0</v>
          </cell>
          <cell r="K55">
            <v>0</v>
          </cell>
          <cell r="L55">
            <v>0</v>
          </cell>
        </row>
        <row r="56">
          <cell r="A56" t="str">
            <v>Jun-03</v>
          </cell>
          <cell r="D56">
            <v>0</v>
          </cell>
          <cell r="F56">
            <v>741485</v>
          </cell>
          <cell r="G56">
            <v>0.19661326581167193</v>
          </cell>
          <cell r="I56">
            <v>0</v>
          </cell>
          <cell r="K56">
            <v>0</v>
          </cell>
          <cell r="L56">
            <v>0</v>
          </cell>
        </row>
        <row r="57">
          <cell r="A57" t="str">
            <v>F1Q:04A</v>
          </cell>
          <cell r="D57">
            <v>0</v>
          </cell>
          <cell r="F57">
            <v>2224967</v>
          </cell>
          <cell r="G57">
            <v>0.16551745813896845</v>
          </cell>
          <cell r="I57">
            <v>0</v>
          </cell>
          <cell r="K57">
            <v>0</v>
          </cell>
          <cell r="L57">
            <v>0</v>
          </cell>
        </row>
        <row r="59">
          <cell r="A59">
            <v>37803</v>
          </cell>
          <cell r="D59">
            <v>0</v>
          </cell>
          <cell r="F59">
            <v>771141</v>
          </cell>
          <cell r="G59">
            <v>0.14779428619058543</v>
          </cell>
          <cell r="I59">
            <v>0</v>
          </cell>
          <cell r="K59">
            <v>0</v>
          </cell>
          <cell r="L59">
            <v>0</v>
          </cell>
        </row>
        <row r="60">
          <cell r="A60">
            <v>37834</v>
          </cell>
          <cell r="D60">
            <v>0</v>
          </cell>
          <cell r="F60">
            <v>751593</v>
          </cell>
          <cell r="G60">
            <v>0.12416651460263428</v>
          </cell>
          <cell r="I60">
            <v>0</v>
          </cell>
          <cell r="K60">
            <v>0</v>
          </cell>
          <cell r="L60">
            <v>0</v>
          </cell>
        </row>
        <row r="61">
          <cell r="A61">
            <v>37865</v>
          </cell>
          <cell r="D61">
            <v>0</v>
          </cell>
          <cell r="F61">
            <v>769570</v>
          </cell>
          <cell r="G61">
            <v>0.18923588306833583</v>
          </cell>
          <cell r="I61">
            <v>0</v>
          </cell>
          <cell r="K61">
            <v>0</v>
          </cell>
          <cell r="L61">
            <v>0</v>
          </cell>
        </row>
        <row r="62">
          <cell r="A62" t="str">
            <v>F2Q:04A</v>
          </cell>
          <cell r="D62">
            <v>0</v>
          </cell>
          <cell r="F62">
            <v>2292304</v>
          </cell>
          <cell r="G62">
            <v>0.15333903217902356</v>
          </cell>
          <cell r="I62">
            <v>0</v>
          </cell>
          <cell r="K62">
            <v>0</v>
          </cell>
          <cell r="L62">
            <v>0</v>
          </cell>
        </row>
        <row r="64">
          <cell r="A64">
            <v>37895</v>
          </cell>
          <cell r="D64">
            <v>0</v>
          </cell>
          <cell r="F64">
            <v>811520</v>
          </cell>
          <cell r="G64">
            <v>0.1867867024668175</v>
          </cell>
          <cell r="I64">
            <v>0</v>
          </cell>
          <cell r="K64">
            <v>0</v>
          </cell>
          <cell r="L64">
            <v>0</v>
          </cell>
        </row>
        <row r="65">
          <cell r="A65">
            <v>37926</v>
          </cell>
          <cell r="C65">
            <v>5</v>
          </cell>
          <cell r="D65">
            <v>0</v>
          </cell>
          <cell r="F65">
            <v>779639</v>
          </cell>
          <cell r="G65">
            <v>0.17275452659700097</v>
          </cell>
          <cell r="I65">
            <v>6.4132245821463523E-6</v>
          </cell>
          <cell r="K65">
            <v>0</v>
          </cell>
          <cell r="L65">
            <v>0</v>
          </cell>
        </row>
        <row r="66">
          <cell r="A66">
            <v>37956</v>
          </cell>
          <cell r="C66">
            <v>1026</v>
          </cell>
          <cell r="D66">
            <v>0</v>
          </cell>
          <cell r="F66">
            <v>885000</v>
          </cell>
          <cell r="G66">
            <v>0.2410549387676113</v>
          </cell>
          <cell r="I66">
            <v>1.1593220338983051E-3</v>
          </cell>
          <cell r="K66">
            <v>0</v>
          </cell>
          <cell r="L66">
            <v>0</v>
          </cell>
        </row>
        <row r="67">
          <cell r="A67" t="str">
            <v>F3Q:04A</v>
          </cell>
          <cell r="C67">
            <v>1031</v>
          </cell>
          <cell r="D67">
            <v>0</v>
          </cell>
          <cell r="F67">
            <v>2476159</v>
          </cell>
          <cell r="G67">
            <v>0.2010324529561156</v>
          </cell>
          <cell r="I67">
            <v>4.1637067732726372E-4</v>
          </cell>
          <cell r="K67">
            <v>11</v>
          </cell>
          <cell r="L67">
            <v>10669.25315227934</v>
          </cell>
        </row>
        <row r="69">
          <cell r="A69">
            <v>37987</v>
          </cell>
          <cell r="C69">
            <v>38323</v>
          </cell>
          <cell r="D69">
            <v>0</v>
          </cell>
          <cell r="F69">
            <v>911354</v>
          </cell>
          <cell r="G69">
            <v>0.26197475646147339</v>
          </cell>
          <cell r="I69">
            <v>4.2050619188591917E-2</v>
          </cell>
          <cell r="K69">
            <v>0</v>
          </cell>
          <cell r="L69">
            <v>0</v>
          </cell>
        </row>
        <row r="70">
          <cell r="A70">
            <v>38018</v>
          </cell>
          <cell r="C70">
            <v>76942</v>
          </cell>
          <cell r="D70">
            <v>0</v>
          </cell>
          <cell r="F70">
            <v>905950</v>
          </cell>
          <cell r="G70">
            <v>0.38185972587026895</v>
          </cell>
          <cell r="I70">
            <v>8.492963187813897E-2</v>
          </cell>
          <cell r="K70">
            <v>0</v>
          </cell>
          <cell r="L70">
            <v>0</v>
          </cell>
        </row>
        <row r="71">
          <cell r="A71">
            <v>38047</v>
          </cell>
          <cell r="C71">
            <v>123224</v>
          </cell>
          <cell r="D71">
            <v>0</v>
          </cell>
          <cell r="F71">
            <v>1041831</v>
          </cell>
          <cell r="G71">
            <v>0.43394260546417995</v>
          </cell>
          <cell r="I71">
            <v>0.11827638071817791</v>
          </cell>
          <cell r="K71">
            <v>0</v>
          </cell>
          <cell r="L71">
            <v>0</v>
          </cell>
        </row>
        <row r="72">
          <cell r="A72" t="str">
            <v>F4Q:04A</v>
          </cell>
          <cell r="C72">
            <v>238489</v>
          </cell>
          <cell r="D72">
            <v>0</v>
          </cell>
          <cell r="F72">
            <v>2859135</v>
          </cell>
          <cell r="G72">
            <v>0.35869975863902637</v>
          </cell>
          <cell r="I72">
            <v>8.3412990292518543E-2</v>
          </cell>
          <cell r="K72">
            <v>34.299999999999997</v>
          </cell>
          <cell r="L72">
            <v>143.82214693340154</v>
          </cell>
        </row>
        <row r="74">
          <cell r="A74" t="str">
            <v>F2004A</v>
          </cell>
          <cell r="C74">
            <v>239520</v>
          </cell>
          <cell r="D74">
            <v>0</v>
          </cell>
          <cell r="F74">
            <v>9852565</v>
          </cell>
          <cell r="G74">
            <v>0.22201735160168479</v>
          </cell>
          <cell r="I74">
            <v>2.431042068740475E-2</v>
          </cell>
          <cell r="K74">
            <v>45.3</v>
          </cell>
          <cell r="L74">
            <v>189.12825651302603</v>
          </cell>
        </row>
        <row r="76">
          <cell r="A76">
            <v>38078</v>
          </cell>
          <cell r="C76">
            <v>154359</v>
          </cell>
          <cell r="D76">
            <v>0</v>
          </cell>
          <cell r="F76">
            <v>1028626</v>
          </cell>
          <cell r="G76">
            <v>0.40531892801713765</v>
          </cell>
          <cell r="I76">
            <v>0.15006328830887028</v>
          </cell>
          <cell r="K76">
            <v>0</v>
          </cell>
          <cell r="L76">
            <v>0</v>
          </cell>
        </row>
        <row r="77">
          <cell r="A77">
            <v>38108</v>
          </cell>
          <cell r="C77">
            <v>173755</v>
          </cell>
          <cell r="D77">
            <v>0</v>
          </cell>
          <cell r="F77">
            <v>1035462</v>
          </cell>
          <cell r="G77">
            <v>0.37780527723444179</v>
          </cell>
          <cell r="I77">
            <v>0.16780432309442547</v>
          </cell>
          <cell r="K77">
            <v>0</v>
          </cell>
          <cell r="L77">
            <v>0</v>
          </cell>
        </row>
        <row r="78">
          <cell r="A78">
            <v>38139</v>
          </cell>
          <cell r="C78">
            <v>209318</v>
          </cell>
          <cell r="D78">
            <v>0</v>
          </cell>
          <cell r="F78">
            <v>1105138</v>
          </cell>
          <cell r="G78">
            <v>0.49043878163415311</v>
          </cell>
          <cell r="I78">
            <v>0.18940440017445784</v>
          </cell>
          <cell r="K78">
            <v>0</v>
          </cell>
          <cell r="L78">
            <v>0</v>
          </cell>
        </row>
        <row r="79">
          <cell r="A79" t="str">
            <v>F1Q:05A</v>
          </cell>
          <cell r="C79">
            <v>537432</v>
          </cell>
          <cell r="D79">
            <v>0</v>
          </cell>
          <cell r="F79">
            <v>3169226</v>
          </cell>
          <cell r="G79">
            <v>0.42439236177435435</v>
          </cell>
          <cell r="I79">
            <v>0.16957831344309304</v>
          </cell>
          <cell r="K79">
            <v>57.368000000000002</v>
          </cell>
          <cell r="L79">
            <v>106.74466723231963</v>
          </cell>
        </row>
        <row r="81">
          <cell r="A81">
            <v>38169</v>
          </cell>
          <cell r="C81">
            <v>229282</v>
          </cell>
          <cell r="D81">
            <v>0</v>
          </cell>
          <cell r="F81">
            <v>1134995</v>
          </cell>
          <cell r="G81">
            <v>0.47183848349393953</v>
          </cell>
          <cell r="I81">
            <v>0.20201146260556213</v>
          </cell>
          <cell r="K81">
            <v>0</v>
          </cell>
          <cell r="L81">
            <v>0</v>
          </cell>
        </row>
        <row r="82">
          <cell r="A82">
            <v>38200</v>
          </cell>
          <cell r="C82">
            <v>246909</v>
          </cell>
          <cell r="D82">
            <v>0</v>
          </cell>
          <cell r="F82">
            <v>1171199</v>
          </cell>
          <cell r="G82">
            <v>0.5582888611256358</v>
          </cell>
          <cell r="I82">
            <v>0.21081729065683971</v>
          </cell>
          <cell r="K82">
            <v>0</v>
          </cell>
          <cell r="L82">
            <v>0</v>
          </cell>
        </row>
        <row r="83">
          <cell r="A83">
            <v>38231</v>
          </cell>
          <cell r="C83">
            <v>255081</v>
          </cell>
          <cell r="D83">
            <v>0</v>
          </cell>
          <cell r="F83">
            <v>1161534</v>
          </cell>
          <cell r="G83">
            <v>0.50932858609353282</v>
          </cell>
          <cell r="I83">
            <v>0.21960700246398299</v>
          </cell>
          <cell r="K83">
            <v>0</v>
          </cell>
          <cell r="L83">
            <v>0</v>
          </cell>
        </row>
        <row r="84">
          <cell r="A84" t="str">
            <v>F2Q:05A</v>
          </cell>
          <cell r="C84">
            <v>731272</v>
          </cell>
          <cell r="D84">
            <v>0</v>
          </cell>
          <cell r="F84">
            <v>3467728</v>
          </cell>
          <cell r="G84">
            <v>0.51276968499815023</v>
          </cell>
          <cell r="I84">
            <v>0.21087928464977646</v>
          </cell>
          <cell r="K84">
            <v>80.790999999999997</v>
          </cell>
          <cell r="L84">
            <v>110.48009495782691</v>
          </cell>
        </row>
        <row r="86">
          <cell r="A86">
            <v>38261</v>
          </cell>
          <cell r="C86">
            <v>269212</v>
          </cell>
          <cell r="D86">
            <v>0</v>
          </cell>
          <cell r="F86">
            <v>1173080</v>
          </cell>
          <cell r="G86">
            <v>0.44553430599369093</v>
          </cell>
          <cell r="I86">
            <v>0.22949159477614484</v>
          </cell>
          <cell r="K86">
            <v>0</v>
          </cell>
          <cell r="L86">
            <v>0</v>
          </cell>
        </row>
        <row r="87">
          <cell r="A87">
            <v>38292</v>
          </cell>
          <cell r="C87">
            <v>281393</v>
          </cell>
          <cell r="D87">
            <v>0</v>
          </cell>
          <cell r="F87">
            <v>1191061</v>
          </cell>
          <cell r="G87">
            <v>0.52770833680716334</v>
          </cell>
          <cell r="I87">
            <v>0.23625406255431083</v>
          </cell>
          <cell r="K87">
            <v>0</v>
          </cell>
          <cell r="L87">
            <v>0</v>
          </cell>
        </row>
        <row r="88">
          <cell r="A88">
            <v>38322</v>
          </cell>
          <cell r="C88">
            <v>294580</v>
          </cell>
          <cell r="D88">
            <v>0</v>
          </cell>
          <cell r="F88">
            <v>1216701</v>
          </cell>
          <cell r="G88">
            <v>0.37480338983050854</v>
          </cell>
          <cell r="I88">
            <v>0.24211371569514614</v>
          </cell>
          <cell r="K88">
            <v>0</v>
          </cell>
          <cell r="L88">
            <v>0</v>
          </cell>
        </row>
        <row r="89">
          <cell r="A89" t="str">
            <v>F3Q:05A</v>
          </cell>
          <cell r="C89">
            <v>845185</v>
          </cell>
          <cell r="D89">
            <v>0</v>
          </cell>
          <cell r="F89">
            <v>3580842</v>
          </cell>
          <cell r="G89">
            <v>0.44612765173803459</v>
          </cell>
          <cell r="I89">
            <v>0.23602968240430602</v>
          </cell>
          <cell r="K89">
            <v>100.60299999999999</v>
          </cell>
          <cell r="L89">
            <v>119.03074474819122</v>
          </cell>
        </row>
        <row r="91">
          <cell r="A91">
            <v>38353</v>
          </cell>
          <cell r="C91">
            <v>309958</v>
          </cell>
          <cell r="D91">
            <v>7.0880411241291128</v>
          </cell>
          <cell r="F91">
            <v>1249686</v>
          </cell>
          <cell r="G91">
            <v>0.3712410325735116</v>
          </cell>
          <cell r="I91">
            <v>0.24802870481064843</v>
          </cell>
          <cell r="K91">
            <v>0</v>
          </cell>
          <cell r="L91">
            <v>0</v>
          </cell>
        </row>
        <row r="92">
          <cell r="A92">
            <v>38384</v>
          </cell>
          <cell r="C92">
            <v>294818</v>
          </cell>
          <cell r="D92">
            <v>2.831691403914637</v>
          </cell>
          <cell r="F92">
            <v>1159322</v>
          </cell>
          <cell r="G92">
            <v>0.27967547877918197</v>
          </cell>
          <cell r="I92">
            <v>0.25430208345912525</v>
          </cell>
          <cell r="K92">
            <v>0</v>
          </cell>
          <cell r="L92">
            <v>0</v>
          </cell>
        </row>
        <row r="93">
          <cell r="A93">
            <v>38412</v>
          </cell>
          <cell r="C93">
            <v>335733</v>
          </cell>
          <cell r="D93">
            <v>1.7245747581639939</v>
          </cell>
          <cell r="F93">
            <v>1289343</v>
          </cell>
          <cell r="G93">
            <v>0.2375740403193991</v>
          </cell>
          <cell r="I93">
            <v>0.2603907571530617</v>
          </cell>
          <cell r="K93">
            <v>0</v>
          </cell>
          <cell r="L93">
            <v>0</v>
          </cell>
        </row>
        <row r="94">
          <cell r="A94" t="str">
            <v>F4Q:05A</v>
          </cell>
          <cell r="C94">
            <v>940509</v>
          </cell>
          <cell r="D94">
            <v>0</v>
          </cell>
          <cell r="F94">
            <v>3698351</v>
          </cell>
          <cell r="G94">
            <v>0.29352094252282601</v>
          </cell>
          <cell r="I94">
            <v>0.25430495915612122</v>
          </cell>
          <cell r="K94">
            <v>93.944999999999993</v>
          </cell>
          <cell r="L94">
            <v>99.887401396477856</v>
          </cell>
        </row>
        <row r="96">
          <cell r="A96" t="str">
            <v>F2005A</v>
          </cell>
          <cell r="C96">
            <v>3054398</v>
          </cell>
          <cell r="D96">
            <v>0</v>
          </cell>
          <cell r="F96">
            <v>13916147</v>
          </cell>
          <cell r="G96">
            <v>0.41243899431264852</v>
          </cell>
          <cell r="I96">
            <v>0.21948589649132047</v>
          </cell>
          <cell r="K96">
            <v>332.70699999999999</v>
          </cell>
          <cell r="L96">
            <v>108.92719285436934</v>
          </cell>
        </row>
        <row r="98">
          <cell r="A98">
            <v>38443</v>
          </cell>
          <cell r="C98">
            <v>333370</v>
          </cell>
          <cell r="D98">
            <v>1.1597056213113586</v>
          </cell>
          <cell r="F98">
            <v>1260703</v>
          </cell>
          <cell r="G98">
            <v>0.22561844635465178</v>
          </cell>
          <cell r="I98">
            <v>0.26443182890815681</v>
          </cell>
          <cell r="K98">
            <v>0</v>
          </cell>
          <cell r="L98">
            <v>0</v>
          </cell>
        </row>
        <row r="99">
          <cell r="A99">
            <v>38473</v>
          </cell>
          <cell r="C99">
            <v>352780</v>
          </cell>
          <cell r="D99">
            <v>1.0303300624442464</v>
          </cell>
          <cell r="F99">
            <v>1307414</v>
          </cell>
          <cell r="G99">
            <v>0.2626383198997162</v>
          </cell>
          <cell r="I99">
            <v>0.26983036742760902</v>
          </cell>
          <cell r="K99">
            <v>0</v>
          </cell>
          <cell r="L99">
            <v>0</v>
          </cell>
        </row>
        <row r="100">
          <cell r="A100">
            <v>38504</v>
          </cell>
          <cell r="C100">
            <v>359496</v>
          </cell>
          <cell r="D100">
            <v>0.71746338107568386</v>
          </cell>
          <cell r="F100">
            <v>1317680</v>
          </cell>
          <cell r="G100">
            <v>0.19232168290294971</v>
          </cell>
          <cell r="I100">
            <v>0.27282496509015847</v>
          </cell>
          <cell r="K100">
            <v>0</v>
          </cell>
          <cell r="L100">
            <v>0</v>
          </cell>
        </row>
        <row r="101">
          <cell r="A101" t="str">
            <v>F1Q:06A</v>
          </cell>
          <cell r="C101">
            <v>1045646</v>
          </cell>
          <cell r="D101">
            <v>0.9456340523080129</v>
          </cell>
          <cell r="F101">
            <v>3885797</v>
          </cell>
          <cell r="G101">
            <v>0.22610284025184701</v>
          </cell>
          <cell r="I101">
            <v>0.26909434538139793</v>
          </cell>
          <cell r="K101">
            <v>114.70399999999999</v>
          </cell>
          <cell r="L101">
            <v>109.6967807460651</v>
          </cell>
        </row>
        <row r="103">
          <cell r="A103">
            <v>38534</v>
          </cell>
          <cell r="C103">
            <v>365480</v>
          </cell>
          <cell r="D103">
            <v>0.59401959159463025</v>
          </cell>
          <cell r="F103">
            <v>1326546</v>
          </cell>
          <cell r="G103">
            <v>0.16876814435305887</v>
          </cell>
          <cell r="I103">
            <v>0.2755124963627345</v>
          </cell>
          <cell r="K103">
            <v>0</v>
          </cell>
          <cell r="L103">
            <v>0</v>
          </cell>
        </row>
        <row r="104">
          <cell r="A104">
            <v>38565</v>
          </cell>
          <cell r="C104">
            <v>384243</v>
          </cell>
          <cell r="D104">
            <v>0.55621301775147924</v>
          </cell>
          <cell r="F104">
            <v>1385586</v>
          </cell>
          <cell r="G104">
            <v>0.18304916585482056</v>
          </cell>
          <cell r="I104">
            <v>0.27731443591375776</v>
          </cell>
          <cell r="K104">
            <v>0</v>
          </cell>
          <cell r="L104">
            <v>0</v>
          </cell>
        </row>
        <row r="105">
          <cell r="A105">
            <v>38596</v>
          </cell>
          <cell r="C105">
            <v>372192</v>
          </cell>
          <cell r="D105">
            <v>0.45911298763922059</v>
          </cell>
          <cell r="F105">
            <v>1322840</v>
          </cell>
          <cell r="G105">
            <v>0.13887324865221329</v>
          </cell>
          <cell r="I105">
            <v>0.28135828974025584</v>
          </cell>
          <cell r="K105">
            <v>0</v>
          </cell>
          <cell r="L105">
            <v>0</v>
          </cell>
        </row>
        <row r="106">
          <cell r="A106" t="str">
            <v>F2Q:06A</v>
          </cell>
          <cell r="C106">
            <v>1121915</v>
          </cell>
          <cell r="D106">
            <v>0.53419657801748177</v>
          </cell>
          <cell r="F106">
            <v>4034972</v>
          </cell>
          <cell r="G106">
            <v>0.16357799689018293</v>
          </cell>
          <cell r="I106">
            <v>0.27804777827454563</v>
          </cell>
          <cell r="K106">
            <v>123.932</v>
          </cell>
          <cell r="L106">
            <v>110.46469652335516</v>
          </cell>
        </row>
        <row r="108">
          <cell r="A108">
            <v>38626</v>
          </cell>
          <cell r="C108">
            <v>386035</v>
          </cell>
          <cell r="D108">
            <v>0.4339442521135759</v>
          </cell>
          <cell r="F108">
            <v>1354867</v>
          </cell>
          <cell r="G108">
            <v>0.15496556074607026</v>
          </cell>
          <cell r="I108">
            <v>0.28492464574013537</v>
          </cell>
          <cell r="K108">
            <v>0</v>
          </cell>
          <cell r="L108">
            <v>0</v>
          </cell>
        </row>
        <row r="109">
          <cell r="A109">
            <v>38657</v>
          </cell>
          <cell r="C109">
            <v>393489</v>
          </cell>
          <cell r="D109">
            <v>0.39836101111257216</v>
          </cell>
          <cell r="F109">
            <v>1365940</v>
          </cell>
          <cell r="G109">
            <v>0.14682623308126108</v>
          </cell>
          <cell r="I109">
            <v>0.28807195045170358</v>
          </cell>
          <cell r="K109">
            <v>0</v>
          </cell>
          <cell r="L109">
            <v>0</v>
          </cell>
        </row>
        <row r="110">
          <cell r="A110">
            <v>38687</v>
          </cell>
          <cell r="C110">
            <v>405284</v>
          </cell>
          <cell r="D110">
            <v>0.37580283793876035</v>
          </cell>
          <cell r="F110">
            <v>1402309</v>
          </cell>
          <cell r="G110">
            <v>0.15255021570624172</v>
          </cell>
          <cell r="I110">
            <v>0.28901190821709055</v>
          </cell>
          <cell r="K110">
            <v>0</v>
          </cell>
          <cell r="L110">
            <v>0</v>
          </cell>
        </row>
        <row r="111">
          <cell r="A111" t="str">
            <v>F3Q:06A</v>
          </cell>
          <cell r="C111">
            <v>1184808</v>
          </cell>
          <cell r="D111">
            <v>0.4018327348450339</v>
          </cell>
          <cell r="F111">
            <v>4123116</v>
          </cell>
          <cell r="G111">
            <v>0.15143756691861854</v>
          </cell>
          <cell r="I111">
            <v>0.28735742579156154</v>
          </cell>
          <cell r="K111">
            <v>124.02200000000001</v>
          </cell>
          <cell r="L111">
            <v>104.67687591576019</v>
          </cell>
        </row>
        <row r="112">
          <cell r="A112" t="str">
            <v>F4Q:06E</v>
          </cell>
          <cell r="C112">
            <v>1217793.01728</v>
          </cell>
          <cell r="D112">
            <v>0.29482335339693733</v>
          </cell>
          <cell r="F112">
            <v>4142153.1200000006</v>
          </cell>
          <cell r="G112">
            <v>0.12</v>
          </cell>
          <cell r="I112">
            <v>0.29399999999999998</v>
          </cell>
          <cell r="K112">
            <v>133.9572319008</v>
          </cell>
          <cell r="L112">
            <v>110</v>
          </cell>
        </row>
        <row r="113">
          <cell r="A113" t="str">
            <v>F2006E</v>
          </cell>
          <cell r="C113">
            <v>4570162.0172800003</v>
          </cell>
          <cell r="D113">
            <v>0.49625622374032474</v>
          </cell>
          <cell r="F113">
            <v>16186038.120000001</v>
          </cell>
          <cell r="G113">
            <v>0.16311203956095044</v>
          </cell>
          <cell r="I113">
            <v>0.28235211009622901</v>
          </cell>
          <cell r="K113">
            <v>496.61523190080004</v>
          </cell>
          <cell r="L113">
            <v>108.66468847779886</v>
          </cell>
        </row>
        <row r="114">
          <cell r="A114" t="str">
            <v>F4Q:06E</v>
          </cell>
          <cell r="C114">
            <v>1217793.01728</v>
          </cell>
          <cell r="D114">
            <v>0.29482335339693733</v>
          </cell>
          <cell r="F114">
            <v>4142153.1200000006</v>
          </cell>
          <cell r="G114">
            <v>0.12</v>
          </cell>
          <cell r="I114">
            <v>0.29399999999999998</v>
          </cell>
          <cell r="K114">
            <v>133.9572319008</v>
          </cell>
          <cell r="L114">
            <v>110</v>
          </cell>
        </row>
        <row r="115">
          <cell r="A115" t="str">
            <v>F1Q:07E</v>
          </cell>
          <cell r="C115">
            <v>1275260.2884449998</v>
          </cell>
          <cell r="D115">
            <v>0.21959084474573598</v>
          </cell>
          <cell r="F115">
            <v>4293805.6849999996</v>
          </cell>
          <cell r="G115">
            <v>0.105</v>
          </cell>
          <cell r="I115">
            <v>0.29699999999999999</v>
          </cell>
          <cell r="K115">
            <v>147.29256331539747</v>
          </cell>
          <cell r="L115">
            <v>115.5</v>
          </cell>
        </row>
        <row r="116">
          <cell r="A116" t="str">
            <v>F2Q:07E</v>
          </cell>
          <cell r="C116">
            <v>1331540.76</v>
          </cell>
          <cell r="D116">
            <v>0.18684638319302271</v>
          </cell>
          <cell r="F116">
            <v>4438469.2</v>
          </cell>
          <cell r="G116">
            <v>0.1</v>
          </cell>
          <cell r="I116">
            <v>0.3</v>
          </cell>
          <cell r="K116">
            <v>153.79295777999999</v>
          </cell>
          <cell r="L116">
            <v>115.5</v>
          </cell>
        </row>
        <row r="117">
          <cell r="A117" t="str">
            <v>F3Q:07E</v>
          </cell>
          <cell r="C117">
            <v>1363473.2300399998</v>
          </cell>
          <cell r="D117">
            <v>0.15079677892114152</v>
          </cell>
          <cell r="F117">
            <v>4514812.0199999996</v>
          </cell>
          <cell r="G117">
            <v>9.5000000000000001E-2</v>
          </cell>
          <cell r="I117">
            <v>0.30199999999999999</v>
          </cell>
          <cell r="K117">
            <v>157.48115806961999</v>
          </cell>
          <cell r="L117">
            <v>115.5</v>
          </cell>
        </row>
        <row r="118">
          <cell r="A118" t="str">
            <v>F4Q:07E</v>
          </cell>
          <cell r="C118">
            <v>1378839.9305856002</v>
          </cell>
          <cell r="D118">
            <v>0.1322448979591837</v>
          </cell>
          <cell r="F118">
            <v>4535657.6664000005</v>
          </cell>
          <cell r="G118">
            <v>9.5000000000000001E-2</v>
          </cell>
          <cell r="I118">
            <v>0.30399999999999999</v>
          </cell>
          <cell r="K118">
            <v>159.25601198263681</v>
          </cell>
          <cell r="L118">
            <v>115.5</v>
          </cell>
        </row>
        <row r="119">
          <cell r="A119" t="str">
            <v>F2007E</v>
          </cell>
          <cell r="C119">
            <v>5349114.2090705996</v>
          </cell>
          <cell r="D119">
            <v>0.1704430146776732</v>
          </cell>
          <cell r="F119">
            <v>17782744.571400002</v>
          </cell>
          <cell r="G119">
            <v>9.8647145123614832E-2</v>
          </cell>
          <cell r="I119">
            <v>0.30080363509655217</v>
          </cell>
          <cell r="K119">
            <v>617.82269114765427</v>
          </cell>
          <cell r="L119">
            <v>115.5</v>
          </cell>
        </row>
        <row r="120">
          <cell r="A120" t="str">
            <v>F4Q:07E</v>
          </cell>
          <cell r="C120">
            <v>1378839.9305856002</v>
          </cell>
          <cell r="D120">
            <v>0.1322448979591837</v>
          </cell>
          <cell r="F120">
            <v>4535657.6664000005</v>
          </cell>
          <cell r="G120">
            <v>9.5000000000000001E-2</v>
          </cell>
          <cell r="I120">
            <v>0.30399999999999999</v>
          </cell>
          <cell r="K120">
            <v>159.25601198263681</v>
          </cell>
          <cell r="L120">
            <v>115.5</v>
          </cell>
        </row>
        <row r="121">
          <cell r="A121" t="str">
            <v>F2008E</v>
          </cell>
          <cell r="C121">
            <v>6008789.3906760607</v>
          </cell>
          <cell r="D121">
            <v>0.12332419085141932</v>
          </cell>
          <cell r="F121">
            <v>19383191.582826003</v>
          </cell>
          <cell r="G121">
            <v>0.09</v>
          </cell>
          <cell r="I121">
            <v>0.31</v>
          </cell>
          <cell r="K121">
            <v>728.71593335423938</v>
          </cell>
          <cell r="L121">
            <v>121.27500000000001</v>
          </cell>
        </row>
        <row r="122">
          <cell r="A122" t="str">
            <v>F2007E</v>
          </cell>
          <cell r="C122">
            <v>5349114.2090705996</v>
          </cell>
          <cell r="D122">
            <v>0.1704430146776732</v>
          </cell>
          <cell r="F122">
            <v>17782744.571400002</v>
          </cell>
          <cell r="G122">
            <v>9.8647145123614832E-2</v>
          </cell>
          <cell r="I122">
            <v>0.30080363509655217</v>
          </cell>
          <cell r="K122">
            <v>617.82269114765427</v>
          </cell>
          <cell r="L122">
            <v>115.5</v>
          </cell>
        </row>
        <row r="123">
          <cell r="A123" t="str">
            <v>F2009E</v>
          </cell>
          <cell r="C123">
            <v>6698831.011024667</v>
          </cell>
          <cell r="D123">
            <v>0.11483870967741949</v>
          </cell>
          <cell r="F123">
            <v>20933846.909452084</v>
          </cell>
          <cell r="G123">
            <v>0.08</v>
          </cell>
          <cell r="I123">
            <v>0.32</v>
          </cell>
          <cell r="K123">
            <v>853.02076740511734</v>
          </cell>
          <cell r="L123">
            <v>127.33875</v>
          </cell>
        </row>
        <row r="124">
          <cell r="A124" t="str">
            <v>F2008E</v>
          </cell>
          <cell r="C124">
            <v>6008789.3906760607</v>
          </cell>
          <cell r="D124">
            <v>0.12332419085141932</v>
          </cell>
          <cell r="F124">
            <v>19383191.582826003</v>
          </cell>
          <cell r="G124">
            <v>0.09</v>
          </cell>
          <cell r="I124">
            <v>0.31</v>
          </cell>
          <cell r="K124">
            <v>728.71593335423938</v>
          </cell>
          <cell r="L124">
            <v>121.27500000000001</v>
          </cell>
        </row>
        <row r="125">
          <cell r="A125" t="str">
            <v>F2010E</v>
          </cell>
          <cell r="C125">
            <v>7391741.3437275318</v>
          </cell>
          <cell r="D125">
            <v>0.10343750000000007</v>
          </cell>
          <cell r="F125">
            <v>22399216.193113733</v>
          </cell>
          <cell r="G125">
            <v>7.0000000000000007E-2</v>
          </cell>
          <cell r="I125">
            <v>0.33</v>
          </cell>
          <cell r="K125">
            <v>988.3178581852635</v>
          </cell>
          <cell r="L125">
            <v>133.70568750000001</v>
          </cell>
        </row>
        <row r="126">
          <cell r="A126" t="str">
            <v>F2009E</v>
          </cell>
          <cell r="C126">
            <v>6698831.011024667</v>
          </cell>
          <cell r="D126">
            <v>0.11483870967741949</v>
          </cell>
          <cell r="F126">
            <v>20933846.909452084</v>
          </cell>
          <cell r="G126">
            <v>0.08</v>
          </cell>
          <cell r="I126">
            <v>0.32</v>
          </cell>
          <cell r="K126">
            <v>853.02076740511734</v>
          </cell>
          <cell r="L126">
            <v>127.33875</v>
          </cell>
        </row>
        <row r="127">
          <cell r="A127" t="str">
            <v>F2011E</v>
          </cell>
          <cell r="C127">
            <v>7953961.6701746872</v>
          </cell>
          <cell r="D127">
            <v>7.6060606060606162E-2</v>
          </cell>
          <cell r="F127">
            <v>23743169.164700557</v>
          </cell>
          <cell r="G127">
            <v>0.06</v>
          </cell>
          <cell r="I127">
            <v>0.33500000000000002</v>
          </cell>
          <cell r="K127">
            <v>1116.6644091323228</v>
          </cell>
          <cell r="L127">
            <v>140.39097187500002</v>
          </cell>
        </row>
        <row r="128">
          <cell r="A128" t="str">
            <v>F2010E</v>
          </cell>
          <cell r="C128">
            <v>7391741.3437275318</v>
          </cell>
          <cell r="D128">
            <v>0.10343750000000007</v>
          </cell>
          <cell r="F128">
            <v>22399216.193113733</v>
          </cell>
          <cell r="G128">
            <v>7.0000000000000007E-2</v>
          </cell>
          <cell r="I128">
            <v>0.33</v>
          </cell>
          <cell r="K128">
            <v>988.3178581852635</v>
          </cell>
          <cell r="L128">
            <v>133.70568750000001</v>
          </cell>
        </row>
        <row r="129">
          <cell r="A129" t="str">
            <v>F2012E</v>
          </cell>
          <cell r="C129">
            <v>8351659.7536834218</v>
          </cell>
          <cell r="D129">
            <v>5.0000000000000044E-2</v>
          </cell>
          <cell r="F129">
            <v>24930327.622935586</v>
          </cell>
          <cell r="G129">
            <v>0.05</v>
          </cell>
          <cell r="I129">
            <v>0.33500000000000002</v>
          </cell>
          <cell r="K129">
            <v>1231.1225110683858</v>
          </cell>
          <cell r="L129">
            <v>147.41052046875004</v>
          </cell>
        </row>
        <row r="130">
          <cell r="A130" t="str">
            <v>F2013E</v>
          </cell>
          <cell r="C130">
            <v>8685726.1438307595</v>
          </cell>
          <cell r="D130">
            <v>4.0000000000000036E-2</v>
          </cell>
          <cell r="F130">
            <v>25927540.727853011</v>
          </cell>
          <cell r="G130">
            <v>0.04</v>
          </cell>
          <cell r="I130">
            <v>0.33500000000000002</v>
          </cell>
          <cell r="K130">
            <v>1344.3857820866779</v>
          </cell>
          <cell r="L130">
            <v>154.78104649218756</v>
          </cell>
        </row>
        <row r="131">
          <cell r="A131" t="str">
            <v>F2014E</v>
          </cell>
          <cell r="C131">
            <v>8946297.9281456824</v>
          </cell>
          <cell r="D131">
            <v>3.0000000000000027E-2</v>
          </cell>
          <cell r="F131">
            <v>26705366.949688602</v>
          </cell>
          <cell r="G131">
            <v>0.03</v>
          </cell>
          <cell r="I131">
            <v>0.33500000000000002</v>
          </cell>
          <cell r="K131">
            <v>1453.9532233267421</v>
          </cell>
          <cell r="L131">
            <v>162.52009881679695</v>
          </cell>
        </row>
        <row r="132">
          <cell r="A132" t="str">
            <v>F2015E</v>
          </cell>
          <cell r="C132">
            <v>912522.38867085963</v>
          </cell>
          <cell r="D132">
            <v>-0.89800000000000002</v>
          </cell>
          <cell r="F132">
            <v>27239474.288682375</v>
          </cell>
          <cell r="G132">
            <v>0.02</v>
          </cell>
          <cell r="I132">
            <v>3.3500000000000002E-2</v>
          </cell>
          <cell r="K132">
            <v>155.71839021829408</v>
          </cell>
          <cell r="L132">
            <v>170.64610375763681</v>
          </cell>
        </row>
        <row r="133">
          <cell r="A133" t="str">
            <v>F2016E</v>
          </cell>
          <cell r="C133">
            <v>275118.69031569199</v>
          </cell>
          <cell r="D133">
            <v>-0.69850746268656716</v>
          </cell>
          <cell r="F133">
            <v>27511869.031569198</v>
          </cell>
          <cell r="G133">
            <v>0.01</v>
          </cell>
          <cell r="I133">
            <v>0.01</v>
          </cell>
          <cell r="K133">
            <v>49.295329201940568</v>
          </cell>
          <cell r="L133">
            <v>179.17840894551867</v>
          </cell>
        </row>
        <row r="134">
          <cell r="A134" t="str">
            <v>F2015E</v>
          </cell>
          <cell r="C134">
            <v>912522.38867085963</v>
          </cell>
          <cell r="D134">
            <v>-0.89800000000000002</v>
          </cell>
          <cell r="F134">
            <v>27239474.288682375</v>
          </cell>
          <cell r="G134">
            <v>0.02</v>
          </cell>
          <cell r="I134">
            <v>3.3500000000000002E-2</v>
          </cell>
          <cell r="K134">
            <v>155.71839021829408</v>
          </cell>
          <cell r="L134">
            <v>170.64610375763681</v>
          </cell>
        </row>
        <row r="135">
          <cell r="A135" t="str">
            <v>Source:  IMS, Company Reports, and Merrill Lynch</v>
          </cell>
          <cell r="C135">
            <v>275118.69031569199</v>
          </cell>
          <cell r="D135">
            <v>-0.69850746268656716</v>
          </cell>
          <cell r="F135">
            <v>27511869.031569198</v>
          </cell>
          <cell r="G135">
            <v>0.01</v>
          </cell>
          <cell r="I135">
            <v>0.01</v>
          </cell>
          <cell r="K135">
            <v>49.295329201940568</v>
          </cell>
          <cell r="L135">
            <v>179.17840894551867</v>
          </cell>
        </row>
        <row r="136">
          <cell r="A136" t="str">
            <v>(1)  Total ALZHEIMER-TYPE DEMENTIA Market, based on IMS data</v>
          </cell>
          <cell r="C136">
            <v>275118.69031569199</v>
          </cell>
          <cell r="D136">
            <v>-0.69850746268656716</v>
          </cell>
          <cell r="F136">
            <v>27511869.031569198</v>
          </cell>
          <cell r="G136">
            <v>0.01</v>
          </cell>
          <cell r="I136">
            <v>0.01</v>
          </cell>
          <cell r="K136">
            <v>49.295329201940568</v>
          </cell>
          <cell r="L136">
            <v>179.17840894551867</v>
          </cell>
        </row>
        <row r="137">
          <cell r="A137" t="str">
            <v>(2)  Assumes 5% price increases per year from F2007-2011</v>
          </cell>
          <cell r="C137">
            <v>274286.57023653243</v>
          </cell>
          <cell r="D137">
            <v>-0.69850746268656716</v>
          </cell>
          <cell r="F137">
            <v>27428657.023653243</v>
          </cell>
          <cell r="G137">
            <v>0.01</v>
          </cell>
          <cell r="I137">
            <v>0.01</v>
          </cell>
          <cell r="K137">
            <v>49.146231250105139</v>
          </cell>
          <cell r="L137">
            <v>179.17840894551867</v>
          </cell>
        </row>
      </sheetData>
      <sheetData sheetId="6">
        <row r="3">
          <cell r="A3" t="str">
            <v>Product</v>
          </cell>
        </row>
        <row r="6">
          <cell r="I6" t="str">
            <v>Benicar</v>
          </cell>
          <cell r="P6" t="str">
            <v>Benicar</v>
          </cell>
          <cell r="R6" t="str">
            <v>Benicar</v>
          </cell>
          <cell r="T6" t="str">
            <v>Benicar</v>
          </cell>
          <cell r="U6" t="str">
            <v>Benicar</v>
          </cell>
          <cell r="V6" t="str">
            <v>Benicar</v>
          </cell>
          <cell r="W6" t="str">
            <v>Profit</v>
          </cell>
        </row>
        <row r="7">
          <cell r="C7" t="str">
            <v>Benicar</v>
          </cell>
          <cell r="D7" t="str">
            <v>Y-O-Y</v>
          </cell>
          <cell r="F7" t="str">
            <v>Benicar HCT</v>
          </cell>
          <cell r="G7" t="str">
            <v>Y-O-Y</v>
          </cell>
          <cell r="I7" t="str">
            <v xml:space="preserve"> Franchise</v>
          </cell>
          <cell r="J7" t="str">
            <v>Y-O-Y</v>
          </cell>
          <cell r="L7" t="str">
            <v>Market (1)</v>
          </cell>
          <cell r="M7" t="str">
            <v>Y-O-Y</v>
          </cell>
          <cell r="O7" t="str">
            <v>Benicar</v>
          </cell>
          <cell r="P7" t="str">
            <v>HCT</v>
          </cell>
          <cell r="Q7" t="str">
            <v>Franchise</v>
          </cell>
          <cell r="R7" t="str">
            <v>HCT</v>
          </cell>
          <cell r="T7" t="str">
            <v>Franchise</v>
          </cell>
          <cell r="U7" t="str">
            <v>Franchise</v>
          </cell>
          <cell r="V7" t="str">
            <v xml:space="preserve">Operating </v>
          </cell>
          <cell r="W7" t="str">
            <v>Split</v>
          </cell>
        </row>
        <row r="8">
          <cell r="A8" t="str">
            <v xml:space="preserve">Date </v>
          </cell>
          <cell r="C8" t="str">
            <v>TRx</v>
          </cell>
          <cell r="D8" t="str">
            <v>Growth</v>
          </cell>
          <cell r="F8" t="str">
            <v>TRx</v>
          </cell>
          <cell r="G8" t="str">
            <v>Growth</v>
          </cell>
          <cell r="I8" t="str">
            <v>TRx</v>
          </cell>
          <cell r="J8" t="str">
            <v>Growth</v>
          </cell>
          <cell r="L8" t="str">
            <v>TRx</v>
          </cell>
          <cell r="M8" t="str">
            <v>Growth</v>
          </cell>
          <cell r="O8" t="str">
            <v>Share</v>
          </cell>
          <cell r="P8" t="str">
            <v>Share</v>
          </cell>
          <cell r="Q8" t="str">
            <v>Share</v>
          </cell>
          <cell r="R8" t="str">
            <v>Franchise</v>
          </cell>
          <cell r="T8" t="str">
            <v>Sales</v>
          </cell>
          <cell r="U8" t="str">
            <v>Sales / TRx (2)</v>
          </cell>
          <cell r="V8" t="str">
            <v>Margin</v>
          </cell>
          <cell r="W8" t="str">
            <v>to FRX (3)</v>
          </cell>
        </row>
        <row r="12">
          <cell r="A12">
            <v>36982</v>
          </cell>
          <cell r="C12">
            <v>0</v>
          </cell>
          <cell r="D12">
            <v>0</v>
          </cell>
          <cell r="F12">
            <v>0</v>
          </cell>
          <cell r="G12">
            <v>0</v>
          </cell>
          <cell r="I12">
            <v>0</v>
          </cell>
          <cell r="J12">
            <v>0</v>
          </cell>
          <cell r="L12">
            <v>3036802</v>
          </cell>
          <cell r="M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0</v>
          </cell>
          <cell r="U12">
            <v>0</v>
          </cell>
        </row>
        <row r="13">
          <cell r="A13">
            <v>37012</v>
          </cell>
          <cell r="C13">
            <v>0</v>
          </cell>
          <cell r="D13">
            <v>0</v>
          </cell>
          <cell r="F13">
            <v>0</v>
          </cell>
          <cell r="G13">
            <v>0</v>
          </cell>
          <cell r="I13">
            <v>0</v>
          </cell>
          <cell r="J13">
            <v>0</v>
          </cell>
          <cell r="L13">
            <v>3205343</v>
          </cell>
          <cell r="M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T13">
            <v>0</v>
          </cell>
          <cell r="U13">
            <v>0</v>
          </cell>
        </row>
        <row r="14">
          <cell r="A14">
            <v>37043</v>
          </cell>
          <cell r="C14">
            <v>0</v>
          </cell>
          <cell r="D14">
            <v>0</v>
          </cell>
          <cell r="F14">
            <v>0</v>
          </cell>
          <cell r="G14">
            <v>0</v>
          </cell>
          <cell r="I14">
            <v>0</v>
          </cell>
          <cell r="J14">
            <v>0</v>
          </cell>
          <cell r="L14">
            <v>3151505</v>
          </cell>
          <cell r="M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T14">
            <v>0</v>
          </cell>
          <cell r="U14">
            <v>0</v>
          </cell>
        </row>
        <row r="15">
          <cell r="A15" t="str">
            <v>F1Q:02A</v>
          </cell>
          <cell r="C15">
            <v>0</v>
          </cell>
          <cell r="D15">
            <v>0</v>
          </cell>
          <cell r="F15">
            <v>0</v>
          </cell>
          <cell r="G15">
            <v>0</v>
          </cell>
          <cell r="I15">
            <v>0</v>
          </cell>
          <cell r="J15">
            <v>0</v>
          </cell>
          <cell r="L15">
            <v>9393650</v>
          </cell>
          <cell r="M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U15">
            <v>0</v>
          </cell>
        </row>
        <row r="17">
          <cell r="A17">
            <v>37073</v>
          </cell>
          <cell r="C17">
            <v>0</v>
          </cell>
          <cell r="D17">
            <v>0</v>
          </cell>
          <cell r="F17">
            <v>0</v>
          </cell>
          <cell r="G17">
            <v>0</v>
          </cell>
          <cell r="I17">
            <v>0</v>
          </cell>
          <cell r="J17">
            <v>0</v>
          </cell>
          <cell r="L17">
            <v>3279958</v>
          </cell>
          <cell r="M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T17">
            <v>0</v>
          </cell>
          <cell r="U17">
            <v>0</v>
          </cell>
        </row>
        <row r="18">
          <cell r="A18">
            <v>37104</v>
          </cell>
          <cell r="C18">
            <v>0</v>
          </cell>
          <cell r="D18">
            <v>0</v>
          </cell>
          <cell r="F18">
            <v>0</v>
          </cell>
          <cell r="G18">
            <v>0</v>
          </cell>
          <cell r="I18">
            <v>0</v>
          </cell>
          <cell r="J18">
            <v>0</v>
          </cell>
          <cell r="L18">
            <v>3362556</v>
          </cell>
          <cell r="M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T18">
            <v>0</v>
          </cell>
          <cell r="U18">
            <v>0</v>
          </cell>
        </row>
        <row r="19">
          <cell r="A19">
            <v>37135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I19">
            <v>0</v>
          </cell>
          <cell r="J19">
            <v>0</v>
          </cell>
          <cell r="L19">
            <v>3177438</v>
          </cell>
          <cell r="M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T19">
            <v>0</v>
          </cell>
          <cell r="U19">
            <v>0</v>
          </cell>
        </row>
        <row r="20">
          <cell r="A20" t="str">
            <v>F2Q:02A</v>
          </cell>
          <cell r="C20">
            <v>0</v>
          </cell>
          <cell r="D20">
            <v>0</v>
          </cell>
          <cell r="F20">
            <v>0</v>
          </cell>
          <cell r="G20">
            <v>0</v>
          </cell>
          <cell r="I20">
            <v>0</v>
          </cell>
          <cell r="J20">
            <v>0</v>
          </cell>
          <cell r="L20">
            <v>9819952</v>
          </cell>
          <cell r="M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U20">
            <v>0</v>
          </cell>
        </row>
        <row r="22">
          <cell r="A22">
            <v>37165</v>
          </cell>
          <cell r="C22">
            <v>0</v>
          </cell>
          <cell r="D22">
            <v>0</v>
          </cell>
          <cell r="F22">
            <v>0</v>
          </cell>
          <cell r="G22">
            <v>0</v>
          </cell>
          <cell r="I22">
            <v>0</v>
          </cell>
          <cell r="J22">
            <v>0</v>
          </cell>
          <cell r="L22">
            <v>3518479</v>
          </cell>
          <cell r="M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T22">
            <v>0</v>
          </cell>
          <cell r="U22">
            <v>0</v>
          </cell>
        </row>
        <row r="23">
          <cell r="A23">
            <v>37196</v>
          </cell>
          <cell r="C23">
            <v>0</v>
          </cell>
          <cell r="D23">
            <v>0</v>
          </cell>
          <cell r="F23">
            <v>0</v>
          </cell>
          <cell r="G23">
            <v>0</v>
          </cell>
          <cell r="I23">
            <v>0</v>
          </cell>
          <cell r="J23">
            <v>0</v>
          </cell>
          <cell r="L23">
            <v>3415677</v>
          </cell>
          <cell r="M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T23">
            <v>0</v>
          </cell>
          <cell r="U23">
            <v>0</v>
          </cell>
        </row>
        <row r="24">
          <cell r="A24">
            <v>37226</v>
          </cell>
          <cell r="C24">
            <v>0</v>
          </cell>
          <cell r="D24">
            <v>0</v>
          </cell>
          <cell r="F24">
            <v>0</v>
          </cell>
          <cell r="G24">
            <v>0</v>
          </cell>
          <cell r="I24">
            <v>0</v>
          </cell>
          <cell r="J24">
            <v>0</v>
          </cell>
          <cell r="L24">
            <v>3603666</v>
          </cell>
          <cell r="M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T24">
            <v>0</v>
          </cell>
          <cell r="U24">
            <v>0</v>
          </cell>
        </row>
        <row r="25">
          <cell r="A25" t="str">
            <v>F3Q:02A</v>
          </cell>
          <cell r="C25">
            <v>0</v>
          </cell>
          <cell r="D25">
            <v>0</v>
          </cell>
          <cell r="F25">
            <v>0</v>
          </cell>
          <cell r="G25">
            <v>0</v>
          </cell>
          <cell r="I25">
            <v>0</v>
          </cell>
          <cell r="J25">
            <v>0</v>
          </cell>
          <cell r="L25">
            <v>10537822</v>
          </cell>
          <cell r="M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U25">
            <v>0</v>
          </cell>
        </row>
        <row r="27">
          <cell r="A27">
            <v>37257</v>
          </cell>
          <cell r="C27">
            <v>0</v>
          </cell>
          <cell r="D27">
            <v>0</v>
          </cell>
          <cell r="F27">
            <v>0</v>
          </cell>
          <cell r="G27">
            <v>0</v>
          </cell>
          <cell r="I27">
            <v>0</v>
          </cell>
          <cell r="J27">
            <v>0</v>
          </cell>
          <cell r="L27">
            <v>3693859</v>
          </cell>
          <cell r="M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T27">
            <v>0</v>
          </cell>
          <cell r="U27">
            <v>0</v>
          </cell>
        </row>
        <row r="28">
          <cell r="A28">
            <v>37288</v>
          </cell>
          <cell r="C28">
            <v>0</v>
          </cell>
          <cell r="D28">
            <v>0</v>
          </cell>
          <cell r="F28">
            <v>0</v>
          </cell>
          <cell r="G28">
            <v>0</v>
          </cell>
          <cell r="I28">
            <v>0</v>
          </cell>
          <cell r="J28">
            <v>0</v>
          </cell>
          <cell r="L28">
            <v>3397102</v>
          </cell>
          <cell r="M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T28">
            <v>0</v>
          </cell>
          <cell r="U28">
            <v>0</v>
          </cell>
        </row>
        <row r="29">
          <cell r="A29">
            <v>37316</v>
          </cell>
          <cell r="C29">
            <v>0</v>
          </cell>
          <cell r="D29">
            <v>0</v>
          </cell>
          <cell r="F29">
            <v>0</v>
          </cell>
          <cell r="G29">
            <v>0</v>
          </cell>
          <cell r="I29">
            <v>0</v>
          </cell>
          <cell r="J29">
            <v>0</v>
          </cell>
          <cell r="L29">
            <v>3734110</v>
          </cell>
          <cell r="M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T29">
            <v>0</v>
          </cell>
          <cell r="U29">
            <v>0</v>
          </cell>
        </row>
        <row r="30">
          <cell r="A30" t="str">
            <v>F4Q:02A</v>
          </cell>
          <cell r="C30">
            <v>0</v>
          </cell>
          <cell r="D30">
            <v>0</v>
          </cell>
          <cell r="F30">
            <v>0</v>
          </cell>
          <cell r="G30">
            <v>0</v>
          </cell>
          <cell r="I30">
            <v>0</v>
          </cell>
          <cell r="J30">
            <v>0</v>
          </cell>
          <cell r="L30">
            <v>10825071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T30">
            <v>0</v>
          </cell>
          <cell r="U30">
            <v>0</v>
          </cell>
        </row>
        <row r="32">
          <cell r="A32" t="str">
            <v>F2002</v>
          </cell>
          <cell r="C32">
            <v>0</v>
          </cell>
          <cell r="D32">
            <v>0</v>
          </cell>
          <cell r="F32">
            <v>0</v>
          </cell>
          <cell r="G32">
            <v>0</v>
          </cell>
          <cell r="I32">
            <v>0</v>
          </cell>
          <cell r="J32">
            <v>0</v>
          </cell>
          <cell r="L32">
            <v>40576495</v>
          </cell>
          <cell r="M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T32">
            <v>0</v>
          </cell>
          <cell r="U32">
            <v>0</v>
          </cell>
        </row>
        <row r="34">
          <cell r="A34">
            <v>37347</v>
          </cell>
          <cell r="C34">
            <v>0</v>
          </cell>
          <cell r="D34">
            <v>0</v>
          </cell>
          <cell r="F34">
            <v>0</v>
          </cell>
          <cell r="G34">
            <v>0</v>
          </cell>
          <cell r="I34">
            <v>0</v>
          </cell>
          <cell r="J34">
            <v>0</v>
          </cell>
          <cell r="L34">
            <v>3872498</v>
          </cell>
          <cell r="M34">
            <v>0.27518949210386445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T34">
            <v>0</v>
          </cell>
          <cell r="U34">
            <v>0</v>
          </cell>
        </row>
        <row r="35">
          <cell r="A35">
            <v>37377</v>
          </cell>
          <cell r="C35">
            <v>2763</v>
          </cell>
          <cell r="D35">
            <v>0</v>
          </cell>
          <cell r="F35">
            <v>0</v>
          </cell>
          <cell r="G35">
            <v>0</v>
          </cell>
          <cell r="I35">
            <v>2763</v>
          </cell>
          <cell r="J35">
            <v>0</v>
          </cell>
          <cell r="L35">
            <v>3975746</v>
          </cell>
          <cell r="M35">
            <v>0.24034962872928101</v>
          </cell>
          <cell r="O35">
            <v>6.9496391369066332E-4</v>
          </cell>
          <cell r="P35">
            <v>0</v>
          </cell>
          <cell r="Q35">
            <v>6.9496391369066332E-4</v>
          </cell>
          <cell r="R35">
            <v>0</v>
          </cell>
          <cell r="T35">
            <v>0</v>
          </cell>
          <cell r="U35">
            <v>0</v>
          </cell>
        </row>
        <row r="36">
          <cell r="A36">
            <v>37408</v>
          </cell>
          <cell r="C36">
            <v>12482</v>
          </cell>
          <cell r="D36">
            <v>0</v>
          </cell>
          <cell r="F36">
            <v>0</v>
          </cell>
          <cell r="G36">
            <v>0</v>
          </cell>
          <cell r="I36">
            <v>12482</v>
          </cell>
          <cell r="J36">
            <v>0</v>
          </cell>
          <cell r="L36">
            <v>3824909</v>
          </cell>
          <cell r="M36">
            <v>0.21367695751712268</v>
          </cell>
          <cell r="O36">
            <v>3.2633456116210871E-3</v>
          </cell>
          <cell r="P36">
            <v>0</v>
          </cell>
          <cell r="Q36">
            <v>3.2633456116210871E-3</v>
          </cell>
          <cell r="R36">
            <v>0</v>
          </cell>
          <cell r="T36">
            <v>0</v>
          </cell>
          <cell r="U36">
            <v>0</v>
          </cell>
        </row>
        <row r="37">
          <cell r="A37" t="str">
            <v>F1Q:03A</v>
          </cell>
          <cell r="C37">
            <v>15245</v>
          </cell>
          <cell r="D37">
            <v>0</v>
          </cell>
          <cell r="F37">
            <v>0</v>
          </cell>
          <cell r="G37">
            <v>0</v>
          </cell>
          <cell r="I37">
            <v>15245</v>
          </cell>
          <cell r="J37">
            <v>0</v>
          </cell>
          <cell r="L37">
            <v>11673153</v>
          </cell>
          <cell r="M37">
            <v>0.24266424659211272</v>
          </cell>
          <cell r="O37">
            <v>1.3059881935925967E-3</v>
          </cell>
          <cell r="P37">
            <v>0</v>
          </cell>
          <cell r="Q37">
            <v>1.3059881935925967E-3</v>
          </cell>
          <cell r="R37">
            <v>0</v>
          </cell>
          <cell r="T37">
            <v>3</v>
          </cell>
          <cell r="U37">
            <v>196.78583142013775</v>
          </cell>
        </row>
        <row r="38">
          <cell r="I38">
            <v>0</v>
          </cell>
        </row>
        <row r="39">
          <cell r="A39">
            <v>37438</v>
          </cell>
          <cell r="C39">
            <v>25192</v>
          </cell>
          <cell r="D39">
            <v>0</v>
          </cell>
          <cell r="F39">
            <v>0</v>
          </cell>
          <cell r="G39">
            <v>0</v>
          </cell>
          <cell r="I39">
            <v>25192</v>
          </cell>
          <cell r="J39">
            <v>0</v>
          </cell>
          <cell r="L39">
            <v>4160274</v>
          </cell>
          <cell r="M39">
            <v>0.26839246112297777</v>
          </cell>
          <cell r="O39">
            <v>6.0553703914694081E-3</v>
          </cell>
          <cell r="P39">
            <v>0</v>
          </cell>
          <cell r="Q39">
            <v>6.0553703914694081E-3</v>
          </cell>
          <cell r="R39">
            <v>0</v>
          </cell>
          <cell r="T39">
            <v>0</v>
          </cell>
          <cell r="U39">
            <v>0</v>
          </cell>
        </row>
        <row r="40">
          <cell r="A40">
            <v>37469</v>
          </cell>
          <cell r="C40">
            <v>39505</v>
          </cell>
          <cell r="D40">
            <v>0</v>
          </cell>
          <cell r="F40">
            <v>0</v>
          </cell>
          <cell r="G40">
            <v>0</v>
          </cell>
          <cell r="I40">
            <v>39505</v>
          </cell>
          <cell r="J40">
            <v>0</v>
          </cell>
          <cell r="L40">
            <v>4138859</v>
          </cell>
          <cell r="M40">
            <v>0.23086693574768713</v>
          </cell>
          <cell r="O40">
            <v>9.5449011430444961E-3</v>
          </cell>
          <cell r="P40">
            <v>0</v>
          </cell>
          <cell r="Q40">
            <v>9.5449011430444961E-3</v>
          </cell>
          <cell r="R40">
            <v>0</v>
          </cell>
          <cell r="T40">
            <v>0</v>
          </cell>
          <cell r="U40">
            <v>0</v>
          </cell>
        </row>
        <row r="41">
          <cell r="A41">
            <v>37500</v>
          </cell>
          <cell r="C41">
            <v>51816</v>
          </cell>
          <cell r="D41">
            <v>0</v>
          </cell>
          <cell r="F41">
            <v>0</v>
          </cell>
          <cell r="G41">
            <v>0</v>
          </cell>
          <cell r="I41">
            <v>51816</v>
          </cell>
          <cell r="J41">
            <v>0</v>
          </cell>
          <cell r="L41">
            <v>4018200</v>
          </cell>
          <cell r="M41">
            <v>0.26460374679222687</v>
          </cell>
          <cell r="O41">
            <v>1.2895326265492011E-2</v>
          </cell>
          <cell r="P41">
            <v>0</v>
          </cell>
          <cell r="Q41">
            <v>1.2895326265492011E-2</v>
          </cell>
          <cell r="R41">
            <v>0</v>
          </cell>
          <cell r="T41">
            <v>0</v>
          </cell>
          <cell r="U41">
            <v>0</v>
          </cell>
        </row>
        <row r="42">
          <cell r="A42" t="str">
            <v>F2Q:03A</v>
          </cell>
          <cell r="C42">
            <v>116513</v>
          </cell>
          <cell r="D42">
            <v>0</v>
          </cell>
          <cell r="F42">
            <v>0</v>
          </cell>
          <cell r="G42">
            <v>0</v>
          </cell>
          <cell r="I42">
            <v>116513</v>
          </cell>
          <cell r="J42">
            <v>0</v>
          </cell>
          <cell r="L42">
            <v>12317333</v>
          </cell>
          <cell r="M42">
            <v>0.25431702721153826</v>
          </cell>
          <cell r="O42">
            <v>9.4592717433230073E-3</v>
          </cell>
          <cell r="P42">
            <v>0</v>
          </cell>
          <cell r="Q42">
            <v>9.4592717433230073E-3</v>
          </cell>
          <cell r="R42">
            <v>0</v>
          </cell>
          <cell r="T42">
            <v>5.2</v>
          </cell>
          <cell r="U42">
            <v>44.630212937612114</v>
          </cell>
        </row>
        <row r="43">
          <cell r="I43">
            <v>0</v>
          </cell>
        </row>
        <row r="44">
          <cell r="A44" t="str">
            <v>Oct-02</v>
          </cell>
          <cell r="C44">
            <v>70581</v>
          </cell>
          <cell r="D44">
            <v>0</v>
          </cell>
          <cell r="F44">
            <v>0</v>
          </cell>
          <cell r="G44">
            <v>0</v>
          </cell>
          <cell r="I44">
            <v>70581</v>
          </cell>
          <cell r="J44">
            <v>0</v>
          </cell>
          <cell r="L44">
            <v>4311439</v>
          </cell>
          <cell r="M44">
            <v>0.22537011020955355</v>
          </cell>
          <cell r="O44">
            <v>1.6370636346704662E-2</v>
          </cell>
          <cell r="P44">
            <v>0</v>
          </cell>
          <cell r="Q44">
            <v>1.6370636346704662E-2</v>
          </cell>
          <cell r="R44">
            <v>0</v>
          </cell>
          <cell r="T44">
            <v>0</v>
          </cell>
          <cell r="U44">
            <v>0</v>
          </cell>
        </row>
        <row r="45">
          <cell r="A45" t="str">
            <v>Nov-02</v>
          </cell>
          <cell r="C45">
            <v>84871</v>
          </cell>
          <cell r="D45">
            <v>0</v>
          </cell>
          <cell r="F45">
            <v>0</v>
          </cell>
          <cell r="G45">
            <v>0</v>
          </cell>
          <cell r="I45">
            <v>84871</v>
          </cell>
          <cell r="J45">
            <v>0</v>
          </cell>
          <cell r="L45">
            <v>4190191</v>
          </cell>
          <cell r="M45">
            <v>0.22675270524701263</v>
          </cell>
          <cell r="O45">
            <v>2.0254685287615766E-2</v>
          </cell>
          <cell r="P45">
            <v>0</v>
          </cell>
          <cell r="Q45">
            <v>2.0254685287615766E-2</v>
          </cell>
          <cell r="R45">
            <v>0</v>
          </cell>
          <cell r="T45">
            <v>0</v>
          </cell>
          <cell r="U45">
            <v>0</v>
          </cell>
        </row>
        <row r="46">
          <cell r="A46" t="str">
            <v>Dec-02</v>
          </cell>
          <cell r="C46">
            <v>106415</v>
          </cell>
          <cell r="D46">
            <v>0</v>
          </cell>
          <cell r="F46">
            <v>0</v>
          </cell>
          <cell r="G46">
            <v>0</v>
          </cell>
          <cell r="I46">
            <v>106415</v>
          </cell>
          <cell r="J46">
            <v>0</v>
          </cell>
          <cell r="L46">
            <v>4562736</v>
          </cell>
          <cell r="M46">
            <v>0.26613731683235908</v>
          </cell>
          <cell r="O46">
            <v>2.3322629229479856E-2</v>
          </cell>
          <cell r="P46">
            <v>0</v>
          </cell>
          <cell r="Q46">
            <v>2.3322629229479856E-2</v>
          </cell>
          <cell r="R46">
            <v>0</v>
          </cell>
          <cell r="T46">
            <v>0</v>
          </cell>
          <cell r="U46">
            <v>0</v>
          </cell>
        </row>
        <row r="47">
          <cell r="A47" t="str">
            <v>F3Q:03A</v>
          </cell>
          <cell r="C47">
            <v>261867</v>
          </cell>
          <cell r="D47">
            <v>0</v>
          </cell>
          <cell r="F47">
            <v>0</v>
          </cell>
          <cell r="G47">
            <v>0</v>
          </cell>
          <cell r="I47">
            <v>261867</v>
          </cell>
          <cell r="J47">
            <v>0</v>
          </cell>
          <cell r="L47">
            <v>13064366</v>
          </cell>
          <cell r="M47">
            <v>0.23975960117754891</v>
          </cell>
          <cell r="O47">
            <v>2.0044371077785176E-2</v>
          </cell>
          <cell r="P47">
            <v>0</v>
          </cell>
          <cell r="Q47">
            <v>2.0044371077785176E-2</v>
          </cell>
          <cell r="R47">
            <v>0</v>
          </cell>
          <cell r="T47">
            <v>10.8</v>
          </cell>
          <cell r="U47">
            <v>41.242310027609435</v>
          </cell>
        </row>
        <row r="48">
          <cell r="I48">
            <v>0</v>
          </cell>
        </row>
        <row r="49">
          <cell r="A49">
            <v>37622</v>
          </cell>
          <cell r="C49">
            <v>117227</v>
          </cell>
          <cell r="D49">
            <v>0</v>
          </cell>
          <cell r="F49">
            <v>0</v>
          </cell>
          <cell r="G49">
            <v>0</v>
          </cell>
          <cell r="I49">
            <v>117227</v>
          </cell>
          <cell r="J49">
            <v>0</v>
          </cell>
          <cell r="L49">
            <v>4529309</v>
          </cell>
          <cell r="M49">
            <v>0.22617268282303149</v>
          </cell>
          <cell r="O49">
            <v>2.5881872930285835E-2</v>
          </cell>
          <cell r="P49">
            <v>0</v>
          </cell>
          <cell r="Q49">
            <v>2.5881872930285835E-2</v>
          </cell>
          <cell r="R49">
            <v>0</v>
          </cell>
          <cell r="T49">
            <v>0</v>
          </cell>
          <cell r="U49">
            <v>0</v>
          </cell>
        </row>
        <row r="50">
          <cell r="A50" t="str">
            <v>Feb-03</v>
          </cell>
          <cell r="C50">
            <v>120900</v>
          </cell>
          <cell r="D50">
            <v>0</v>
          </cell>
          <cell r="F50">
            <v>0</v>
          </cell>
          <cell r="G50">
            <v>0</v>
          </cell>
          <cell r="I50">
            <v>120900</v>
          </cell>
          <cell r="J50">
            <v>0</v>
          </cell>
          <cell r="L50">
            <v>4183698</v>
          </cell>
          <cell r="M50">
            <v>0.23154912628469804</v>
          </cell>
          <cell r="O50">
            <v>2.8897879340239185E-2</v>
          </cell>
          <cell r="P50">
            <v>0</v>
          </cell>
          <cell r="Q50">
            <v>2.8897879340239185E-2</v>
          </cell>
          <cell r="R50">
            <v>0</v>
          </cell>
          <cell r="T50">
            <v>0</v>
          </cell>
          <cell r="U50">
            <v>0</v>
          </cell>
        </row>
        <row r="51">
          <cell r="A51" t="str">
            <v>Mar-03</v>
          </cell>
          <cell r="C51">
            <v>145529</v>
          </cell>
          <cell r="D51">
            <v>0</v>
          </cell>
          <cell r="F51">
            <v>0</v>
          </cell>
          <cell r="G51">
            <v>0</v>
          </cell>
          <cell r="I51">
            <v>145529</v>
          </cell>
          <cell r="J51">
            <v>0</v>
          </cell>
          <cell r="L51">
            <v>4616678</v>
          </cell>
          <cell r="M51">
            <v>0.23635297299758173</v>
          </cell>
          <cell r="O51">
            <v>3.1522449692181258E-2</v>
          </cell>
          <cell r="P51">
            <v>0</v>
          </cell>
          <cell r="Q51">
            <v>3.1522449692181258E-2</v>
          </cell>
          <cell r="R51">
            <v>0</v>
          </cell>
          <cell r="T51">
            <v>0</v>
          </cell>
          <cell r="U51">
            <v>0</v>
          </cell>
        </row>
        <row r="52">
          <cell r="A52" t="str">
            <v>F4Q:03A</v>
          </cell>
          <cell r="C52">
            <v>383656</v>
          </cell>
          <cell r="D52">
            <v>0</v>
          </cell>
          <cell r="F52">
            <v>0</v>
          </cell>
          <cell r="G52">
            <v>0</v>
          </cell>
          <cell r="I52">
            <v>383656</v>
          </cell>
          <cell r="J52">
            <v>0</v>
          </cell>
          <cell r="L52">
            <v>13329685</v>
          </cell>
          <cell r="M52">
            <v>0.23137160024169812</v>
          </cell>
          <cell r="O52">
            <v>2.8782075495407431E-2</v>
          </cell>
          <cell r="P52">
            <v>0</v>
          </cell>
          <cell r="Q52">
            <v>2.8782075495407431E-2</v>
          </cell>
          <cell r="R52">
            <v>0</v>
          </cell>
          <cell r="T52">
            <v>15.9</v>
          </cell>
          <cell r="U52">
            <v>41.443376357987368</v>
          </cell>
        </row>
        <row r="54">
          <cell r="A54" t="str">
            <v>F2003A</v>
          </cell>
          <cell r="C54">
            <v>777281</v>
          </cell>
          <cell r="D54">
            <v>0</v>
          </cell>
          <cell r="F54">
            <v>0</v>
          </cell>
          <cell r="G54">
            <v>0</v>
          </cell>
          <cell r="I54">
            <v>777281</v>
          </cell>
          <cell r="J54">
            <v>0</v>
          </cell>
          <cell r="L54">
            <v>50384537</v>
          </cell>
          <cell r="M54">
            <v>0.24171732920746347</v>
          </cell>
          <cell r="O54">
            <v>1.5426975145172019E-2</v>
          </cell>
          <cell r="P54">
            <v>0</v>
          </cell>
          <cell r="Q54">
            <v>1.5426975145172019E-2</v>
          </cell>
          <cell r="R54">
            <v>0</v>
          </cell>
          <cell r="T54">
            <v>34.9</v>
          </cell>
          <cell r="U54">
            <v>44.900106911142814</v>
          </cell>
        </row>
        <row r="55">
          <cell r="I55">
            <v>0</v>
          </cell>
        </row>
        <row r="56">
          <cell r="A56" t="str">
            <v>Apr-03</v>
          </cell>
          <cell r="C56">
            <v>160697</v>
          </cell>
          <cell r="D56">
            <v>0</v>
          </cell>
          <cell r="F56">
            <v>0</v>
          </cell>
          <cell r="G56">
            <v>0</v>
          </cell>
          <cell r="I56">
            <v>160697</v>
          </cell>
          <cell r="J56">
            <v>0</v>
          </cell>
          <cell r="L56">
            <v>4569913</v>
          </cell>
          <cell r="M56">
            <v>0.18009434736957908</v>
          </cell>
          <cell r="O56">
            <v>3.5164126756898874E-2</v>
          </cell>
          <cell r="P56">
            <v>0</v>
          </cell>
          <cell r="Q56">
            <v>3.5164126756898874E-2</v>
          </cell>
          <cell r="R56">
            <v>0</v>
          </cell>
          <cell r="T56">
            <v>0</v>
          </cell>
          <cell r="U56">
            <v>0</v>
          </cell>
        </row>
        <row r="57">
          <cell r="A57">
            <v>37744</v>
          </cell>
          <cell r="C57">
            <v>183200</v>
          </cell>
          <cell r="D57">
            <v>0</v>
          </cell>
          <cell r="F57">
            <v>0</v>
          </cell>
          <cell r="G57">
            <v>0</v>
          </cell>
          <cell r="I57">
            <v>183200</v>
          </cell>
          <cell r="J57">
            <v>0</v>
          </cell>
          <cell r="L57">
            <v>4761928</v>
          </cell>
          <cell r="M57">
            <v>0.19774452392079378</v>
          </cell>
          <cell r="O57">
            <v>3.8471812257556186E-2</v>
          </cell>
          <cell r="P57">
            <v>0</v>
          </cell>
          <cell r="Q57">
            <v>3.8471812257556186E-2</v>
          </cell>
          <cell r="R57">
            <v>0</v>
          </cell>
          <cell r="T57">
            <v>0</v>
          </cell>
          <cell r="U57">
            <v>0</v>
          </cell>
        </row>
        <row r="58">
          <cell r="A58">
            <v>37775</v>
          </cell>
          <cell r="C58">
            <v>195272</v>
          </cell>
          <cell r="D58">
            <v>0</v>
          </cell>
          <cell r="F58">
            <v>0</v>
          </cell>
          <cell r="G58">
            <v>0</v>
          </cell>
          <cell r="I58">
            <v>195272</v>
          </cell>
          <cell r="J58">
            <v>0</v>
          </cell>
          <cell r="L58">
            <v>4719979</v>
          </cell>
          <cell r="M58">
            <v>0.23401079607384134</v>
          </cell>
          <cell r="O58">
            <v>4.1371370508216244E-2</v>
          </cell>
          <cell r="P58">
            <v>0</v>
          </cell>
          <cell r="Q58">
            <v>4.1371370508216244E-2</v>
          </cell>
          <cell r="R58">
            <v>0</v>
          </cell>
          <cell r="T58">
            <v>0</v>
          </cell>
          <cell r="U58">
            <v>0</v>
          </cell>
        </row>
        <row r="59">
          <cell r="A59" t="str">
            <v>F1Q:04A</v>
          </cell>
          <cell r="C59">
            <v>539169</v>
          </cell>
          <cell r="D59">
            <v>0</v>
          </cell>
          <cell r="F59">
            <v>0</v>
          </cell>
          <cell r="G59">
            <v>0</v>
          </cell>
          <cell r="I59">
            <v>539169</v>
          </cell>
          <cell r="J59">
            <v>0</v>
          </cell>
          <cell r="L59">
            <v>14051820</v>
          </cell>
          <cell r="M59">
            <v>0.20377245119634768</v>
          </cell>
          <cell r="O59">
            <v>3.8370047438694772E-2</v>
          </cell>
          <cell r="P59">
            <v>0</v>
          </cell>
          <cell r="Q59">
            <v>3.8370047438694772E-2</v>
          </cell>
          <cell r="R59">
            <v>0</v>
          </cell>
          <cell r="T59">
            <v>22.4</v>
          </cell>
          <cell r="U59">
            <v>41.545415259408458</v>
          </cell>
        </row>
        <row r="60">
          <cell r="I60">
            <v>0</v>
          </cell>
        </row>
        <row r="61">
          <cell r="A61">
            <v>37803</v>
          </cell>
          <cell r="C61">
            <v>217663</v>
          </cell>
          <cell r="D61">
            <v>0</v>
          </cell>
          <cell r="F61">
            <v>47</v>
          </cell>
          <cell r="G61">
            <v>0</v>
          </cell>
          <cell r="I61">
            <v>217710</v>
          </cell>
          <cell r="J61">
            <v>0</v>
          </cell>
          <cell r="L61">
            <v>4914807</v>
          </cell>
          <cell r="M61">
            <v>0.18136617924684773</v>
          </cell>
          <cell r="O61">
            <v>4.4287191745270973E-2</v>
          </cell>
          <cell r="P61">
            <v>9.5629390940478431E-6</v>
          </cell>
          <cell r="Q61">
            <v>4.4296754684365024E-2</v>
          </cell>
          <cell r="R61">
            <v>2.1588351476735105E-4</v>
          </cell>
          <cell r="T61">
            <v>0</v>
          </cell>
          <cell r="U61">
            <v>0</v>
          </cell>
        </row>
        <row r="62">
          <cell r="A62">
            <v>37834</v>
          </cell>
          <cell r="C62">
            <v>224918</v>
          </cell>
          <cell r="D62">
            <v>0</v>
          </cell>
          <cell r="F62">
            <v>3318</v>
          </cell>
          <cell r="G62">
            <v>0</v>
          </cell>
          <cell r="I62">
            <v>228236</v>
          </cell>
          <cell r="J62">
            <v>0</v>
          </cell>
          <cell r="L62">
            <v>4828960</v>
          </cell>
          <cell r="M62">
            <v>0.16673701616798242</v>
          </cell>
          <cell r="O62">
            <v>4.6576902687121037E-2</v>
          </cell>
          <cell r="P62">
            <v>6.8710446969947984E-4</v>
          </cell>
          <cell r="Q62">
            <v>4.7264007156820519E-2</v>
          </cell>
          <cell r="R62">
            <v>1.4537583904379677E-2</v>
          </cell>
          <cell r="T62">
            <v>0</v>
          </cell>
          <cell r="U62">
            <v>0</v>
          </cell>
        </row>
        <row r="63">
          <cell r="A63">
            <v>37865</v>
          </cell>
          <cell r="C63">
            <v>236642</v>
          </cell>
          <cell r="D63">
            <v>0</v>
          </cell>
          <cell r="F63">
            <v>18229</v>
          </cell>
          <cell r="G63">
            <v>0</v>
          </cell>
          <cell r="I63">
            <v>254871</v>
          </cell>
          <cell r="J63">
            <v>0</v>
          </cell>
          <cell r="L63">
            <v>4900687</v>
          </cell>
          <cell r="M63">
            <v>0.21962246777163896</v>
          </cell>
          <cell r="O63">
            <v>4.8287515607505639E-2</v>
          </cell>
          <cell r="P63">
            <v>3.7196825669543881E-3</v>
          </cell>
          <cell r="Q63">
            <v>5.2007198174460027E-2</v>
          </cell>
          <cell r="R63">
            <v>7.1522456458365219E-2</v>
          </cell>
          <cell r="T63">
            <v>0</v>
          </cell>
          <cell r="U63">
            <v>0</v>
          </cell>
        </row>
        <row r="64">
          <cell r="A64" t="str">
            <v>F2Q:04A</v>
          </cell>
          <cell r="C64">
            <v>679223</v>
          </cell>
          <cell r="D64">
            <v>0</v>
          </cell>
          <cell r="F64">
            <v>21594</v>
          </cell>
          <cell r="G64">
            <v>0</v>
          </cell>
          <cell r="I64">
            <v>700817</v>
          </cell>
          <cell r="J64">
            <v>0</v>
          </cell>
          <cell r="L64">
            <v>14644454</v>
          </cell>
          <cell r="M64">
            <v>0.18893059073745921</v>
          </cell>
          <cell r="O64">
            <v>4.6380902968454818E-2</v>
          </cell>
          <cell r="P64">
            <v>1.4745513898981827E-3</v>
          </cell>
          <cell r="Q64">
            <v>4.7855454358352999E-2</v>
          </cell>
          <cell r="R64">
            <v>3.0812608712402809E-2</v>
          </cell>
          <cell r="T64">
            <v>34</v>
          </cell>
          <cell r="U64">
            <v>48.514804863466495</v>
          </cell>
        </row>
        <row r="65">
          <cell r="I65">
            <v>0</v>
          </cell>
        </row>
        <row r="66">
          <cell r="A66">
            <v>37895</v>
          </cell>
          <cell r="C66">
            <v>258529</v>
          </cell>
          <cell r="D66">
            <v>2.6628696108017738</v>
          </cell>
          <cell r="F66">
            <v>40781</v>
          </cell>
          <cell r="G66">
            <v>0</v>
          </cell>
          <cell r="I66">
            <v>299310</v>
          </cell>
          <cell r="J66">
            <v>3.2406596676159305</v>
          </cell>
          <cell r="L66">
            <v>5151561</v>
          </cell>
          <cell r="M66">
            <v>0.19485883947331728</v>
          </cell>
          <cell r="O66">
            <v>5.0184594533579242E-2</v>
          </cell>
          <cell r="P66">
            <v>7.9162413101582212E-3</v>
          </cell>
          <cell r="Q66">
            <v>5.8100835843737465E-2</v>
          </cell>
          <cell r="R66">
            <v>0.13625004176272093</v>
          </cell>
          <cell r="T66">
            <v>0</v>
          </cell>
          <cell r="U66">
            <v>0</v>
          </cell>
        </row>
        <row r="67">
          <cell r="A67">
            <v>37926</v>
          </cell>
          <cell r="C67">
            <v>251094</v>
          </cell>
          <cell r="D67">
            <v>1.9585370739121726</v>
          </cell>
          <cell r="F67">
            <v>56543</v>
          </cell>
          <cell r="G67">
            <v>0</v>
          </cell>
          <cell r="I67">
            <v>307637</v>
          </cell>
          <cell r="J67">
            <v>2.6247599297757773</v>
          </cell>
          <cell r="L67">
            <v>4860767</v>
          </cell>
          <cell r="M67">
            <v>0.16003470963495459</v>
          </cell>
          <cell r="O67">
            <v>5.165727960216978E-2</v>
          </cell>
          <cell r="P67">
            <v>1.1632526307062239E-2</v>
          </cell>
          <cell r="Q67">
            <v>6.3289805909232014E-2</v>
          </cell>
          <cell r="R67">
            <v>0.18379778765233051</v>
          </cell>
          <cell r="T67">
            <v>0</v>
          </cell>
          <cell r="U67">
            <v>0</v>
          </cell>
        </row>
        <row r="68">
          <cell r="A68">
            <v>37956</v>
          </cell>
          <cell r="C68">
            <v>291570</v>
          </cell>
          <cell r="D68">
            <v>1.739933280082695</v>
          </cell>
          <cell r="F68">
            <v>83661</v>
          </cell>
          <cell r="G68">
            <v>0</v>
          </cell>
          <cell r="I68">
            <v>375231</v>
          </cell>
          <cell r="J68">
            <v>2.526110040877696</v>
          </cell>
          <cell r="L68">
            <v>5474931</v>
          </cell>
          <cell r="M68">
            <v>0.19992280947221142</v>
          </cell>
          <cell r="O68">
            <v>5.3255465685320968E-2</v>
          </cell>
          <cell r="P68">
            <v>1.5280740524401129E-2</v>
          </cell>
          <cell r="Q68">
            <v>6.8536206209722103E-2</v>
          </cell>
          <cell r="R68">
            <v>0.22295865746700033</v>
          </cell>
          <cell r="T68">
            <v>0</v>
          </cell>
          <cell r="U68">
            <v>0</v>
          </cell>
        </row>
        <row r="69">
          <cell r="A69" t="str">
            <v>F3Q:04A</v>
          </cell>
          <cell r="C69">
            <v>801193</v>
          </cell>
          <cell r="D69">
            <v>2.0595416757361562</v>
          </cell>
          <cell r="F69">
            <v>180985</v>
          </cell>
          <cell r="G69">
            <v>0</v>
          </cell>
          <cell r="I69">
            <v>982178</v>
          </cell>
          <cell r="J69">
            <v>2.7506749609534613</v>
          </cell>
          <cell r="L69">
            <v>15487259</v>
          </cell>
          <cell r="M69">
            <v>0.18545813857327631</v>
          </cell>
          <cell r="O69">
            <v>5.1732394996429003E-2</v>
          </cell>
          <cell r="P69">
            <v>1.1686057552211143E-2</v>
          </cell>
          <cell r="Q69">
            <v>6.3418452548640147E-2</v>
          </cell>
          <cell r="R69">
            <v>0.18426904288224741</v>
          </cell>
          <cell r="T69">
            <v>37</v>
          </cell>
          <cell r="U69">
            <v>37.671379322281709</v>
          </cell>
        </row>
        <row r="70">
          <cell r="I70">
            <v>0</v>
          </cell>
        </row>
        <row r="71">
          <cell r="A71">
            <v>37987</v>
          </cell>
          <cell r="C71">
            <v>291925</v>
          </cell>
          <cell r="D71">
            <v>1.4902539517346685</v>
          </cell>
          <cell r="F71">
            <v>98689</v>
          </cell>
          <cell r="G71">
            <v>0</v>
          </cell>
          <cell r="I71">
            <v>390614</v>
          </cell>
          <cell r="J71">
            <v>2.3321163213252918</v>
          </cell>
          <cell r="L71">
            <v>5334343</v>
          </cell>
          <cell r="M71">
            <v>0.17773881181434081</v>
          </cell>
          <cell r="O71">
            <v>5.4725577264154182E-2</v>
          </cell>
          <cell r="P71">
            <v>1.8500685089054079E-2</v>
          </cell>
          <cell r="Q71">
            <v>7.3226262353208255E-2</v>
          </cell>
          <cell r="R71">
            <v>0.25265095465088294</v>
          </cell>
          <cell r="T71">
            <v>0</v>
          </cell>
          <cell r="U71">
            <v>0</v>
          </cell>
        </row>
        <row r="72">
          <cell r="A72">
            <v>38018</v>
          </cell>
          <cell r="C72">
            <v>280635</v>
          </cell>
          <cell r="D72">
            <v>1.3212158808933001</v>
          </cell>
          <cell r="F72">
            <v>109454</v>
          </cell>
          <cell r="G72">
            <v>0</v>
          </cell>
          <cell r="I72">
            <v>390089</v>
          </cell>
          <cell r="J72">
            <v>2.2265425971877586</v>
          </cell>
          <cell r="L72">
            <v>5014428</v>
          </cell>
          <cell r="M72">
            <v>0.19856356744678982</v>
          </cell>
          <cell r="O72">
            <v>5.5965505936070872E-2</v>
          </cell>
          <cell r="P72">
            <v>2.1827813660900107E-2</v>
          </cell>
          <cell r="Q72">
            <v>7.7793319596970972E-2</v>
          </cell>
          <cell r="R72">
            <v>0.28058725060178574</v>
          </cell>
          <cell r="T72">
            <v>0</v>
          </cell>
          <cell r="U72">
            <v>0</v>
          </cell>
        </row>
        <row r="73">
          <cell r="A73">
            <v>38047</v>
          </cell>
          <cell r="C73">
            <v>320353</v>
          </cell>
          <cell r="D73">
            <v>1.2013000845192368</v>
          </cell>
          <cell r="F73">
            <v>140945</v>
          </cell>
          <cell r="G73">
            <v>0</v>
          </cell>
          <cell r="I73">
            <v>461298</v>
          </cell>
          <cell r="J73">
            <v>2.1698012080066515</v>
          </cell>
          <cell r="L73">
            <v>5603265</v>
          </cell>
          <cell r="M73">
            <v>0.21370063062661071</v>
          </cell>
          <cell r="O73">
            <v>5.717255921324442E-2</v>
          </cell>
          <cell r="P73">
            <v>2.5154084270510139E-2</v>
          </cell>
          <cell r="Q73">
            <v>8.2326643483754555E-2</v>
          </cell>
          <cell r="R73">
            <v>0.30554001968358846</v>
          </cell>
          <cell r="T73">
            <v>0</v>
          </cell>
          <cell r="U73">
            <v>0</v>
          </cell>
        </row>
        <row r="74">
          <cell r="A74" t="str">
            <v>F4Q:04A</v>
          </cell>
          <cell r="C74">
            <v>892913</v>
          </cell>
          <cell r="D74">
            <v>1.3273792147131807</v>
          </cell>
          <cell r="F74">
            <v>349088</v>
          </cell>
          <cell r="G74">
            <v>0</v>
          </cell>
          <cell r="I74">
            <v>1242001</v>
          </cell>
          <cell r="J74">
            <v>2.2372776654085951</v>
          </cell>
          <cell r="L74">
            <v>15952036</v>
          </cell>
          <cell r="M74">
            <v>0.19673015528874083</v>
          </cell>
          <cell r="O74">
            <v>5.5974861139982381E-2</v>
          </cell>
          <cell r="P74">
            <v>2.1883601566596265E-2</v>
          </cell>
          <cell r="Q74">
            <v>7.7858462706578646E-2</v>
          </cell>
          <cell r="R74">
            <v>0.28106901685264346</v>
          </cell>
          <cell r="T74">
            <v>55</v>
          </cell>
          <cell r="U74">
            <v>44.283378193737363</v>
          </cell>
        </row>
        <row r="76">
          <cell r="A76" t="str">
            <v>F2004A</v>
          </cell>
          <cell r="C76">
            <v>2912498</v>
          </cell>
          <cell r="D76">
            <v>0</v>
          </cell>
          <cell r="F76">
            <v>551667</v>
          </cell>
          <cell r="G76">
            <v>0</v>
          </cell>
          <cell r="I76">
            <v>3464165</v>
          </cell>
          <cell r="J76">
            <v>0</v>
          </cell>
          <cell r="L76">
            <v>60135569</v>
          </cell>
          <cell r="M76">
            <v>0.19353223390739904</v>
          </cell>
          <cell r="O76">
            <v>4.8432201581064281E-2</v>
          </cell>
          <cell r="P76">
            <v>9.1737221277477226E-3</v>
          </cell>
          <cell r="Q76">
            <v>5.7605923708812005E-2</v>
          </cell>
          <cell r="R76">
            <v>0.15924963158510058</v>
          </cell>
          <cell r="T76">
            <v>148.4</v>
          </cell>
          <cell r="U76">
            <v>42.838606128749639</v>
          </cell>
        </row>
        <row r="78">
          <cell r="A78">
            <v>38078</v>
          </cell>
          <cell r="C78">
            <v>316515</v>
          </cell>
          <cell r="D78">
            <v>0.96963851223109332</v>
          </cell>
          <cell r="F78">
            <v>151978</v>
          </cell>
          <cell r="G78">
            <v>0</v>
          </cell>
          <cell r="I78">
            <v>468493</v>
          </cell>
          <cell r="J78">
            <v>1.9153811209916798</v>
          </cell>
          <cell r="L78">
            <v>5408997</v>
          </cell>
          <cell r="M78">
            <v>0.18361049761778836</v>
          </cell>
          <cell r="O78">
            <v>5.8516394074539145E-2</v>
          </cell>
          <cell r="P78">
            <v>2.8097260915471021E-2</v>
          </cell>
          <cell r="Q78">
            <v>8.6613654990010169E-2</v>
          </cell>
          <cell r="R78">
            <v>0.32439758971852301</v>
          </cell>
          <cell r="T78">
            <v>0</v>
          </cell>
          <cell r="U78">
            <v>0</v>
          </cell>
        </row>
        <row r="79">
          <cell r="A79">
            <v>38108</v>
          </cell>
          <cell r="C79">
            <v>319931</v>
          </cell>
          <cell r="D79">
            <v>0.74634825327510912</v>
          </cell>
          <cell r="F79">
            <v>166382</v>
          </cell>
          <cell r="G79">
            <v>0</v>
          </cell>
          <cell r="I79">
            <v>486313</v>
          </cell>
          <cell r="J79">
            <v>1.6545469432314412</v>
          </cell>
          <cell r="L79">
            <v>5402381</v>
          </cell>
          <cell r="M79">
            <v>0.13449447366696843</v>
          </cell>
          <cell r="O79">
            <v>5.9220369685144381E-2</v>
          </cell>
          <cell r="P79">
            <v>3.0797901888074908E-2</v>
          </cell>
          <cell r="Q79">
            <v>9.0018271573219288E-2</v>
          </cell>
          <cell r="R79">
            <v>0.34212945160832631</v>
          </cell>
          <cell r="T79">
            <v>0</v>
          </cell>
          <cell r="U79">
            <v>0</v>
          </cell>
        </row>
        <row r="80">
          <cell r="A80">
            <v>38139</v>
          </cell>
          <cell r="C80">
            <v>344855</v>
          </cell>
          <cell r="D80">
            <v>0.7660238026957269</v>
          </cell>
          <cell r="F80">
            <v>188011</v>
          </cell>
          <cell r="G80">
            <v>0</v>
          </cell>
          <cell r="I80">
            <v>532866</v>
          </cell>
          <cell r="J80">
            <v>1.7288397722151667</v>
          </cell>
          <cell r="L80">
            <v>5682657</v>
          </cell>
          <cell r="M80">
            <v>0.20395811083057791</v>
          </cell>
          <cell r="O80">
            <v>6.0685520875182156E-2</v>
          </cell>
          <cell r="P80">
            <v>3.3085051587664012E-2</v>
          </cell>
          <cell r="Q80">
            <v>9.3770572462846175E-2</v>
          </cell>
          <cell r="R80">
            <v>0.35282979210533227</v>
          </cell>
          <cell r="T80">
            <v>0</v>
          </cell>
          <cell r="U80">
            <v>0</v>
          </cell>
        </row>
        <row r="81">
          <cell r="A81" t="str">
            <v>F1Q:05A</v>
          </cell>
          <cell r="C81">
            <v>981301</v>
          </cell>
          <cell r="D81">
            <v>0.82002489015503488</v>
          </cell>
          <cell r="F81">
            <v>506371</v>
          </cell>
          <cell r="G81">
            <v>0</v>
          </cell>
          <cell r="I81">
            <v>1487672</v>
          </cell>
          <cell r="J81">
            <v>1.7591942415086921</v>
          </cell>
          <cell r="L81">
            <v>16494035</v>
          </cell>
          <cell r="M81">
            <v>0.17380061799823787</v>
          </cell>
          <cell r="O81">
            <v>5.9494295968209113E-2</v>
          </cell>
          <cell r="P81">
            <v>3.0700250120725463E-2</v>
          </cell>
          <cell r="Q81">
            <v>9.0194546088934568E-2</v>
          </cell>
          <cell r="R81">
            <v>0.34037812098365766</v>
          </cell>
          <cell r="T81">
            <v>66</v>
          </cell>
          <cell r="U81">
            <v>44.364618007195133</v>
          </cell>
          <cell r="W81">
            <v>0</v>
          </cell>
        </row>
        <row r="83">
          <cell r="A83">
            <v>38169</v>
          </cell>
          <cell r="C83">
            <v>353905</v>
          </cell>
          <cell r="D83">
            <v>0.62593091154674885</v>
          </cell>
          <cell r="F83">
            <v>202720</v>
          </cell>
          <cell r="G83">
            <v>0</v>
          </cell>
          <cell r="I83">
            <v>556625</v>
          </cell>
          <cell r="J83">
            <v>1.5567268384548254</v>
          </cell>
          <cell r="L83">
            <v>5690817</v>
          </cell>
          <cell r="M83">
            <v>0.15789226311429938</v>
          </cell>
          <cell r="O83">
            <v>6.2188785898404396E-2</v>
          </cell>
          <cell r="P83">
            <v>3.5622301683571972E-2</v>
          </cell>
          <cell r="Q83">
            <v>9.7811087581976375E-2</v>
          </cell>
          <cell r="R83">
            <v>0.36419492476981807</v>
          </cell>
          <cell r="T83">
            <v>0</v>
          </cell>
          <cell r="U83">
            <v>0</v>
          </cell>
        </row>
        <row r="84">
          <cell r="A84">
            <v>38200</v>
          </cell>
          <cell r="C84">
            <v>366083</v>
          </cell>
          <cell r="D84">
            <v>0.62762873580593825</v>
          </cell>
          <cell r="F84">
            <v>218171</v>
          </cell>
          <cell r="G84">
            <v>0</v>
          </cell>
          <cell r="I84">
            <v>584254</v>
          </cell>
          <cell r="J84">
            <v>1.5598678560787955</v>
          </cell>
          <cell r="L84">
            <v>5778073</v>
          </cell>
          <cell r="M84">
            <v>0.19654604718200197</v>
          </cell>
          <cell r="O84">
            <v>6.3357281917345104E-2</v>
          </cell>
          <cell r="P84">
            <v>3.7758436073756771E-2</v>
          </cell>
          <cell r="Q84">
            <v>0.10111571799110187</v>
          </cell>
          <cell r="R84">
            <v>0.37341806816898132</v>
          </cell>
          <cell r="T84">
            <v>0</v>
          </cell>
          <cell r="U84">
            <v>0</v>
          </cell>
        </row>
        <row r="85">
          <cell r="A85">
            <v>38231</v>
          </cell>
          <cell r="C85">
            <v>367363</v>
          </cell>
          <cell r="D85">
            <v>0.55239982758766404</v>
          </cell>
          <cell r="F85">
            <v>227764</v>
          </cell>
          <cell r="G85">
            <v>0</v>
          </cell>
          <cell r="I85">
            <v>595127</v>
          </cell>
          <cell r="J85">
            <v>1.3350126142244507</v>
          </cell>
          <cell r="L85">
            <v>5689962</v>
          </cell>
          <cell r="M85">
            <v>0.16105395019106505</v>
          </cell>
          <cell r="O85">
            <v>6.4563348577723362E-2</v>
          </cell>
          <cell r="P85">
            <v>4.0029089825204457E-2</v>
          </cell>
          <cell r="Q85">
            <v>0.10459243840292781</v>
          </cell>
          <cell r="R85">
            <v>0.38271494991825272</v>
          </cell>
          <cell r="T85">
            <v>0</v>
          </cell>
          <cell r="U85">
            <v>0</v>
          </cell>
        </row>
        <row r="86">
          <cell r="A86" t="str">
            <v>F2Q:05A</v>
          </cell>
          <cell r="C86">
            <v>1087351</v>
          </cell>
          <cell r="D86">
            <v>0.60087482314350371</v>
          </cell>
          <cell r="F86">
            <v>648655</v>
          </cell>
          <cell r="G86">
            <v>0</v>
          </cell>
          <cell r="I86">
            <v>1736006</v>
          </cell>
          <cell r="J86">
            <v>1.4771174215237357</v>
          </cell>
          <cell r="L86">
            <v>17158852</v>
          </cell>
          <cell r="M86">
            <v>0.17169626126040627</v>
          </cell>
          <cell r="O86">
            <v>6.3369682307417768E-2</v>
          </cell>
          <cell r="P86">
            <v>3.7802936933076875E-2</v>
          </cell>
          <cell r="Q86">
            <v>0.10117261924049464</v>
          </cell>
          <cell r="R86">
            <v>0.37364790213858706</v>
          </cell>
          <cell r="T86">
            <v>72</v>
          </cell>
          <cell r="U86">
            <v>41.474511032795974</v>
          </cell>
          <cell r="V86">
            <v>0.37663580246913575</v>
          </cell>
          <cell r="W86">
            <v>12.202999999999999</v>
          </cell>
        </row>
        <row r="88">
          <cell r="A88">
            <v>38261</v>
          </cell>
          <cell r="C88">
            <v>380492</v>
          </cell>
          <cell r="D88">
            <v>0.47175752043291075</v>
          </cell>
          <cell r="F88">
            <v>245250</v>
          </cell>
          <cell r="G88">
            <v>0</v>
          </cell>
          <cell r="I88">
            <v>625742</v>
          </cell>
          <cell r="J88">
            <v>1.0906150813537803</v>
          </cell>
          <cell r="L88">
            <v>5778800</v>
          </cell>
          <cell r="M88">
            <v>0.12175707518556034</v>
          </cell>
          <cell r="O88">
            <v>6.5842735516024084E-2</v>
          </cell>
          <cell r="P88">
            <v>4.2439606838790063E-2</v>
          </cell>
          <cell r="Q88">
            <v>0.10828234235481415</v>
          </cell>
          <cell r="R88">
            <v>0.39193469512994172</v>
          </cell>
          <cell r="T88">
            <v>0</v>
          </cell>
          <cell r="U88">
            <v>0</v>
          </cell>
        </row>
        <row r="89">
          <cell r="A89">
            <v>38292</v>
          </cell>
          <cell r="C89">
            <v>390006</v>
          </cell>
          <cell r="D89">
            <v>0.55322707830533591</v>
          </cell>
          <cell r="F89">
            <v>260081</v>
          </cell>
          <cell r="G89">
            <v>0</v>
          </cell>
          <cell r="I89">
            <v>650087</v>
          </cell>
          <cell r="J89">
            <v>1.1131625909757279</v>
          </cell>
          <cell r="L89">
            <v>5845883</v>
          </cell>
          <cell r="M89">
            <v>0.20266678077760147</v>
          </cell>
          <cell r="O89">
            <v>6.6714643450784081E-2</v>
          </cell>
          <cell r="P89">
            <v>4.4489600630050245E-2</v>
          </cell>
          <cell r="Q89">
            <v>0.11120424408083432</v>
          </cell>
          <cell r="R89">
            <v>0.40007106741097731</v>
          </cell>
          <cell r="T89">
            <v>0</v>
          </cell>
          <cell r="U89">
            <v>0</v>
          </cell>
        </row>
        <row r="90">
          <cell r="A90">
            <v>38322</v>
          </cell>
          <cell r="C90">
            <v>412077</v>
          </cell>
          <cell r="D90">
            <v>0.41330383784339952</v>
          </cell>
          <cell r="F90">
            <v>286828</v>
          </cell>
          <cell r="G90">
            <v>0</v>
          </cell>
          <cell r="I90">
            <v>698905</v>
          </cell>
          <cell r="J90">
            <v>0.86259930549448205</v>
          </cell>
          <cell r="L90">
            <v>6101963</v>
          </cell>
          <cell r="M90">
            <v>0.11452783605857308</v>
          </cell>
          <cell r="O90">
            <v>6.7531874578721632E-2</v>
          </cell>
          <cell r="P90">
            <v>4.7005856967667618E-2</v>
          </cell>
          <cell r="Q90">
            <v>0.11453773154638924</v>
          </cell>
          <cell r="R90">
            <v>0.41039626272526308</v>
          </cell>
          <cell r="T90">
            <v>0</v>
          </cell>
          <cell r="U90">
            <v>0</v>
          </cell>
        </row>
        <row r="91">
          <cell r="A91" t="str">
            <v>F3Q:05A</v>
          </cell>
          <cell r="C91">
            <v>1182575</v>
          </cell>
          <cell r="D91">
            <v>0.47601763869629421</v>
          </cell>
          <cell r="F91">
            <v>792159</v>
          </cell>
          <cell r="G91">
            <v>3.3769317899273421</v>
          </cell>
          <cell r="I91">
            <v>1974734</v>
          </cell>
          <cell r="J91">
            <v>1.0105663128272067</v>
          </cell>
          <cell r="L91">
            <v>17726646</v>
          </cell>
          <cell r="M91">
            <v>0.14459543809527564</v>
          </cell>
          <cell r="O91">
            <v>6.6711717490155781E-2</v>
          </cell>
          <cell r="P91">
            <v>4.4687472181708827E-2</v>
          </cell>
          <cell r="Q91">
            <v>0.1113991896718646</v>
          </cell>
          <cell r="R91">
            <v>0.40114719248263309</v>
          </cell>
          <cell r="T91">
            <v>89</v>
          </cell>
          <cell r="U91">
            <v>45.069361240551892</v>
          </cell>
          <cell r="V91">
            <v>0.56289637952559302</v>
          </cell>
          <cell r="W91">
            <v>22.544</v>
          </cell>
        </row>
        <row r="93">
          <cell r="A93">
            <v>38353</v>
          </cell>
          <cell r="C93">
            <v>412610</v>
          </cell>
          <cell r="D93">
            <v>0.4134109788473066</v>
          </cell>
          <cell r="F93">
            <v>295282</v>
          </cell>
          <cell r="G93">
            <v>0</v>
          </cell>
          <cell r="I93">
            <v>707892</v>
          </cell>
          <cell r="J93">
            <v>0.81225455308821504</v>
          </cell>
          <cell r="L93">
            <v>5994682</v>
          </cell>
          <cell r="M93">
            <v>0.12379012748149121</v>
          </cell>
          <cell r="O93">
            <v>6.8829339070863138E-2</v>
          </cell>
          <cell r="P93">
            <v>4.9257325075792176E-2</v>
          </cell>
          <cell r="Q93">
            <v>0.11808666414665531</v>
          </cell>
          <cell r="R93">
            <v>0.41712860153808773</v>
          </cell>
          <cell r="T93">
            <v>0</v>
          </cell>
          <cell r="U93">
            <v>0</v>
          </cell>
        </row>
        <row r="94">
          <cell r="A94">
            <v>38384</v>
          </cell>
          <cell r="C94">
            <v>385930</v>
          </cell>
          <cell r="D94">
            <v>0.3752026653838616</v>
          </cell>
          <cell r="F94">
            <v>283805</v>
          </cell>
          <cell r="G94">
            <v>1.5929157454273026</v>
          </cell>
          <cell r="I94">
            <v>669735</v>
          </cell>
          <cell r="J94">
            <v>0.71687743053508313</v>
          </cell>
          <cell r="L94">
            <v>5522207</v>
          </cell>
          <cell r="M94">
            <v>0.10126359377380623</v>
          </cell>
          <cell r="O94">
            <v>6.988691296794923E-2</v>
          </cell>
          <cell r="P94">
            <v>5.1393401225270981E-2</v>
          </cell>
          <cell r="Q94">
            <v>0.12128031419322022</v>
          </cell>
          <cell r="R94">
            <v>0.42375715768176964</v>
          </cell>
          <cell r="T94">
            <v>0</v>
          </cell>
          <cell r="U94">
            <v>0</v>
          </cell>
        </row>
        <row r="95">
          <cell r="A95">
            <v>38412</v>
          </cell>
          <cell r="C95">
            <v>437591</v>
          </cell>
          <cell r="D95">
            <v>0.36596504480994407</v>
          </cell>
          <cell r="F95">
            <v>328913</v>
          </cell>
          <cell r="G95">
            <v>1.3336265919330237</v>
          </cell>
          <cell r="I95">
            <v>766504</v>
          </cell>
          <cell r="J95">
            <v>0.66162437296498133</v>
          </cell>
          <cell r="L95">
            <v>6178234</v>
          </cell>
          <cell r="M95">
            <v>0.10261320854894418</v>
          </cell>
          <cell r="O95">
            <v>7.0827844979649529E-2</v>
          </cell>
          <cell r="P95">
            <v>5.3237381426472358E-2</v>
          </cell>
          <cell r="Q95">
            <v>0.12406522640612189</v>
          </cell>
          <cell r="R95">
            <v>0.42910800204565142</v>
          </cell>
          <cell r="T95">
            <v>0</v>
          </cell>
          <cell r="U95">
            <v>0</v>
          </cell>
        </row>
        <row r="96">
          <cell r="A96" t="str">
            <v>F4Q:05A</v>
          </cell>
          <cell r="C96">
            <v>1236131</v>
          </cell>
          <cell r="D96">
            <v>0.38438011318011944</v>
          </cell>
          <cell r="F96">
            <v>908000</v>
          </cell>
          <cell r="G96">
            <v>1.6010633421945184</v>
          </cell>
          <cell r="I96">
            <v>2144131</v>
          </cell>
          <cell r="J96">
            <v>0.72635207218029607</v>
          </cell>
          <cell r="L96">
            <v>17695123</v>
          </cell>
          <cell r="M96">
            <v>0.10927050315082032</v>
          </cell>
          <cell r="O96">
            <v>6.9857157816874169E-2</v>
          </cell>
          <cell r="P96">
            <v>5.1313573802227883E-2</v>
          </cell>
          <cell r="Q96">
            <v>0.12117073161910205</v>
          </cell>
          <cell r="R96">
            <v>0.42348158764553101</v>
          </cell>
          <cell r="T96">
            <v>100</v>
          </cell>
          <cell r="U96">
            <v>46.638941370653193</v>
          </cell>
          <cell r="V96">
            <v>0.47397777777777778</v>
          </cell>
          <cell r="W96">
            <v>21.329000000000001</v>
          </cell>
        </row>
        <row r="98">
          <cell r="A98" t="str">
            <v>F2005A</v>
          </cell>
          <cell r="C98">
            <v>4487358</v>
          </cell>
          <cell r="D98">
            <v>0.54072483483250466</v>
          </cell>
          <cell r="F98">
            <v>2855185</v>
          </cell>
          <cell r="G98">
            <v>4.175558806308878</v>
          </cell>
          <cell r="I98">
            <v>7342543</v>
          </cell>
          <cell r="J98">
            <v>1.1195708056631251</v>
          </cell>
          <cell r="L98">
            <v>69074656</v>
          </cell>
          <cell r="M98">
            <v>0.14864891359055732</v>
          </cell>
          <cell r="O98">
            <v>6.496388487262246E-2</v>
          </cell>
          <cell r="P98">
            <v>4.1334769730883639E-2</v>
          </cell>
          <cell r="Q98">
            <v>0.1062986546035061</v>
          </cell>
          <cell r="R98">
            <v>0.38885506016103683</v>
          </cell>
          <cell r="T98">
            <v>327</v>
          </cell>
          <cell r="U98">
            <v>44.534979229947986</v>
          </cell>
          <cell r="W98">
            <v>56.076000000000008</v>
          </cell>
        </row>
        <row r="99">
          <cell r="I99">
            <v>0</v>
          </cell>
        </row>
        <row r="100">
          <cell r="A100">
            <v>38443</v>
          </cell>
          <cell r="C100">
            <v>429049</v>
          </cell>
          <cell r="D100">
            <v>0.35554081165189633</v>
          </cell>
          <cell r="F100">
            <v>330009</v>
          </cell>
          <cell r="G100">
            <v>1.1714261274658173</v>
          </cell>
          <cell r="I100">
            <v>759058</v>
          </cell>
          <cell r="J100">
            <v>0.62021204158866827</v>
          </cell>
          <cell r="L100">
            <v>5994489</v>
          </cell>
          <cell r="M100">
            <v>0.10824409775047017</v>
          </cell>
          <cell r="O100">
            <v>7.1573907300522197E-2</v>
          </cell>
          <cell r="P100">
            <v>5.5052065321998259E-2</v>
          </cell>
          <cell r="Q100">
            <v>0.12662597262252046</v>
          </cell>
          <cell r="R100">
            <v>0.43476124354133677</v>
          </cell>
          <cell r="T100">
            <v>0</v>
          </cell>
          <cell r="U100">
            <v>0</v>
          </cell>
        </row>
        <row r="101">
          <cell r="A101">
            <v>38473</v>
          </cell>
          <cell r="C101">
            <v>448168</v>
          </cell>
          <cell r="D101">
            <v>0.40082705333337509</v>
          </cell>
          <cell r="F101">
            <v>353026</v>
          </cell>
          <cell r="G101">
            <v>1.1217800002404106</v>
          </cell>
          <cell r="I101">
            <v>801194</v>
          </cell>
          <cell r="J101">
            <v>0.64748628969408584</v>
          </cell>
          <cell r="L101">
            <v>6186092</v>
          </cell>
          <cell r="M101">
            <v>0.14506770255559531</v>
          </cell>
          <cell r="O101">
            <v>7.2447677790760306E-2</v>
          </cell>
          <cell r="P101">
            <v>5.7067693141324122E-2</v>
          </cell>
          <cell r="Q101">
            <v>0.12951537093208443</v>
          </cell>
          <cell r="R101">
            <v>0.44062486738542728</v>
          </cell>
          <cell r="T101">
            <v>0</v>
          </cell>
          <cell r="U101">
            <v>0</v>
          </cell>
        </row>
        <row r="102">
          <cell r="A102">
            <v>38504</v>
          </cell>
          <cell r="C102">
            <v>453602</v>
          </cell>
          <cell r="D102">
            <v>0.31534123037218542</v>
          </cell>
          <cell r="F102">
            <v>362141</v>
          </cell>
          <cell r="G102">
            <v>0.92616921350346515</v>
          </cell>
          <cell r="I102">
            <v>815743</v>
          </cell>
          <cell r="J102">
            <v>0.53085954067251429</v>
          </cell>
          <cell r="L102">
            <v>6182920</v>
          </cell>
          <cell r="M102">
            <v>8.8033291469113761E-2</v>
          </cell>
          <cell r="O102">
            <v>7.3363718113771487E-2</v>
          </cell>
          <cell r="P102">
            <v>5.8571192899147972E-2</v>
          </cell>
          <cell r="Q102">
            <v>0.13193491101291946</v>
          </cell>
          <cell r="R102">
            <v>0.44394006445657519</v>
          </cell>
          <cell r="T102">
            <v>0</v>
          </cell>
          <cell r="U102">
            <v>0</v>
          </cell>
        </row>
        <row r="103">
          <cell r="A103" t="str">
            <v>F1Q:06A</v>
          </cell>
          <cell r="C103">
            <v>1330819</v>
          </cell>
          <cell r="D103">
            <v>0.3561781757075555</v>
          </cell>
          <cell r="F103">
            <v>1045176</v>
          </cell>
          <cell r="G103">
            <v>1.0640518513106003</v>
          </cell>
          <cell r="I103">
            <v>2375995</v>
          </cell>
          <cell r="J103">
            <v>0.59712288730311514</v>
          </cell>
          <cell r="L103">
            <v>18363501</v>
          </cell>
          <cell r="M103">
            <v>0.11334194452721857</v>
          </cell>
          <cell r="O103">
            <v>7.2470875787792322E-2</v>
          </cell>
          <cell r="P103">
            <v>5.691594429624286E-2</v>
          </cell>
          <cell r="Q103">
            <v>0.12938682008403518</v>
          </cell>
          <cell r="R103">
            <v>0.43988981458294313</v>
          </cell>
          <cell r="T103">
            <v>107</v>
          </cell>
          <cell r="U103">
            <v>45.033764801693607</v>
          </cell>
          <cell r="V103">
            <v>0.50398753894080994</v>
          </cell>
          <cell r="W103">
            <v>24.266999999999999</v>
          </cell>
        </row>
        <row r="105">
          <cell r="A105">
            <v>38534</v>
          </cell>
          <cell r="C105">
            <v>452024</v>
          </cell>
          <cell r="D105">
            <v>0.27724671875220741</v>
          </cell>
          <cell r="F105">
            <v>366195</v>
          </cell>
          <cell r="G105">
            <v>0.8064078531965273</v>
          </cell>
          <cell r="I105">
            <v>818219</v>
          </cell>
          <cell r="J105">
            <v>0.46996451830226804</v>
          </cell>
          <cell r="L105">
            <v>6119184</v>
          </cell>
          <cell r="M105">
            <v>7.5273374631445789E-2</v>
          </cell>
          <cell r="O105">
            <v>7.3869980049627526E-2</v>
          </cell>
          <cell r="P105">
            <v>5.9843763482189782E-2</v>
          </cell>
          <cell r="Q105">
            <v>0.13371374353181731</v>
          </cell>
          <cell r="R105">
            <v>0.4475513279452078</v>
          </cell>
          <cell r="T105">
            <v>0</v>
          </cell>
          <cell r="U105">
            <v>0</v>
          </cell>
        </row>
        <row r="106">
          <cell r="A106">
            <v>38565</v>
          </cell>
          <cell r="C106">
            <v>472019</v>
          </cell>
          <cell r="D106">
            <v>0.2893769992050983</v>
          </cell>
          <cell r="F106">
            <v>387520</v>
          </cell>
          <cell r="G106">
            <v>0.77622140431129716</v>
          </cell>
          <cell r="I106">
            <v>859539</v>
          </cell>
          <cell r="J106">
            <v>0.47117349645873197</v>
          </cell>
          <cell r="L106">
            <v>6333360</v>
          </cell>
          <cell r="M106">
            <v>9.6102454918793878E-2</v>
          </cell>
          <cell r="O106">
            <v>7.4529001983149545E-2</v>
          </cell>
          <cell r="P106">
            <v>6.1187110791112456E-2</v>
          </cell>
          <cell r="Q106">
            <v>0.13571611277426199</v>
          </cell>
          <cell r="R106">
            <v>0.45084632576299621</v>
          </cell>
          <cell r="T106">
            <v>0</v>
          </cell>
          <cell r="U106">
            <v>0</v>
          </cell>
        </row>
        <row r="107">
          <cell r="A107">
            <v>38596</v>
          </cell>
          <cell r="C107">
            <v>463190</v>
          </cell>
          <cell r="D107">
            <v>0.26085098390420369</v>
          </cell>
          <cell r="F107">
            <v>382769</v>
          </cell>
          <cell r="G107">
            <v>0.68055092112888782</v>
          </cell>
          <cell r="I107">
            <v>845959</v>
          </cell>
          <cell r="J107">
            <v>0.42147642435984256</v>
          </cell>
          <cell r="L107">
            <v>6141739</v>
          </cell>
          <cell r="M107">
            <v>7.9398948534278535E-2</v>
          </cell>
          <cell r="O107">
            <v>7.5416750858348106E-2</v>
          </cell>
          <cell r="P107">
            <v>6.2322576716464177E-2</v>
          </cell>
          <cell r="Q107">
            <v>0.13773932757481228</v>
          </cell>
          <cell r="R107">
            <v>0.45246755457415783</v>
          </cell>
          <cell r="T107">
            <v>0</v>
          </cell>
          <cell r="U107">
            <v>0</v>
          </cell>
        </row>
        <row r="108">
          <cell r="A108" t="str">
            <v>F2Q:06A</v>
          </cell>
          <cell r="C108">
            <v>1387233</v>
          </cell>
          <cell r="D108">
            <v>0.27579134980332931</v>
          </cell>
          <cell r="F108">
            <v>1136484</v>
          </cell>
          <cell r="G108">
            <v>0.75206234438954445</v>
          </cell>
          <cell r="I108">
            <v>2523717</v>
          </cell>
          <cell r="J108">
            <v>0.4537490077799271</v>
          </cell>
          <cell r="L108">
            <v>18594283</v>
          </cell>
          <cell r="M108">
            <v>8.365542170303697E-2</v>
          </cell>
          <cell r="O108">
            <v>7.4605350472508131E-2</v>
          </cell>
          <cell r="P108">
            <v>6.1120076531049894E-2</v>
          </cell>
          <cell r="Q108">
            <v>0.13572542700355802</v>
          </cell>
          <cell r="R108">
            <v>0.45032149008783473</v>
          </cell>
          <cell r="T108">
            <v>119</v>
          </cell>
          <cell r="U108">
            <v>47.152672030976532</v>
          </cell>
          <cell r="V108">
            <v>0.5825210084033613</v>
          </cell>
          <cell r="W108">
            <v>31.193999999999999</v>
          </cell>
        </row>
        <row r="110">
          <cell r="A110">
            <v>38626</v>
          </cell>
          <cell r="C110">
            <v>473705</v>
          </cell>
          <cell r="D110">
            <v>0.24498018355182238</v>
          </cell>
          <cell r="F110">
            <v>395415</v>
          </cell>
          <cell r="G110">
            <v>0.6122935779816514</v>
          </cell>
          <cell r="I110">
            <v>869120</v>
          </cell>
          <cell r="J110">
            <v>0.38894304681482139</v>
          </cell>
          <cell r="L110">
            <v>6221452</v>
          </cell>
          <cell r="M110">
            <v>7.6599293971066684E-2</v>
          </cell>
          <cell r="O110">
            <v>7.6140585831088944E-2</v>
          </cell>
          <cell r="P110">
            <v>6.3556706698050552E-2</v>
          </cell>
          <cell r="Q110">
            <v>0.13969729252913948</v>
          </cell>
          <cell r="R110">
            <v>0.45496018961708395</v>
          </cell>
          <cell r="T110">
            <v>0</v>
          </cell>
          <cell r="U110">
            <v>0</v>
          </cell>
        </row>
        <row r="111">
          <cell r="A111">
            <v>38657</v>
          </cell>
          <cell r="C111">
            <v>477311</v>
          </cell>
          <cell r="D111">
            <v>0.22385553042773698</v>
          </cell>
          <cell r="F111">
            <v>400669</v>
          </cell>
          <cell r="G111">
            <v>0.54055467335176344</v>
          </cell>
          <cell r="I111">
            <v>877980</v>
          </cell>
          <cell r="J111">
            <v>0.35055769458549402</v>
          </cell>
          <cell r="L111">
            <v>6190392</v>
          </cell>
          <cell r="M111">
            <v>5.8931901305585566E-2</v>
          </cell>
          <cell r="O111">
            <v>7.7105133245196744E-2</v>
          </cell>
          <cell r="P111">
            <v>6.4724334097097561E-2</v>
          </cell>
          <cell r="Q111">
            <v>0.14182946734229429</v>
          </cell>
          <cell r="R111">
            <v>0.45635321989111371</v>
          </cell>
          <cell r="T111">
            <v>0</v>
          </cell>
          <cell r="U111">
            <v>0</v>
          </cell>
        </row>
        <row r="112">
          <cell r="A112">
            <v>38687</v>
          </cell>
          <cell r="C112">
            <v>506123</v>
          </cell>
          <cell r="D112">
            <v>0.22822433671376952</v>
          </cell>
          <cell r="F112">
            <v>433042</v>
          </cell>
          <cell r="G112">
            <v>0.5097619479269806</v>
          </cell>
          <cell r="I112">
            <v>939165</v>
          </cell>
          <cell r="J112">
            <v>0.34376632017226938</v>
          </cell>
          <cell r="L112">
            <v>6539060</v>
          </cell>
          <cell r="M112">
            <v>7.1632194426613172E-2</v>
          </cell>
          <cell r="O112">
            <v>7.7399962685768292E-2</v>
          </cell>
          <cell r="P112">
            <v>6.6223891507342036E-2</v>
          </cell>
          <cell r="Q112">
            <v>0.14362385419311033</v>
          </cell>
          <cell r="R112">
            <v>0.46109256626897299</v>
          </cell>
          <cell r="T112">
            <v>0</v>
          </cell>
          <cell r="U112">
            <v>0</v>
          </cell>
        </row>
        <row r="113">
          <cell r="A113" t="str">
            <v>F3Q:06A</v>
          </cell>
          <cell r="C113">
            <v>1457139</v>
          </cell>
          <cell r="D113">
            <v>0.23217470350717706</v>
          </cell>
          <cell r="F113">
            <v>1229126</v>
          </cell>
          <cell r="G113">
            <v>0.55161526915682324</v>
          </cell>
          <cell r="I113">
            <v>2686265</v>
          </cell>
          <cell r="J113">
            <v>0.36031738958259685</v>
          </cell>
          <cell r="L113">
            <v>18950904</v>
          </cell>
          <cell r="M113">
            <v>6.9063149340264474E-2</v>
          </cell>
          <cell r="O113">
            <v>7.6890210620031638E-2</v>
          </cell>
          <cell r="P113">
            <v>6.485843630467443E-2</v>
          </cell>
          <cell r="Q113">
            <v>0.14174864692470607</v>
          </cell>
          <cell r="R113">
            <v>0.45755947384193296</v>
          </cell>
          <cell r="T113">
            <v>119</v>
          </cell>
          <cell r="U113">
            <v>44.299426899430998</v>
          </cell>
          <cell r="V113">
            <v>0.52829131652661054</v>
          </cell>
          <cell r="W113">
            <v>28.29</v>
          </cell>
        </row>
        <row r="114">
          <cell r="A114" t="str">
            <v>F4Q:06E</v>
          </cell>
          <cell r="C114">
            <v>1444275.9392600001</v>
          </cell>
          <cell r="D114">
            <v>0.16838420787117236</v>
          </cell>
          <cell r="F114">
            <v>1256707.6354600003</v>
          </cell>
          <cell r="G114">
            <v>0.38403924610132179</v>
          </cell>
          <cell r="I114">
            <v>2700983.5747200004</v>
          </cell>
          <cell r="J114">
            <v>0.25971014584463381</v>
          </cell>
          <cell r="L114">
            <v>18756830.380000003</v>
          </cell>
          <cell r="M114">
            <v>0.06</v>
          </cell>
          <cell r="O114">
            <v>7.6999999999999999E-2</v>
          </cell>
          <cell r="P114">
            <v>6.7000000000000004E-2</v>
          </cell>
          <cell r="Q114">
            <v>0.14400000000000002</v>
          </cell>
          <cell r="R114">
            <v>0.46527777777777779</v>
          </cell>
          <cell r="T114">
            <v>121.54426086240001</v>
          </cell>
          <cell r="U114">
            <v>45</v>
          </cell>
          <cell r="V114">
            <v>0.60317633438930585</v>
          </cell>
          <cell r="W114">
            <v>32.990679779868003</v>
          </cell>
        </row>
        <row r="115">
          <cell r="A115" t="str">
            <v>F2006E</v>
          </cell>
          <cell r="C115">
            <v>5619466.9392600004</v>
          </cell>
          <cell r="D115">
            <v>0.25228852684809189</v>
          </cell>
          <cell r="F115">
            <v>4667493.6354600005</v>
          </cell>
          <cell r="G115">
            <v>0.63474298003807128</v>
          </cell>
          <cell r="I115">
            <v>10286960.574720001</v>
          </cell>
          <cell r="J115">
            <v>0.40100787625213785</v>
          </cell>
          <cell r="L115">
            <v>74665518.379999995</v>
          </cell>
          <cell r="M115">
            <v>8.0939416911464557E-2</v>
          </cell>
          <cell r="O115">
            <v>7.5261875376803622E-2</v>
          </cell>
          <cell r="P115">
            <v>6.2512036837478677E-2</v>
          </cell>
          <cell r="Q115">
            <v>0.13777391221428231</v>
          </cell>
          <cell r="R115">
            <v>0.45372912645648439</v>
          </cell>
          <cell r="T115">
            <v>466.54426086239999</v>
          </cell>
          <cell r="U115">
            <v>45.352974522807365</v>
          </cell>
          <cell r="V115">
            <v>0.5927896770647616</v>
          </cell>
          <cell r="W115">
            <v>124.45317977986799</v>
          </cell>
        </row>
        <row r="116">
          <cell r="A116" t="str">
            <v>F4Q:06E</v>
          </cell>
          <cell r="C116">
            <v>1444275.9392600001</v>
          </cell>
          <cell r="D116">
            <v>0.16838420787117236</v>
          </cell>
          <cell r="F116">
            <v>1256707.6354600003</v>
          </cell>
          <cell r="G116">
            <v>0.38403924610132179</v>
          </cell>
          <cell r="I116">
            <v>0</v>
          </cell>
          <cell r="J116">
            <v>0.25971014584463381</v>
          </cell>
          <cell r="L116">
            <v>18756830.380000003</v>
          </cell>
          <cell r="M116">
            <v>0.06</v>
          </cell>
          <cell r="O116">
            <v>7.6999999999999999E-2</v>
          </cell>
          <cell r="P116">
            <v>6.7000000000000004E-2</v>
          </cell>
          <cell r="Q116">
            <v>0.14400000000000002</v>
          </cell>
          <cell r="R116">
            <v>0.46527777777777779</v>
          </cell>
          <cell r="T116">
            <v>121.54426086240001</v>
          </cell>
          <cell r="U116">
            <v>45</v>
          </cell>
          <cell r="V116">
            <v>0.60317633438930585</v>
          </cell>
          <cell r="W116">
            <v>32.990679779868003</v>
          </cell>
        </row>
        <row r="117">
          <cell r="A117" t="str">
            <v>F1Q:07E</v>
          </cell>
          <cell r="C117">
            <v>1523252.4079500001</v>
          </cell>
          <cell r="D117">
            <v>0.14459773113398611</v>
          </cell>
          <cell r="F117">
            <v>1349717.3235000002</v>
          </cell>
          <cell r="G117">
            <v>0.29137802963328685</v>
          </cell>
          <cell r="I117">
            <v>2872969.7314500003</v>
          </cell>
          <cell r="J117">
            <v>0.20916488942527245</v>
          </cell>
          <cell r="L117">
            <v>19281676.050000001</v>
          </cell>
          <cell r="M117">
            <v>0.05</v>
          </cell>
          <cell r="O117">
            <v>7.9000000000000001E-2</v>
          </cell>
          <cell r="P117">
            <v>7.0000000000000007E-2</v>
          </cell>
          <cell r="Q117">
            <v>0.14900000000000002</v>
          </cell>
          <cell r="R117">
            <v>0.46979865771812079</v>
          </cell>
          <cell r="T117">
            <v>138.97991075889377</v>
          </cell>
          <cell r="U117">
            <v>48.375</v>
          </cell>
          <cell r="V117">
            <v>0.63414146450241404</v>
          </cell>
          <cell r="W117">
            <v>39.659815865276869</v>
          </cell>
        </row>
        <row r="118">
          <cell r="A118" t="str">
            <v>F2Q:07E</v>
          </cell>
          <cell r="C118">
            <v>1561919.7720000001</v>
          </cell>
          <cell r="D118">
            <v>0.12592460819487439</v>
          </cell>
          <cell r="F118">
            <v>1425251.79195</v>
          </cell>
          <cell r="G118">
            <v>0.25408874383625291</v>
          </cell>
          <cell r="I118">
            <v>2987171.5639500003</v>
          </cell>
          <cell r="J118">
            <v>0.18363967273271942</v>
          </cell>
          <cell r="L118">
            <v>19523997.150000002</v>
          </cell>
          <cell r="M118">
            <v>0.05</v>
          </cell>
          <cell r="O118">
            <v>0.08</v>
          </cell>
          <cell r="P118">
            <v>7.2999999999999995E-2</v>
          </cell>
          <cell r="Q118">
            <v>0.153</v>
          </cell>
          <cell r="R118">
            <v>0.47712418300653586</v>
          </cell>
          <cell r="T118">
            <v>144.50442440608126</v>
          </cell>
          <cell r="U118">
            <v>48.375</v>
          </cell>
          <cell r="V118">
            <v>0.6423938998871408</v>
          </cell>
          <cell r="W118">
            <v>41.772942335326078</v>
          </cell>
        </row>
        <row r="119">
          <cell r="A119" t="str">
            <v>F3Q:07E</v>
          </cell>
          <cell r="C119">
            <v>1611774.3851999999</v>
          </cell>
          <cell r="D119">
            <v>0.10612260408924601</v>
          </cell>
          <cell r="F119">
            <v>1512282.1391999999</v>
          </cell>
          <cell r="G119">
            <v>0.23037193843430193</v>
          </cell>
          <cell r="I119">
            <v>3124056.5243999995</v>
          </cell>
          <cell r="J119">
            <v>0.16297406413738025</v>
          </cell>
          <cell r="L119">
            <v>19898449.199999999</v>
          </cell>
          <cell r="M119">
            <v>0.05</v>
          </cell>
          <cell r="O119">
            <v>8.1000000000000003E-2</v>
          </cell>
          <cell r="P119">
            <v>7.5999999999999998E-2</v>
          </cell>
          <cell r="Q119">
            <v>0.157</v>
          </cell>
          <cell r="R119">
            <v>0.48407643312101911</v>
          </cell>
          <cell r="T119">
            <v>151.12623436784997</v>
          </cell>
          <cell r="U119">
            <v>48.375</v>
          </cell>
          <cell r="V119">
            <v>0.65149045514507908</v>
          </cell>
          <cell r="W119">
            <v>44.305784645702609</v>
          </cell>
        </row>
        <row r="120">
          <cell r="A120" t="str">
            <v>F4Q:07E</v>
          </cell>
          <cell r="C120">
            <v>1614963.0957180003</v>
          </cell>
          <cell r="D120">
            <v>0.11818181818181839</v>
          </cell>
          <cell r="F120">
            <v>1555879.0800210002</v>
          </cell>
          <cell r="G120">
            <v>0.23805970149253719</v>
          </cell>
          <cell r="I120">
            <v>3170842.1757390006</v>
          </cell>
          <cell r="J120">
            <v>0.17395833333333344</v>
          </cell>
          <cell r="L120">
            <v>19694671.899000004</v>
          </cell>
          <cell r="M120">
            <v>0.05</v>
          </cell>
          <cell r="O120">
            <v>8.2000000000000003E-2</v>
          </cell>
          <cell r="P120">
            <v>7.9000000000000001E-2</v>
          </cell>
          <cell r="Q120">
            <v>0.161</v>
          </cell>
          <cell r="R120">
            <v>0.49068322981366458</v>
          </cell>
          <cell r="T120">
            <v>153.38949025137416</v>
          </cell>
          <cell r="U120">
            <v>48.375</v>
          </cell>
          <cell r="V120">
            <v>0.65441945565608106</v>
          </cell>
          <cell r="W120">
            <v>45.171480021150607</v>
          </cell>
        </row>
        <row r="121">
          <cell r="A121" t="str">
            <v>F2007E</v>
          </cell>
          <cell r="C121">
            <v>6311909.6608680002</v>
          </cell>
          <cell r="D121">
            <v>0.12322213638633572</v>
          </cell>
          <cell r="F121">
            <v>5843130.334671001</v>
          </cell>
          <cell r="G121">
            <v>0.25187751522132218</v>
          </cell>
          <cell r="I121">
            <v>12155039.995539002</v>
          </cell>
          <cell r="J121">
            <v>0.18159682903906216</v>
          </cell>
          <cell r="L121">
            <v>78398794.29900001</v>
          </cell>
          <cell r="M121">
            <v>5.0000000000000266E-2</v>
          </cell>
          <cell r="O121">
            <v>8.0510289951595718E-2</v>
          </cell>
          <cell r="P121">
            <v>7.4530869854787185E-2</v>
          </cell>
          <cell r="Q121">
            <v>0.15504115980638289</v>
          </cell>
          <cell r="R121">
            <v>0.48071666870824586</v>
          </cell>
          <cell r="T121">
            <v>588.00005978419915</v>
          </cell>
          <cell r="U121">
            <v>48.375</v>
          </cell>
          <cell r="V121">
            <v>0.64591838809669333</v>
          </cell>
          <cell r="W121">
            <v>170.91002286745618</v>
          </cell>
        </row>
        <row r="122">
          <cell r="A122" t="str">
            <v>F4Q:07E</v>
          </cell>
          <cell r="C122">
            <v>1614963.0957180003</v>
          </cell>
          <cell r="D122">
            <v>0.11818181818181839</v>
          </cell>
          <cell r="F122">
            <v>1555879.0800210002</v>
          </cell>
          <cell r="G122">
            <v>0.23805970149253719</v>
          </cell>
          <cell r="I122">
            <v>0</v>
          </cell>
          <cell r="J122">
            <v>0.17395833333333344</v>
          </cell>
          <cell r="L122">
            <v>19694671.899000004</v>
          </cell>
          <cell r="M122">
            <v>0.05</v>
          </cell>
          <cell r="O122">
            <v>8.2000000000000003E-2</v>
          </cell>
          <cell r="P122">
            <v>7.9000000000000001E-2</v>
          </cell>
          <cell r="Q122">
            <v>0.161</v>
          </cell>
          <cell r="R122">
            <v>0.49068322981366458</v>
          </cell>
          <cell r="T122">
            <v>153.38949025137416</v>
          </cell>
          <cell r="U122">
            <v>48.375</v>
          </cell>
          <cell r="V122">
            <v>0.65441945565608106</v>
          </cell>
          <cell r="W122">
            <v>45.171480021150607</v>
          </cell>
        </row>
        <row r="123">
          <cell r="A123" t="str">
            <v>F2008E</v>
          </cell>
          <cell r="C123">
            <v>6930453.4160316018</v>
          </cell>
          <cell r="D123">
            <v>9.7996294053191546E-2</v>
          </cell>
          <cell r="F123">
            <v>6930453.4160316018</v>
          </cell>
          <cell r="G123">
            <v>0.18608571417769393</v>
          </cell>
          <cell r="I123">
            <v>13860906.832063204</v>
          </cell>
          <cell r="J123">
            <v>0.14034234664388334</v>
          </cell>
          <cell r="L123">
            <v>81534746.070960015</v>
          </cell>
          <cell r="M123">
            <v>0.04</v>
          </cell>
          <cell r="O123">
            <v>8.5000000000000006E-2</v>
          </cell>
          <cell r="P123">
            <v>8.5000000000000006E-2</v>
          </cell>
          <cell r="Q123">
            <v>0.17</v>
          </cell>
          <cell r="R123">
            <v>0.5</v>
          </cell>
          <cell r="T123">
            <v>720.81047060113679</v>
          </cell>
          <cell r="U123">
            <v>52.003124999999997</v>
          </cell>
          <cell r="V123">
            <v>0.68352073132355684</v>
          </cell>
          <cell r="W123">
            <v>221.7100050049348</v>
          </cell>
        </row>
        <row r="124">
          <cell r="A124" t="str">
            <v>F2007E</v>
          </cell>
          <cell r="C124">
            <v>6311909.6608680002</v>
          </cell>
          <cell r="D124">
            <v>0.12322213638633572</v>
          </cell>
          <cell r="F124">
            <v>5843130.334671001</v>
          </cell>
          <cell r="G124">
            <v>0.25187751522132218</v>
          </cell>
          <cell r="I124">
            <v>0</v>
          </cell>
          <cell r="J124">
            <v>0.18159682903906216</v>
          </cell>
          <cell r="L124">
            <v>78398794.29900001</v>
          </cell>
          <cell r="M124">
            <v>5.0000000000000266E-2</v>
          </cell>
          <cell r="O124">
            <v>8.0510289951595718E-2</v>
          </cell>
          <cell r="P124">
            <v>7.4530869854787185E-2</v>
          </cell>
          <cell r="Q124">
            <v>0.15504115980638289</v>
          </cell>
          <cell r="R124">
            <v>0.48071666870824586</v>
          </cell>
          <cell r="T124">
            <v>588.00005978419915</v>
          </cell>
          <cell r="U124">
            <v>48.375</v>
          </cell>
          <cell r="V124">
            <v>0.64591838809669333</v>
          </cell>
          <cell r="W124">
            <v>170.91002286745618</v>
          </cell>
        </row>
        <row r="125">
          <cell r="A125" t="str">
            <v>F2009E</v>
          </cell>
          <cell r="C125">
            <v>7558270.9607779933</v>
          </cell>
          <cell r="D125">
            <v>9.0588235294117636E-2</v>
          </cell>
          <cell r="F125">
            <v>7978174.9030434377</v>
          </cell>
          <cell r="G125">
            <v>0.15117647058823525</v>
          </cell>
          <cell r="I125">
            <v>15536445.863821432</v>
          </cell>
          <cell r="J125">
            <v>0.12088235294117644</v>
          </cell>
          <cell r="L125">
            <v>83980788.45308882</v>
          </cell>
          <cell r="M125">
            <v>0.03</v>
          </cell>
          <cell r="O125">
            <v>0.09</v>
          </cell>
          <cell r="P125">
            <v>9.5000000000000001E-2</v>
          </cell>
          <cell r="Q125">
            <v>0.185</v>
          </cell>
          <cell r="R125">
            <v>0.51351351351351349</v>
          </cell>
          <cell r="T125">
            <v>868.53951653544175</v>
          </cell>
          <cell r="U125">
            <v>55.903359374999994</v>
          </cell>
          <cell r="V125">
            <v>0.71183702904080437</v>
          </cell>
          <cell r="W125">
            <v>200.93404144291577</v>
          </cell>
        </row>
        <row r="126">
          <cell r="A126" t="str">
            <v>F2008E</v>
          </cell>
          <cell r="C126">
            <v>6930453.4160316018</v>
          </cell>
          <cell r="D126">
            <v>9.7996294053191546E-2</v>
          </cell>
          <cell r="F126">
            <v>6930453.4160316018</v>
          </cell>
          <cell r="G126">
            <v>0.18608571417769393</v>
          </cell>
          <cell r="I126">
            <v>0</v>
          </cell>
          <cell r="J126">
            <v>0.14034234664388334</v>
          </cell>
          <cell r="L126">
            <v>81534746.070960015</v>
          </cell>
          <cell r="M126">
            <v>0.04</v>
          </cell>
          <cell r="O126">
            <v>8.5000000000000006E-2</v>
          </cell>
          <cell r="P126">
            <v>8.5000000000000006E-2</v>
          </cell>
          <cell r="Q126">
            <v>0.17</v>
          </cell>
          <cell r="R126">
            <v>0.5</v>
          </cell>
          <cell r="T126">
            <v>720.81047060113679</v>
          </cell>
          <cell r="U126">
            <v>52.003124999999997</v>
          </cell>
          <cell r="V126">
            <v>0.68352073132355684</v>
          </cell>
          <cell r="W126">
            <v>221.7100050049348</v>
          </cell>
        </row>
        <row r="127">
          <cell r="A127" t="str">
            <v>F2010E</v>
          </cell>
          <cell r="C127">
            <v>8137738.4011043068</v>
          </cell>
          <cell r="D127">
            <v>7.6666666666666661E-2</v>
          </cell>
          <cell r="F127">
            <v>8994342.443325812</v>
          </cell>
          <cell r="G127">
            <v>0.12736842105263158</v>
          </cell>
          <cell r="I127">
            <v>17132080.844430119</v>
          </cell>
          <cell r="J127">
            <v>0.10270270270270254</v>
          </cell>
          <cell r="L127">
            <v>85660404.222150594</v>
          </cell>
          <cell r="M127">
            <v>0.02</v>
          </cell>
          <cell r="O127">
            <v>9.5000000000000001E-2</v>
          </cell>
          <cell r="P127">
            <v>0.105</v>
          </cell>
          <cell r="Q127">
            <v>0.2</v>
          </cell>
          <cell r="R127">
            <v>0.52500000000000002</v>
          </cell>
          <cell r="T127">
            <v>1029.57143770931</v>
          </cell>
          <cell r="U127">
            <v>60.096111328124991</v>
          </cell>
          <cell r="V127">
            <v>0.7334466501256216</v>
          </cell>
          <cell r="W127">
            <v>245.41910966719689</v>
          </cell>
        </row>
        <row r="128">
          <cell r="A128" t="str">
            <v>F2009E</v>
          </cell>
          <cell r="C128">
            <v>7558270.9607779933</v>
          </cell>
          <cell r="D128">
            <v>9.0588235294117636E-2</v>
          </cell>
          <cell r="F128">
            <v>7978174.9030434377</v>
          </cell>
          <cell r="G128">
            <v>0.15117647058823525</v>
          </cell>
          <cell r="I128">
            <v>15536445.863821432</v>
          </cell>
          <cell r="J128">
            <v>0.12088235294117644</v>
          </cell>
          <cell r="L128">
            <v>83980788.45308882</v>
          </cell>
          <cell r="M128">
            <v>0.03</v>
          </cell>
          <cell r="O128">
            <v>0.09</v>
          </cell>
          <cell r="P128">
            <v>9.5000000000000001E-2</v>
          </cell>
          <cell r="Q128">
            <v>0.185</v>
          </cell>
          <cell r="R128">
            <v>0.51351351351351349</v>
          </cell>
          <cell r="T128">
            <v>868.53951653544175</v>
          </cell>
          <cell r="U128">
            <v>55.903359374999994</v>
          </cell>
          <cell r="V128">
            <v>0.71183702904080437</v>
          </cell>
          <cell r="W128">
            <v>200.93404144291577</v>
          </cell>
        </row>
        <row r="129">
          <cell r="A129" t="str">
            <v>F2011E</v>
          </cell>
          <cell r="C129">
            <v>8737361.2306593619</v>
          </cell>
          <cell r="D129">
            <v>7.3684210526315796E-2</v>
          </cell>
          <cell r="F129">
            <v>10047965.415258266</v>
          </cell>
          <cell r="G129">
            <v>0.11714285714285744</v>
          </cell>
          <cell r="I129">
            <v>18785326.645917628</v>
          </cell>
          <cell r="J129">
            <v>9.6500000000000252E-2</v>
          </cell>
          <cell r="L129">
            <v>87373612.306593612</v>
          </cell>
          <cell r="M129">
            <v>0.02</v>
          </cell>
          <cell r="O129">
            <v>0.1</v>
          </cell>
          <cell r="P129">
            <v>0.115</v>
          </cell>
          <cell r="Q129">
            <v>0.21500000000000002</v>
          </cell>
          <cell r="R129">
            <v>0.53488372093023251</v>
          </cell>
          <cell r="T129">
            <v>1185.3713355206717</v>
          </cell>
          <cell r="U129">
            <v>63.100916894531245</v>
          </cell>
          <cell r="V129">
            <v>0.74876590026762346</v>
          </cell>
          <cell r="W129">
            <v>288.45883143758556</v>
          </cell>
        </row>
        <row r="130">
          <cell r="A130" t="str">
            <v>F2010E</v>
          </cell>
          <cell r="C130">
            <v>8137738.4011043068</v>
          </cell>
          <cell r="D130">
            <v>7.6666666666666661E-2</v>
          </cell>
          <cell r="F130">
            <v>8994342.443325812</v>
          </cell>
          <cell r="G130">
            <v>0.12736842105263158</v>
          </cell>
          <cell r="I130">
            <v>17132080.844430119</v>
          </cell>
          <cell r="J130">
            <v>0.10270270270270254</v>
          </cell>
          <cell r="L130">
            <v>85660404.222150594</v>
          </cell>
          <cell r="M130">
            <v>0.02</v>
          </cell>
          <cell r="O130">
            <v>9.5000000000000001E-2</v>
          </cell>
          <cell r="P130">
            <v>0.105</v>
          </cell>
          <cell r="Q130">
            <v>0.2</v>
          </cell>
          <cell r="R130">
            <v>0.52500000000000002</v>
          </cell>
          <cell r="T130">
            <v>1029.57143770931</v>
          </cell>
          <cell r="U130">
            <v>60.096111328124991</v>
          </cell>
          <cell r="V130">
            <v>0.7334466501256216</v>
          </cell>
          <cell r="W130">
            <v>245.41910966719689</v>
          </cell>
        </row>
        <row r="131">
          <cell r="A131" t="str">
            <v>F2012E</v>
          </cell>
          <cell r="C131">
            <v>9265971.5851142518</v>
          </cell>
          <cell r="D131">
            <v>6.0499999999999776E-2</v>
          </cell>
          <cell r="F131">
            <v>11030918.553707443</v>
          </cell>
          <cell r="G131">
            <v>9.7826086956521729E-2</v>
          </cell>
          <cell r="I131">
            <v>20296890.138821695</v>
          </cell>
          <cell r="J131">
            <v>8.0465116279069715E-2</v>
          </cell>
          <cell r="L131">
            <v>88247348.429659545</v>
          </cell>
          <cell r="M131">
            <v>0.01</v>
          </cell>
          <cell r="O131">
            <v>0.105</v>
          </cell>
          <cell r="P131">
            <v>0.125</v>
          </cell>
          <cell r="Q131">
            <v>0.22999999999999998</v>
          </cell>
          <cell r="R131">
            <v>0.54347826086956519</v>
          </cell>
          <cell r="T131">
            <v>1344.7899967605797</v>
          </cell>
          <cell r="U131">
            <v>66.255962739257811</v>
          </cell>
          <cell r="V131">
            <v>0.76076673659897531</v>
          </cell>
          <cell r="W131">
            <v>332.49823660511015</v>
          </cell>
        </row>
        <row r="132">
          <cell r="A132" t="str">
            <v>F2013E</v>
          </cell>
          <cell r="C132">
            <v>9707208.3272625506</v>
          </cell>
          <cell r="D132">
            <v>4.7619047619047672E-2</v>
          </cell>
          <cell r="F132">
            <v>11913392.038004039</v>
          </cell>
          <cell r="G132">
            <v>8.0000000000000071E-2</v>
          </cell>
          <cell r="I132">
            <v>21620600.365266591</v>
          </cell>
          <cell r="J132">
            <v>6.5217391304347894E-2</v>
          </cell>
          <cell r="L132">
            <v>88247348.429659545</v>
          </cell>
          <cell r="M132">
            <v>0</v>
          </cell>
          <cell r="O132">
            <v>0.11</v>
          </cell>
          <cell r="P132">
            <v>0.13500000000000001</v>
          </cell>
          <cell r="Q132">
            <v>0.245</v>
          </cell>
          <cell r="R132">
            <v>0.55102040816326525</v>
          </cell>
          <cell r="T132">
            <v>1504.1183768115616</v>
          </cell>
          <cell r="U132">
            <v>69.568760876220708</v>
          </cell>
          <cell r="V132">
            <v>0.77021904535574082</v>
          </cell>
          <cell r="W132">
            <v>376.51270159419391</v>
          </cell>
        </row>
        <row r="133">
          <cell r="A133" t="str">
            <v>F2014E</v>
          </cell>
          <cell r="C133">
            <v>10148445.069410847</v>
          </cell>
          <cell r="D133">
            <v>4.5454545454545414E-2</v>
          </cell>
          <cell r="F133">
            <v>12795865.522300633</v>
          </cell>
          <cell r="G133">
            <v>7.4074074074073959E-2</v>
          </cell>
          <cell r="I133">
            <v>22944310.59171148</v>
          </cell>
          <cell r="J133">
            <v>6.1224489795918213E-2</v>
          </cell>
          <cell r="L133">
            <v>88247348.429659545</v>
          </cell>
          <cell r="M133">
            <v>0</v>
          </cell>
          <cell r="O133">
            <v>0.115</v>
          </cell>
          <cell r="P133">
            <v>0.14499999999999999</v>
          </cell>
          <cell r="Q133">
            <v>0.26</v>
          </cell>
          <cell r="R133">
            <v>0.55769230769230771</v>
          </cell>
          <cell r="T133">
            <v>1676.0176198757399</v>
          </cell>
          <cell r="U133">
            <v>73.047198920031747</v>
          </cell>
          <cell r="V133">
            <v>0.7784017073705366</v>
          </cell>
          <cell r="W133">
            <v>423.99986749067318</v>
          </cell>
        </row>
        <row r="134">
          <cell r="A134" t="str">
            <v>F2015E</v>
          </cell>
          <cell r="C134">
            <v>10589681.811559144</v>
          </cell>
          <cell r="D134">
            <v>4.3478260869565188E-2</v>
          </cell>
          <cell r="F134">
            <v>13678339.00659723</v>
          </cell>
          <cell r="G134">
            <v>6.8965517241379448E-2</v>
          </cell>
          <cell r="I134">
            <v>24268020.818156376</v>
          </cell>
          <cell r="J134">
            <v>5.7692307692307931E-2</v>
          </cell>
          <cell r="L134">
            <v>88247348.429659545</v>
          </cell>
          <cell r="M134">
            <v>0</v>
          </cell>
          <cell r="O134">
            <v>0.12</v>
          </cell>
          <cell r="P134">
            <v>0.155</v>
          </cell>
          <cell r="Q134">
            <v>0.27500000000000002</v>
          </cell>
          <cell r="R134">
            <v>0.5636363636363636</v>
          </cell>
          <cell r="T134">
            <v>1861.3464913043076</v>
          </cell>
          <cell r="U134">
            <v>76.699558866033342</v>
          </cell>
          <cell r="V134">
            <v>0.78553054170160874</v>
          </cell>
          <cell r="W134">
            <v>475.19696822281503</v>
          </cell>
        </row>
        <row r="135">
          <cell r="A135" t="str">
            <v>F2016E</v>
          </cell>
          <cell r="C135">
            <v>11030918.553707443</v>
          </cell>
          <cell r="D135">
            <v>4.1666666666666741E-2</v>
          </cell>
          <cell r="F135">
            <v>14560812.490893826</v>
          </cell>
          <cell r="G135">
            <v>6.4516129032258007E-2</v>
          </cell>
          <cell r="I135">
            <v>25591731.044601269</v>
          </cell>
          <cell r="J135">
            <v>5.4545454545454453E-2</v>
          </cell>
          <cell r="L135">
            <v>88247348.429659545</v>
          </cell>
          <cell r="M135">
            <v>0</v>
          </cell>
          <cell r="O135">
            <v>0.125</v>
          </cell>
          <cell r="P135">
            <v>0.16500000000000001</v>
          </cell>
          <cell r="Q135">
            <v>0.29000000000000004</v>
          </cell>
          <cell r="R135">
            <v>0.56896551724137934</v>
          </cell>
          <cell r="T135">
            <v>2061.0182058260425</v>
          </cell>
          <cell r="U135">
            <v>80.534536809335009</v>
          </cell>
          <cell r="V135">
            <v>0.79177635129045121</v>
          </cell>
          <cell r="W135">
            <v>530.35627935944422</v>
          </cell>
        </row>
        <row r="136">
          <cell r="A136" t="str">
            <v>F2015E</v>
          </cell>
          <cell r="C136">
            <v>10589681.811559144</v>
          </cell>
          <cell r="D136">
            <v>4.3478260869565188E-2</v>
          </cell>
          <cell r="F136">
            <v>13678339.00659723</v>
          </cell>
          <cell r="G136">
            <v>6.8965517241379448E-2</v>
          </cell>
          <cell r="I136">
            <v>24268020.818156376</v>
          </cell>
          <cell r="J136">
            <v>5.7692307692307931E-2</v>
          </cell>
          <cell r="L136">
            <v>88247348.429659545</v>
          </cell>
          <cell r="M136">
            <v>0</v>
          </cell>
          <cell r="O136">
            <v>0.12</v>
          </cell>
          <cell r="P136">
            <v>0.155</v>
          </cell>
          <cell r="Q136">
            <v>0.27500000000000002</v>
          </cell>
          <cell r="R136">
            <v>0.5636363636363636</v>
          </cell>
          <cell r="T136">
            <v>1861.3464913043076</v>
          </cell>
          <cell r="U136">
            <v>76.699558866033342</v>
          </cell>
          <cell r="V136">
            <v>0.78553054170160874</v>
          </cell>
          <cell r="W136">
            <v>475.19696822281503</v>
          </cell>
        </row>
        <row r="137">
          <cell r="A137" t="str">
            <v>Source:  IMS, Company Reports, and Merrill Lynch</v>
          </cell>
          <cell r="C137">
            <v>11030918.553707443</v>
          </cell>
          <cell r="D137">
            <v>4.1666666666666741E-2</v>
          </cell>
          <cell r="F137">
            <v>14560812.490893826</v>
          </cell>
          <cell r="G137">
            <v>6.4516129032258007E-2</v>
          </cell>
          <cell r="I137">
            <v>25591731.044601269</v>
          </cell>
          <cell r="J137">
            <v>5.4545454545454453E-2</v>
          </cell>
          <cell r="L137">
            <v>88247348.429659545</v>
          </cell>
          <cell r="M137">
            <v>0</v>
          </cell>
          <cell r="O137">
            <v>0.125</v>
          </cell>
          <cell r="P137">
            <v>0.16500000000000001</v>
          </cell>
          <cell r="Q137">
            <v>0.29000000000000004</v>
          </cell>
          <cell r="R137">
            <v>0.56896551724137934</v>
          </cell>
          <cell r="T137">
            <v>2061.0182058260425</v>
          </cell>
          <cell r="U137">
            <v>80.534536809335009</v>
          </cell>
          <cell r="V137">
            <v>0.79177635129045121</v>
          </cell>
          <cell r="W137">
            <v>530.35627935944422</v>
          </cell>
        </row>
        <row r="138">
          <cell r="A138" t="str">
            <v>(1)  Total ANGIO II ANTAG,ALONE + ANGIO II ANTAG,COMBO Market, based on IMS data</v>
          </cell>
          <cell r="C138">
            <v>11030918.553707443</v>
          </cell>
          <cell r="D138">
            <v>4.1666666666666741E-2</v>
          </cell>
          <cell r="F138">
            <v>14560812.490893826</v>
          </cell>
          <cell r="G138">
            <v>6.4516129032258007E-2</v>
          </cell>
          <cell r="I138">
            <v>25591731.044601269</v>
          </cell>
          <cell r="J138">
            <v>5.4545454545454453E-2</v>
          </cell>
          <cell r="L138">
            <v>88247348.429659545</v>
          </cell>
          <cell r="M138">
            <v>0</v>
          </cell>
          <cell r="O138">
            <v>0.125</v>
          </cell>
          <cell r="P138">
            <v>0.16500000000000001</v>
          </cell>
          <cell r="Q138">
            <v>0.29000000000000004</v>
          </cell>
          <cell r="R138">
            <v>0.56896551724137934</v>
          </cell>
          <cell r="T138">
            <v>2061.0182058260425</v>
          </cell>
          <cell r="U138">
            <v>80.534536809335009</v>
          </cell>
          <cell r="V138">
            <v>0.79177635129045121</v>
          </cell>
          <cell r="W138">
            <v>530.35627935944422</v>
          </cell>
        </row>
        <row r="139">
          <cell r="A139" t="str">
            <v>(2)  Assumes 7.5% price increases per year from F2007-2011</v>
          </cell>
          <cell r="C139">
            <v>11023441.34035938</v>
          </cell>
          <cell r="D139">
            <v>4.1666666666666741E-2</v>
          </cell>
          <cell r="F139">
            <v>14550942.569274383</v>
          </cell>
          <cell r="G139">
            <v>6.4516129032258229E-2</v>
          </cell>
          <cell r="I139">
            <v>25574383.909633763</v>
          </cell>
          <cell r="J139">
            <v>5.4545454545454675E-2</v>
          </cell>
          <cell r="L139">
            <v>88187530.722875044</v>
          </cell>
          <cell r="M139">
            <v>0</v>
          </cell>
          <cell r="O139">
            <v>0.125</v>
          </cell>
          <cell r="P139">
            <v>0.16500000000000001</v>
          </cell>
          <cell r="Q139">
            <v>0.29000000000000004</v>
          </cell>
          <cell r="R139">
            <v>0.56896551724137934</v>
          </cell>
          <cell r="T139">
            <v>2059.6211623464656</v>
          </cell>
          <cell r="U139">
            <v>80.534536809335009</v>
          </cell>
          <cell r="V139">
            <v>0.79173685812040906</v>
          </cell>
          <cell r="W139">
            <v>529.97034609821105</v>
          </cell>
        </row>
        <row r="140">
          <cell r="A140" t="str">
            <v>(3)  Assumes 85% gross margin, $120 million in annualized marketing costs, and 45% share to FRX</v>
          </cell>
        </row>
      </sheetData>
      <sheetData sheetId="7"/>
      <sheetData sheetId="8"/>
      <sheetData sheetId="9"/>
      <sheetData sheetId="10">
        <row r="3">
          <cell r="A3" t="str">
            <v>Product</v>
          </cell>
        </row>
      </sheetData>
      <sheetData sheetId="11"/>
      <sheetData sheetId="12">
        <row r="3">
          <cell r="A3" t="str">
            <v>Product</v>
          </cell>
          <cell r="C3">
            <v>36739</v>
          </cell>
          <cell r="D3">
            <v>36770</v>
          </cell>
          <cell r="E3">
            <v>36800</v>
          </cell>
          <cell r="F3">
            <v>36831</v>
          </cell>
          <cell r="G3">
            <v>36861</v>
          </cell>
          <cell r="H3" t="str">
            <v>Q3:F01</v>
          </cell>
          <cell r="I3">
            <v>36892</v>
          </cell>
          <cell r="J3">
            <v>36923</v>
          </cell>
          <cell r="K3">
            <v>36951</v>
          </cell>
          <cell r="L3" t="str">
            <v>Q4:F01</v>
          </cell>
          <cell r="M3">
            <v>36982</v>
          </cell>
          <cell r="N3">
            <v>37012</v>
          </cell>
          <cell r="O3">
            <v>37043</v>
          </cell>
          <cell r="P3" t="str">
            <v>Q1:F02</v>
          </cell>
          <cell r="Q3">
            <v>37073</v>
          </cell>
          <cell r="R3">
            <v>37104</v>
          </cell>
          <cell r="S3">
            <v>37135</v>
          </cell>
          <cell r="T3" t="str">
            <v>Q2:F02</v>
          </cell>
          <cell r="U3">
            <v>37165</v>
          </cell>
          <cell r="V3">
            <v>37196</v>
          </cell>
          <cell r="W3">
            <v>37226</v>
          </cell>
          <cell r="X3" t="str">
            <v>Q3:F02</v>
          </cell>
          <cell r="Y3">
            <v>37257</v>
          </cell>
          <cell r="Z3">
            <v>37288</v>
          </cell>
          <cell r="AA3">
            <v>37316</v>
          </cell>
          <cell r="AB3" t="str">
            <v>Q4:F02</v>
          </cell>
          <cell r="AC3">
            <v>37347</v>
          </cell>
          <cell r="AD3">
            <v>37377</v>
          </cell>
          <cell r="AE3">
            <v>37408</v>
          </cell>
          <cell r="AF3" t="str">
            <v>Q1:F03</v>
          </cell>
          <cell r="AG3">
            <v>37438</v>
          </cell>
          <cell r="AH3">
            <v>37469</v>
          </cell>
          <cell r="AI3">
            <v>37500</v>
          </cell>
          <cell r="AJ3" t="str">
            <v>Q2:F03</v>
          </cell>
          <cell r="AK3">
            <v>37530</v>
          </cell>
          <cell r="AL3">
            <v>37561</v>
          </cell>
          <cell r="AM3">
            <v>37591</v>
          </cell>
          <cell r="AN3" t="str">
            <v>Q3:F03</v>
          </cell>
          <cell r="AO3">
            <v>37622</v>
          </cell>
          <cell r="AP3">
            <v>37653</v>
          </cell>
          <cell r="AQ3">
            <v>37681</v>
          </cell>
          <cell r="AR3" t="str">
            <v>Q4:F03</v>
          </cell>
          <cell r="AS3">
            <v>37712</v>
          </cell>
          <cell r="AT3">
            <v>37742</v>
          </cell>
          <cell r="AU3">
            <v>37773</v>
          </cell>
          <cell r="AV3" t="str">
            <v>Q1:F04</v>
          </cell>
          <cell r="AW3">
            <v>37803</v>
          </cell>
          <cell r="AX3">
            <v>37834</v>
          </cell>
          <cell r="AY3">
            <v>37865</v>
          </cell>
          <cell r="AZ3" t="str">
            <v>Q2:F04</v>
          </cell>
          <cell r="BA3">
            <v>37895</v>
          </cell>
          <cell r="BB3">
            <v>37926</v>
          </cell>
          <cell r="BC3">
            <v>37956</v>
          </cell>
          <cell r="BD3" t="str">
            <v>Q3:F04</v>
          </cell>
          <cell r="BE3">
            <v>37987</v>
          </cell>
          <cell r="BF3">
            <v>38018</v>
          </cell>
          <cell r="BG3">
            <v>38047</v>
          </cell>
          <cell r="BH3" t="str">
            <v>Q4:F04</v>
          </cell>
          <cell r="BI3">
            <v>38078</v>
          </cell>
          <cell r="BJ3">
            <v>38108</v>
          </cell>
          <cell r="BK3">
            <v>38139</v>
          </cell>
          <cell r="BL3" t="str">
            <v>Q1:F05</v>
          </cell>
          <cell r="BM3">
            <v>38169</v>
          </cell>
          <cell r="BN3">
            <v>38200</v>
          </cell>
          <cell r="BO3">
            <v>38231</v>
          </cell>
          <cell r="BP3" t="str">
            <v>Q2:F05E</v>
          </cell>
        </row>
        <row r="5">
          <cell r="A5" t="str">
            <v>CELEXA</v>
          </cell>
        </row>
        <row r="6">
          <cell r="A6" t="str">
            <v>TRx</v>
          </cell>
          <cell r="D6">
            <v>982585</v>
          </cell>
          <cell r="E6">
            <v>1070135</v>
          </cell>
          <cell r="F6">
            <v>1076826</v>
          </cell>
          <cell r="G6">
            <v>1130864</v>
          </cell>
          <cell r="H6">
            <v>3277825</v>
          </cell>
          <cell r="I6">
            <v>1214273</v>
          </cell>
          <cell r="J6">
            <v>1123734</v>
          </cell>
          <cell r="K6">
            <v>1281256</v>
          </cell>
          <cell r="L6">
            <v>3619263</v>
          </cell>
          <cell r="M6">
            <v>1257041</v>
          </cell>
          <cell r="N6">
            <v>1346922</v>
          </cell>
          <cell r="O6">
            <v>1327379</v>
          </cell>
          <cell r="P6">
            <v>3931342</v>
          </cell>
          <cell r="Q6">
            <v>1396804</v>
          </cell>
          <cell r="R6">
            <v>1468005</v>
          </cell>
          <cell r="S6">
            <v>1403120</v>
          </cell>
          <cell r="T6">
            <v>4267929</v>
          </cell>
          <cell r="U6">
            <v>1583122</v>
          </cell>
          <cell r="V6">
            <v>1564262</v>
          </cell>
          <cell r="W6">
            <v>1646163</v>
          </cell>
          <cell r="X6">
            <v>4793547</v>
          </cell>
          <cell r="Y6">
            <v>1747570</v>
          </cell>
          <cell r="Z6">
            <v>1622011</v>
          </cell>
          <cell r="AA6">
            <v>1792279</v>
          </cell>
          <cell r="AB6">
            <v>5161860</v>
          </cell>
          <cell r="AC6">
            <v>1846490</v>
          </cell>
          <cell r="AD6">
            <v>1906020</v>
          </cell>
          <cell r="AE6">
            <v>1807579</v>
          </cell>
          <cell r="AF6">
            <v>5560089</v>
          </cell>
          <cell r="AG6">
            <v>1953698</v>
          </cell>
          <cell r="AH6">
            <v>1955179</v>
          </cell>
          <cell r="AI6">
            <v>1885291</v>
          </cell>
          <cell r="AJ6">
            <v>5794168</v>
          </cell>
          <cell r="AK6">
            <v>1939512</v>
          </cell>
          <cell r="AL6">
            <v>1805816</v>
          </cell>
          <cell r="AM6">
            <v>1857333</v>
          </cell>
          <cell r="AN6">
            <v>5602661</v>
          </cell>
          <cell r="AO6">
            <v>1786956</v>
          </cell>
          <cell r="AP6">
            <v>1563096</v>
          </cell>
          <cell r="AQ6">
            <v>1662590</v>
          </cell>
          <cell r="AR6">
            <v>5012642</v>
          </cell>
          <cell r="AS6">
            <v>1565335</v>
          </cell>
          <cell r="AT6">
            <v>1544724</v>
          </cell>
          <cell r="AU6">
            <v>1457380</v>
          </cell>
          <cell r="AV6">
            <v>4567439</v>
          </cell>
          <cell r="AW6">
            <v>1462130</v>
          </cell>
          <cell r="AX6">
            <v>1376684</v>
          </cell>
          <cell r="AY6">
            <v>1355878</v>
          </cell>
          <cell r="AZ6">
            <v>4194692</v>
          </cell>
          <cell r="BA6">
            <v>1353948</v>
          </cell>
          <cell r="BB6">
            <v>1227044</v>
          </cell>
          <cell r="BC6">
            <v>1323513</v>
          </cell>
          <cell r="BD6">
            <v>3904505</v>
          </cell>
          <cell r="BE6">
            <v>1233521</v>
          </cell>
          <cell r="BF6">
            <v>1118689</v>
          </cell>
          <cell r="BG6">
            <v>1195802</v>
          </cell>
          <cell r="BH6">
            <v>3548012</v>
          </cell>
          <cell r="BI6">
            <v>1094549</v>
          </cell>
          <cell r="BJ6">
            <v>1049480</v>
          </cell>
          <cell r="BK6">
            <v>1061638</v>
          </cell>
          <cell r="BL6">
            <v>3205667</v>
          </cell>
          <cell r="BM6">
            <v>1028407</v>
          </cell>
          <cell r="BN6">
            <v>1017934</v>
          </cell>
          <cell r="BO6">
            <v>970952</v>
          </cell>
          <cell r="BP6">
            <v>3017293</v>
          </cell>
        </row>
        <row r="7">
          <cell r="A7" t="str">
            <v xml:space="preserve">  % Change</v>
          </cell>
          <cell r="S7">
            <v>0.42798841830477774</v>
          </cell>
          <cell r="U7">
            <v>0.47936662196825641</v>
          </cell>
          <cell r="V7">
            <v>0.4526599469180721</v>
          </cell>
          <cell r="W7">
            <v>0.45566840928705843</v>
          </cell>
          <cell r="X7">
            <v>0.46241699907713185</v>
          </cell>
          <cell r="Y7">
            <v>0.4391903632873333</v>
          </cell>
          <cell r="Z7">
            <v>0.44341187505228108</v>
          </cell>
          <cell r="AA7">
            <v>0.39884535174859659</v>
          </cell>
          <cell r="AB7">
            <v>0.42621854228333222</v>
          </cell>
          <cell r="AC7">
            <v>0.4689178793690898</v>
          </cell>
          <cell r="AD7">
            <v>0.41509307888652791</v>
          </cell>
          <cell r="AE7">
            <v>0.3617655545251206</v>
          </cell>
          <cell r="AF7">
            <v>0.41429796746251024</v>
          </cell>
          <cell r="AG7">
            <v>0.39869158450290798</v>
          </cell>
          <cell r="AH7">
            <v>0.33186126750249478</v>
          </cell>
          <cell r="AI7">
            <v>0.34364202634129648</v>
          </cell>
          <cell r="AJ7">
            <v>0.35760646439994659</v>
          </cell>
          <cell r="AK7">
            <v>0.22511846844399863</v>
          </cell>
          <cell r="AL7">
            <v>0.15442042317719151</v>
          </cell>
          <cell r="AM7">
            <v>0.12828012778807452</v>
          </cell>
          <cell r="AN7">
            <v>0.16879233686453898</v>
          </cell>
          <cell r="AO7">
            <v>2.2537580754991238E-2</v>
          </cell>
          <cell r="AP7">
            <v>-3.6322195102252652E-2</v>
          </cell>
          <cell r="AQ7">
            <v>-7.2359827906257945E-2</v>
          </cell>
          <cell r="AR7">
            <v>-2.890779680192801E-2</v>
          </cell>
          <cell r="AS7">
            <v>-0.15226456682679024</v>
          </cell>
          <cell r="AT7">
            <v>-0.18955519879119842</v>
          </cell>
          <cell r="AU7">
            <v>-0.19373925012406101</v>
          </cell>
          <cell r="AV7">
            <v>-0.17853131487643448</v>
          </cell>
          <cell r="AW7">
            <v>-0.25160899995802832</v>
          </cell>
          <cell r="AX7">
            <v>-0.29587828019838591</v>
          </cell>
          <cell r="AY7">
            <v>-0.28081235204538713</v>
          </cell>
          <cell r="AZ7">
            <v>-0.27604929646499721</v>
          </cell>
          <cell r="BA7">
            <v>-0.30191305854256123</v>
          </cell>
          <cell r="BB7">
            <v>-0.32050441462474577</v>
          </cell>
          <cell r="BC7">
            <v>-0.28741211188300642</v>
          </cell>
          <cell r="BD7">
            <v>-0.30309811712684387</v>
          </cell>
          <cell r="BE7">
            <v>-0.30970824127734542</v>
          </cell>
          <cell r="BF7">
            <v>-0.28431203201850686</v>
          </cell>
          <cell r="BG7">
            <v>-0.280759537829531</v>
          </cell>
          <cell r="BH7">
            <v>-0.29218723379806499</v>
          </cell>
          <cell r="BI7">
            <v>-0.30075734587165048</v>
          </cell>
          <cell r="BJ7">
            <v>-0.3206035511845482</v>
          </cell>
          <cell r="BK7">
            <v>-0.27154345469266772</v>
          </cell>
          <cell r="BL7">
            <v>-0.29814782419644792</v>
          </cell>
          <cell r="BM7">
            <v>-0.2966377818661815</v>
          </cell>
          <cell r="BN7">
            <v>-0.26058993930342766</v>
          </cell>
          <cell r="BO7">
            <v>-0.2838942736735901</v>
          </cell>
          <cell r="BP7">
            <v>-0.28068783119237362</v>
          </cell>
        </row>
        <row r="8">
          <cell r="A8" t="str">
            <v>NRx</v>
          </cell>
          <cell r="D8">
            <v>454972</v>
          </cell>
          <cell r="E8">
            <v>494233</v>
          </cell>
          <cell r="F8">
            <v>489656</v>
          </cell>
          <cell r="G8">
            <v>495381</v>
          </cell>
          <cell r="H8">
            <v>1479270</v>
          </cell>
          <cell r="I8">
            <v>555604</v>
          </cell>
          <cell r="J8">
            <v>515061</v>
          </cell>
          <cell r="K8">
            <v>586242</v>
          </cell>
          <cell r="L8">
            <v>1656907</v>
          </cell>
          <cell r="M8">
            <v>563448</v>
          </cell>
          <cell r="N8">
            <v>602582</v>
          </cell>
          <cell r="O8">
            <v>586109</v>
          </cell>
          <cell r="P8">
            <v>1752139</v>
          </cell>
          <cell r="Q8">
            <v>609345</v>
          </cell>
          <cell r="R8">
            <v>651488</v>
          </cell>
          <cell r="S8">
            <v>607820</v>
          </cell>
          <cell r="T8">
            <v>1868653</v>
          </cell>
          <cell r="U8">
            <v>699196</v>
          </cell>
          <cell r="V8">
            <v>680281</v>
          </cell>
          <cell r="W8">
            <v>691849</v>
          </cell>
          <cell r="X8">
            <v>2071326</v>
          </cell>
          <cell r="Y8">
            <v>769853</v>
          </cell>
          <cell r="Z8">
            <v>712212</v>
          </cell>
          <cell r="AA8">
            <v>774075</v>
          </cell>
          <cell r="AB8">
            <v>2256140</v>
          </cell>
          <cell r="AC8">
            <v>792049</v>
          </cell>
          <cell r="AD8">
            <v>811297</v>
          </cell>
          <cell r="AE8">
            <v>747374</v>
          </cell>
          <cell r="AF8">
            <v>2350720</v>
          </cell>
          <cell r="AG8">
            <v>804959</v>
          </cell>
          <cell r="AH8">
            <v>809826</v>
          </cell>
          <cell r="AI8">
            <v>766013</v>
          </cell>
          <cell r="AJ8">
            <v>2380798</v>
          </cell>
          <cell r="AK8">
            <v>770506</v>
          </cell>
          <cell r="AL8">
            <v>680309</v>
          </cell>
          <cell r="AM8">
            <v>670475</v>
          </cell>
          <cell r="AN8">
            <v>2121290</v>
          </cell>
          <cell r="AO8">
            <v>669908</v>
          </cell>
          <cell r="AP8">
            <v>579648</v>
          </cell>
          <cell r="AQ8">
            <v>604027</v>
          </cell>
          <cell r="AR8">
            <v>1853583</v>
          </cell>
          <cell r="AS8">
            <v>566088</v>
          </cell>
          <cell r="AT8">
            <v>551393</v>
          </cell>
          <cell r="AU8">
            <v>518033</v>
          </cell>
          <cell r="AV8">
            <v>1635514</v>
          </cell>
          <cell r="AW8">
            <v>519919</v>
          </cell>
          <cell r="AX8">
            <v>485757</v>
          </cell>
          <cell r="AY8">
            <v>483441</v>
          </cell>
          <cell r="AZ8">
            <v>1489117</v>
          </cell>
          <cell r="BA8">
            <v>487523</v>
          </cell>
          <cell r="BB8">
            <v>422200</v>
          </cell>
          <cell r="BC8">
            <v>452868</v>
          </cell>
          <cell r="BD8">
            <v>1362591</v>
          </cell>
          <cell r="BE8">
            <v>434214</v>
          </cell>
          <cell r="BF8">
            <v>396639</v>
          </cell>
          <cell r="BG8">
            <v>422803</v>
          </cell>
          <cell r="BH8">
            <v>1253656</v>
          </cell>
          <cell r="BI8">
            <v>380062</v>
          </cell>
          <cell r="BJ8">
            <v>358964</v>
          </cell>
          <cell r="BK8">
            <v>368163</v>
          </cell>
          <cell r="BL8">
            <v>1107189</v>
          </cell>
          <cell r="BM8">
            <v>356583</v>
          </cell>
          <cell r="BN8">
            <v>355715</v>
          </cell>
          <cell r="BO8">
            <v>341843</v>
          </cell>
          <cell r="BP8">
            <v>1054141</v>
          </cell>
        </row>
        <row r="9">
          <cell r="A9" t="str">
            <v xml:space="preserve">  % Change</v>
          </cell>
          <cell r="S9">
            <v>0.33595034419700553</v>
          </cell>
          <cell r="U9">
            <v>0.41470925656522328</v>
          </cell>
          <cell r="V9">
            <v>0.38930391948633325</v>
          </cell>
          <cell r="W9">
            <v>0.39659978884939062</v>
          </cell>
          <cell r="X9">
            <v>0.40023525117118575</v>
          </cell>
          <cell r="Y9">
            <v>0.38561457440911151</v>
          </cell>
          <cell r="Z9">
            <v>0.38277213766913043</v>
          </cell>
          <cell r="AA9">
            <v>0.32040181358551578</v>
          </cell>
          <cell r="AB9">
            <v>0.36165759454211965</v>
          </cell>
          <cell r="AC9">
            <v>0.40571800769547495</v>
          </cell>
          <cell r="AD9">
            <v>0.34636779724585209</v>
          </cell>
          <cell r="AE9">
            <v>0.27514506687322671</v>
          </cell>
          <cell r="AF9">
            <v>0.34162871781291315</v>
          </cell>
          <cell r="AG9">
            <v>0.32102339397221602</v>
          </cell>
          <cell r="AH9">
            <v>0.24304054717815227</v>
          </cell>
          <cell r="AI9">
            <v>0.2602629067816129</v>
          </cell>
          <cell r="AJ9">
            <v>0.27407175114908977</v>
          </cell>
          <cell r="AK9">
            <v>0.10198856972865977</v>
          </cell>
          <cell r="AL9">
            <v>4.115946204574783E-5</v>
          </cell>
          <cell r="AM9">
            <v>-3.0894024563163369E-2</v>
          </cell>
          <cell r="AN9">
            <v>2.4121746166465341E-2</v>
          </cell>
          <cell r="AO9">
            <v>-0.1298234857823507</v>
          </cell>
          <cell r="AP9">
            <v>-0.18612997253626729</v>
          </cell>
          <cell r="AQ9">
            <v>-0.21967897167587125</v>
          </cell>
          <cell r="AR9">
            <v>-0.17842731390782485</v>
          </cell>
          <cell r="AS9">
            <v>-0.2852866426193329</v>
          </cell>
          <cell r="AT9">
            <v>-0.32035617042833886</v>
          </cell>
          <cell r="AU9">
            <v>-0.30686242764666682</v>
          </cell>
          <cell r="AV9">
            <v>-0.30424976177511576</v>
          </cell>
          <cell r="AW9">
            <v>-0.35410499168280618</v>
          </cell>
          <cell r="AX9">
            <v>-0.40017114787621044</v>
          </cell>
          <cell r="AY9">
            <v>-0.36888668991257334</v>
          </cell>
          <cell r="AZ9">
            <v>-0.37453030454494673</v>
          </cell>
          <cell r="BA9">
            <v>-0.36726904138319494</v>
          </cell>
          <cell r="BB9">
            <v>-0.37939965515670082</v>
          </cell>
          <cell r="BC9">
            <v>-0.32455647115850705</v>
          </cell>
          <cell r="BD9">
            <v>-0.35765925451022729</v>
          </cell>
          <cell r="BE9">
            <v>-0.35183040059232018</v>
          </cell>
          <cell r="BF9">
            <v>-0.315724370652534</v>
          </cell>
          <cell r="BG9">
            <v>-0.30002632332660628</v>
          </cell>
          <cell r="BH9">
            <v>-0.32365801801160243</v>
          </cell>
          <cell r="BI9">
            <v>-0.32861675216574104</v>
          </cell>
          <cell r="BJ9">
            <v>-0.34898702014715455</v>
          </cell>
          <cell r="BK9">
            <v>-0.28930589363998049</v>
          </cell>
          <cell r="BL9">
            <v>-0.32303300369180576</v>
          </cell>
          <cell r="BM9">
            <v>-0.31415662824401491</v>
          </cell>
          <cell r="BN9">
            <v>-0.2677099866805831</v>
          </cell>
          <cell r="BO9">
            <v>-0.29289613417149141</v>
          </cell>
          <cell r="BP9">
            <v>-0.29210330685903119</v>
          </cell>
        </row>
        <row r="10">
          <cell r="A10" t="str">
            <v>64340:SSRI/SNRI TRx</v>
          </cell>
          <cell r="C10">
            <v>8490486</v>
          </cell>
          <cell r="D10">
            <v>8110754</v>
          </cell>
          <cell r="E10">
            <v>8597758</v>
          </cell>
          <cell r="F10">
            <v>8417388</v>
          </cell>
          <cell r="G10">
            <v>8659287</v>
          </cell>
          <cell r="H10">
            <v>25674433</v>
          </cell>
          <cell r="I10">
            <v>9069374</v>
          </cell>
          <cell r="J10">
            <v>8200217</v>
          </cell>
          <cell r="K10">
            <v>9162890</v>
          </cell>
          <cell r="L10">
            <v>26432481</v>
          </cell>
          <cell r="M10">
            <v>8743287</v>
          </cell>
          <cell r="N10">
            <v>9230346</v>
          </cell>
          <cell r="O10">
            <v>8977235</v>
          </cell>
          <cell r="P10">
            <v>26950868</v>
          </cell>
          <cell r="Q10">
            <v>9281372</v>
          </cell>
          <cell r="R10">
            <v>9629573</v>
          </cell>
          <cell r="S10">
            <v>9056560</v>
          </cell>
          <cell r="T10">
            <v>27967505</v>
          </cell>
          <cell r="U10">
            <v>10048978</v>
          </cell>
          <cell r="V10">
            <v>9785289</v>
          </cell>
          <cell r="W10">
            <v>10091247</v>
          </cell>
          <cell r="X10">
            <v>29925514</v>
          </cell>
          <cell r="Y10">
            <v>10516823</v>
          </cell>
          <cell r="Z10">
            <v>9600933</v>
          </cell>
          <cell r="AA10">
            <v>10474021</v>
          </cell>
          <cell r="AB10">
            <v>30591777</v>
          </cell>
          <cell r="AC10">
            <v>10698107</v>
          </cell>
          <cell r="AD10">
            <v>10909878</v>
          </cell>
          <cell r="AE10">
            <v>10334245</v>
          </cell>
          <cell r="AF10">
            <v>31942230</v>
          </cell>
          <cell r="AG10">
            <v>11082345</v>
          </cell>
          <cell r="AH10">
            <v>11024686</v>
          </cell>
          <cell r="AI10">
            <v>10677049</v>
          </cell>
          <cell r="AJ10">
            <v>32784080</v>
          </cell>
          <cell r="AK10">
            <v>11401643</v>
          </cell>
          <cell r="AL10">
            <v>11049726</v>
          </cell>
          <cell r="AM10">
            <v>11768531</v>
          </cell>
          <cell r="AN10">
            <v>34219900</v>
          </cell>
          <cell r="AO10">
            <v>11800796</v>
          </cell>
          <cell r="AP10">
            <v>10729985</v>
          </cell>
          <cell r="AQ10">
            <v>11790843</v>
          </cell>
          <cell r="AR10">
            <v>34321624</v>
          </cell>
          <cell r="AS10">
            <v>11588013</v>
          </cell>
          <cell r="AT10">
            <v>11914140</v>
          </cell>
          <cell r="AU10">
            <v>11677837</v>
          </cell>
          <cell r="AV10">
            <v>35179990</v>
          </cell>
          <cell r="AW10">
            <v>12086566</v>
          </cell>
          <cell r="AX10">
            <v>11789094</v>
          </cell>
          <cell r="AY10">
            <v>11997007</v>
          </cell>
          <cell r="AZ10">
            <v>35872667</v>
          </cell>
          <cell r="BA10">
            <v>12464320</v>
          </cell>
          <cell r="BB10">
            <v>11647435</v>
          </cell>
          <cell r="BC10">
            <v>12872898</v>
          </cell>
          <cell r="BD10">
            <v>36984653</v>
          </cell>
          <cell r="BE10">
            <v>12508769</v>
          </cell>
          <cell r="BF10">
            <v>11683292</v>
          </cell>
          <cell r="BG10">
            <v>12910778</v>
          </cell>
          <cell r="BH10">
            <v>37102839</v>
          </cell>
          <cell r="BI10">
            <v>12108556</v>
          </cell>
          <cell r="BJ10">
            <v>11929337</v>
          </cell>
          <cell r="BK10">
            <v>12361062</v>
          </cell>
          <cell r="BL10">
            <v>36398955</v>
          </cell>
          <cell r="BM10">
            <v>12246125</v>
          </cell>
          <cell r="BN10">
            <v>12416159</v>
          </cell>
          <cell r="BO10">
            <v>12155719</v>
          </cell>
          <cell r="BP10">
            <v>36818003</v>
          </cell>
        </row>
        <row r="11">
          <cell r="A11" t="str">
            <v>64340:SSRI/SNRI NRx</v>
          </cell>
          <cell r="V11">
            <v>4094702</v>
          </cell>
          <cell r="W11">
            <v>4052086</v>
          </cell>
          <cell r="X11">
            <v>8146788</v>
          </cell>
          <cell r="Y11">
            <v>4439713</v>
          </cell>
          <cell r="Z11">
            <v>4081203</v>
          </cell>
          <cell r="AA11">
            <v>4402749</v>
          </cell>
          <cell r="AB11">
            <v>12923665</v>
          </cell>
          <cell r="AC11">
            <v>4471477</v>
          </cell>
          <cell r="AD11">
            <v>4508878</v>
          </cell>
          <cell r="AE11">
            <v>4208627</v>
          </cell>
          <cell r="AF11">
            <v>13188982</v>
          </cell>
          <cell r="AG11">
            <v>4524079</v>
          </cell>
          <cell r="AH11">
            <v>4510146</v>
          </cell>
          <cell r="AI11">
            <v>4351696</v>
          </cell>
          <cell r="AJ11">
            <v>13385921</v>
          </cell>
          <cell r="AK11">
            <v>4743533</v>
          </cell>
          <cell r="AL11">
            <v>4502808</v>
          </cell>
          <cell r="AM11">
            <v>4677217</v>
          </cell>
          <cell r="AN11">
            <v>13923558</v>
          </cell>
          <cell r="AO11">
            <v>4868096</v>
          </cell>
          <cell r="AP11">
            <v>4424790</v>
          </cell>
          <cell r="AQ11">
            <v>4780466</v>
          </cell>
          <cell r="AR11">
            <v>14073352</v>
          </cell>
          <cell r="AS11">
            <v>4674706</v>
          </cell>
          <cell r="AT11">
            <v>4771225</v>
          </cell>
          <cell r="AU11">
            <v>4670992</v>
          </cell>
          <cell r="AV11">
            <v>14116923</v>
          </cell>
          <cell r="AW11">
            <v>4814288</v>
          </cell>
          <cell r="AX11">
            <v>4665051</v>
          </cell>
          <cell r="AY11">
            <v>4961026</v>
          </cell>
          <cell r="AZ11">
            <v>14440365</v>
          </cell>
          <cell r="BA11">
            <v>5208190</v>
          </cell>
          <cell r="BB11">
            <v>4615394</v>
          </cell>
          <cell r="BC11">
            <v>4993057</v>
          </cell>
          <cell r="BD11">
            <v>14816641</v>
          </cell>
          <cell r="BE11">
            <v>4936939</v>
          </cell>
          <cell r="BF11">
            <v>4648408</v>
          </cell>
          <cell r="BG11">
            <v>5146721</v>
          </cell>
          <cell r="BH11">
            <v>14732068</v>
          </cell>
          <cell r="BI11">
            <v>4725984</v>
          </cell>
          <cell r="BJ11">
            <v>4597859</v>
          </cell>
          <cell r="BK11">
            <v>4821522</v>
          </cell>
          <cell r="BL11">
            <v>14145365</v>
          </cell>
          <cell r="BM11">
            <v>4750184</v>
          </cell>
          <cell r="BN11">
            <v>4873625</v>
          </cell>
          <cell r="BO11">
            <v>4824534</v>
          </cell>
          <cell r="BP11">
            <v>14448343</v>
          </cell>
        </row>
        <row r="12">
          <cell r="A12" t="str">
            <v>TRx Market Growth</v>
          </cell>
          <cell r="X12">
            <v>0.16557643161973634</v>
          </cell>
          <cell r="AB12">
            <v>0.15735549001245852</v>
          </cell>
          <cell r="AF12">
            <v>0.18520227252049914</v>
          </cell>
          <cell r="AG12">
            <v>0.19404167832083452</v>
          </cell>
          <cell r="AH12">
            <v>0.1448779712246846</v>
          </cell>
          <cell r="AI12">
            <v>0.17892985857764976</v>
          </cell>
          <cell r="AJ12">
            <v>0.17222040364344271</v>
          </cell>
          <cell r="AK12">
            <v>0.13460722075419018</v>
          </cell>
          <cell r="AL12">
            <v>0.12921815594817887</v>
          </cell>
          <cell r="AM12">
            <v>0.16621176748522748</v>
          </cell>
          <cell r="AN12">
            <v>0.14350249756779454</v>
          </cell>
          <cell r="AO12">
            <v>0.12208753537071027</v>
          </cell>
          <cell r="AP12">
            <v>0.11759815426271603</v>
          </cell>
          <cell r="AQ12">
            <v>0.12572268090736127</v>
          </cell>
          <cell r="AR12">
            <v>0.12192318870525232</v>
          </cell>
          <cell r="AS12">
            <v>8.318350152975662E-2</v>
          </cell>
          <cell r="AT12">
            <v>9.2050708541378645E-2</v>
          </cell>
          <cell r="AU12">
            <v>0.13001356170673328</v>
          </cell>
          <cell r="AV12">
            <v>0.10136299187627174</v>
          </cell>
          <cell r="AW12">
            <v>9.0614486374499315E-2</v>
          </cell>
          <cell r="AX12">
            <v>6.9336033697467769E-2</v>
          </cell>
          <cell r="AY12">
            <v>0.12362573216625683</v>
          </cell>
          <cell r="AZ12">
            <v>9.4209964104528865E-2</v>
          </cell>
          <cell r="BA12">
            <v>9.3203847901569992E-2</v>
          </cell>
          <cell r="BB12">
            <v>5.4092653519191236E-2</v>
          </cell>
          <cell r="BC12">
            <v>9.3840684109172123E-2</v>
          </cell>
          <cell r="BD12">
            <v>8.0793719443949197E-2</v>
          </cell>
          <cell r="BE12">
            <v>5.9993664834134819E-2</v>
          </cell>
          <cell r="BF12">
            <v>8.8845138180528638E-2</v>
          </cell>
          <cell r="BG12">
            <v>9.4983454533318801E-2</v>
          </cell>
          <cell r="BH12">
            <v>8.1033898629039314E-2</v>
          </cell>
          <cell r="BI12">
            <v>4.4920816019105247E-2</v>
          </cell>
          <cell r="BJ12">
            <v>1.2755431781059645E-3</v>
          </cell>
          <cell r="BK12">
            <v>5.8506125749143489E-2</v>
          </cell>
          <cell r="BL12">
            <v>3.4649384493855795E-2</v>
          </cell>
          <cell r="BM12">
            <v>1.3201350987534388E-2</v>
          </cell>
          <cell r="BN12">
            <v>5.3190262118530951E-2</v>
          </cell>
          <cell r="BO12">
            <v>1.3229299607810496E-2</v>
          </cell>
          <cell r="BP12">
            <v>2.6352543009974694E-2</v>
          </cell>
        </row>
        <row r="13">
          <cell r="A13" t="str">
            <v>NRx Market Growth</v>
          </cell>
          <cell r="AN13">
            <v>0.70908559299689644</v>
          </cell>
          <cell r="AO13">
            <v>9.6488894665037961E-2</v>
          </cell>
          <cell r="AP13">
            <v>8.4187677015820972E-2</v>
          </cell>
          <cell r="AQ13">
            <v>8.5791172742302635E-2</v>
          </cell>
          <cell r="AR13">
            <v>8.8959826798357788E-2</v>
          </cell>
          <cell r="AS13">
            <v>4.545008282498153E-2</v>
          </cell>
          <cell r="AT13">
            <v>5.8184541697513303E-2</v>
          </cell>
          <cell r="AU13">
            <v>0.10986124453414381</v>
          </cell>
          <cell r="AV13">
            <v>7.0357287620833819E-2</v>
          </cell>
          <cell r="AW13">
            <v>6.4147641984147574E-2</v>
          </cell>
          <cell r="AX13">
            <v>3.4345894789215237E-2</v>
          </cell>
          <cell r="AY13">
            <v>0.14002126986811581</v>
          </cell>
          <cell r="AZ13">
            <v>7.8772614898892757E-2</v>
          </cell>
          <cell r="BA13">
            <v>9.7955890683167901E-2</v>
          </cell>
          <cell r="BB13">
            <v>2.5003508921544126E-2</v>
          </cell>
          <cell r="BC13">
            <v>6.752733516533449E-2</v>
          </cell>
          <cell r="BD13">
            <v>6.4141866611967968E-2</v>
          </cell>
          <cell r="BE13">
            <v>1.4141668529133344E-2</v>
          </cell>
          <cell r="BF13">
            <v>5.0537539634649242E-2</v>
          </cell>
          <cell r="BG13">
            <v>7.6614915784360749E-2</v>
          </cell>
          <cell r="BH13">
            <v>4.6805906652515938E-2</v>
          </cell>
          <cell r="BI13">
            <v>1.0969245980388953E-2</v>
          </cell>
          <cell r="BJ13">
            <v>-3.6335741869226501E-2</v>
          </cell>
          <cell r="BK13">
            <v>3.2226559154886258E-2</v>
          </cell>
          <cell r="BL13">
            <v>2.0147449979006637E-3</v>
          </cell>
          <cell r="BM13">
            <v>-1.3315364598046497E-2</v>
          </cell>
          <cell r="BN13">
            <v>4.4709907780215108E-2</v>
          </cell>
          <cell r="BO13">
            <v>-2.7512857219454179E-2</v>
          </cell>
          <cell r="BP13">
            <v>5.5247910977329617E-4</v>
          </cell>
        </row>
        <row r="14">
          <cell r="A14" t="str">
            <v>TRx Market Share</v>
          </cell>
          <cell r="H14">
            <v>0.12766883693205611</v>
          </cell>
          <cell r="L14">
            <v>0.13692483123320887</v>
          </cell>
          <cell r="P14">
            <v>0.14587070071360966</v>
          </cell>
          <cell r="T14">
            <v>0.15260313710500811</v>
          </cell>
          <cell r="X14">
            <v>0.16018261206808343</v>
          </cell>
          <cell r="AB14">
            <v>0.16873357830766092</v>
          </cell>
          <cell r="AC14">
            <v>0.17259969450670104</v>
          </cell>
          <cell r="AD14">
            <v>0.17470589496967795</v>
          </cell>
          <cell r="AE14">
            <v>0.17491156828583027</v>
          </cell>
          <cell r="AF14">
            <v>0.17406702662901119</v>
          </cell>
          <cell r="AG14">
            <v>0.1762892239864397</v>
          </cell>
          <cell r="AH14">
            <v>0.17734554979615746</v>
          </cell>
          <cell r="AI14">
            <v>0.17657416389116506</v>
          </cell>
          <cell r="AJ14">
            <v>0.17673724563873686</v>
          </cell>
          <cell r="AK14">
            <v>0.17010811511989982</v>
          </cell>
          <cell r="AL14">
            <v>0.1634263148244581</v>
          </cell>
          <cell r="AM14">
            <v>0.15782199154677845</v>
          </cell>
          <cell r="AN14">
            <v>0.16372523005619538</v>
          </cell>
          <cell r="AO14">
            <v>0.15142673426436656</v>
          </cell>
          <cell r="AP14">
            <v>0.14567550653612285</v>
          </cell>
          <cell r="AQ14">
            <v>0.14100688135699882</v>
          </cell>
          <cell r="AR14">
            <v>0.14604909138332148</v>
          </cell>
          <cell r="AS14">
            <v>0.13508226129880938</v>
          </cell>
          <cell r="AT14">
            <v>0.12965467922988985</v>
          </cell>
          <cell r="AU14">
            <v>0.12479879621542928</v>
          </cell>
          <cell r="AV14">
            <v>0.1298305940393957</v>
          </cell>
          <cell r="AW14">
            <v>0.12097149843884525</v>
          </cell>
          <cell r="AX14">
            <v>0.11677606438628788</v>
          </cell>
          <cell r="AY14">
            <v>0.11301802191163179</v>
          </cell>
          <cell r="AZ14">
            <v>0.1169328168435316</v>
          </cell>
          <cell r="BA14">
            <v>0.10862590177402377</v>
          </cell>
          <cell r="BB14">
            <v>0.10534886007090831</v>
          </cell>
          <cell r="BC14">
            <v>0.10281391183244053</v>
          </cell>
          <cell r="BD14">
            <v>0.10557095128079207</v>
          </cell>
          <cell r="BE14">
            <v>9.8612501358047305E-2</v>
          </cell>
          <cell r="BF14">
            <v>9.5751180403605418E-2</v>
          </cell>
          <cell r="BG14">
            <v>9.2620444716809469E-2</v>
          </cell>
          <cell r="BH14">
            <v>9.5626429018005873E-2</v>
          </cell>
          <cell r="BI14">
            <v>9.0394676293358178E-2</v>
          </cell>
          <cell r="BJ14">
            <v>8.7974713095958307E-2</v>
          </cell>
          <cell r="BK14">
            <v>8.5885662574947036E-2</v>
          </cell>
          <cell r="BL14">
            <v>8.8070303117218612E-2</v>
          </cell>
          <cell r="BM14">
            <v>8.3978156355581868E-2</v>
          </cell>
          <cell r="BN14">
            <v>8.1984613760181388E-2</v>
          </cell>
          <cell r="BO14">
            <v>7.9876147186357299E-2</v>
          </cell>
          <cell r="BP14">
            <v>8.1951565922790542E-2</v>
          </cell>
        </row>
        <row r="15">
          <cell r="A15" t="str">
            <v>NRx Market Share</v>
          </cell>
          <cell r="V15">
            <v>0.1661368763831898</v>
          </cell>
          <cell r="W15">
            <v>0.17073897246998213</v>
          </cell>
          <cell r="Y15">
            <v>0.17340152392733493</v>
          </cell>
          <cell r="Z15">
            <v>0.17451030982776403</v>
          </cell>
          <cell r="AA15">
            <v>0.17581629113992189</v>
          </cell>
          <cell r="AB15">
            <v>0.17457431773417215</v>
          </cell>
          <cell r="AC15">
            <v>0.17713364062925963</v>
          </cell>
          <cell r="AD15">
            <v>0.1799332339442318</v>
          </cell>
          <cell r="AE15">
            <v>0.1775814297631983</v>
          </cell>
          <cell r="AF15">
            <v>0.17823361954698247</v>
          </cell>
          <cell r="AG15">
            <v>0.17792770639062669</v>
          </cell>
          <cell r="AH15">
            <v>0.17955649329312179</v>
          </cell>
          <cell r="AI15">
            <v>0.17602631249977022</v>
          </cell>
          <cell r="AJ15">
            <v>0.17785836327586274</v>
          </cell>
          <cell r="AK15">
            <v>0.16243293764373518</v>
          </cell>
          <cell r="AL15">
            <v>0.15108550042551225</v>
          </cell>
          <cell r="AM15">
            <v>0.14334913261454407</v>
          </cell>
          <cell r="AN15">
            <v>0.15235258114341177</v>
          </cell>
          <cell r="AO15">
            <v>0.13761191233697939</v>
          </cell>
          <cell r="AP15">
            <v>0.13100011525970723</v>
          </cell>
          <cell r="AQ15">
            <v>0.1263531630598356</v>
          </cell>
          <cell r="AR15">
            <v>0.13170870734989076</v>
          </cell>
          <cell r="AS15">
            <v>0.12109595769231263</v>
          </cell>
          <cell r="AT15">
            <v>0.11556633778536958</v>
          </cell>
          <cell r="AU15">
            <v>0.11090427900540185</v>
          </cell>
          <cell r="AV15">
            <v>0.11585485023896497</v>
          </cell>
          <cell r="AW15">
            <v>0.10799499323679847</v>
          </cell>
          <cell r="AX15">
            <v>0.10412683591240482</v>
          </cell>
          <cell r="AY15">
            <v>9.7447786002330963E-2</v>
          </cell>
          <cell r="AZ15">
            <v>0.10312183937178873</v>
          </cell>
          <cell r="BA15">
            <v>9.3606992064421607E-2</v>
          </cell>
          <cell r="BB15">
            <v>9.147648066448931E-2</v>
          </cell>
          <cell r="BC15">
            <v>9.0699545388726779E-2</v>
          </cell>
          <cell r="BD15">
            <v>9.1963556382313641E-2</v>
          </cell>
          <cell r="BE15">
            <v>8.795206908572295E-2</v>
          </cell>
          <cell r="BF15">
            <v>8.532792302224762E-2</v>
          </cell>
          <cell r="BG15">
            <v>8.2149974712054527E-2</v>
          </cell>
          <cell r="BH15">
            <v>8.509708209329471E-2</v>
          </cell>
          <cell r="BI15">
            <v>8.0419654404246824E-2</v>
          </cell>
          <cell r="BJ15">
            <v>7.8071989593417282E-2</v>
          </cell>
          <cell r="BK15">
            <v>7.6358253680062022E-2</v>
          </cell>
          <cell r="BL15">
            <v>7.8272211427559482E-2</v>
          </cell>
          <cell r="BM15">
            <v>7.5067197396985044E-2</v>
          </cell>
          <cell r="BN15">
            <v>7.2987765780091821E-2</v>
          </cell>
          <cell r="BO15">
            <v>7.0855133366248435E-2</v>
          </cell>
          <cell r="BP15">
            <v>7.2959300592462403E-2</v>
          </cell>
        </row>
        <row r="16">
          <cell r="A16" t="str">
            <v>Price Change (YoY)</v>
          </cell>
          <cell r="H16">
            <v>0.03</v>
          </cell>
          <cell r="I16">
            <v>0.03</v>
          </cell>
          <cell r="L16">
            <v>0.06</v>
          </cell>
          <cell r="P16">
            <v>0.03</v>
          </cell>
          <cell r="T16">
            <v>0.03</v>
          </cell>
          <cell r="X16">
            <v>0.03</v>
          </cell>
          <cell r="AA16">
            <v>0.03</v>
          </cell>
          <cell r="AB16">
            <v>0.03</v>
          </cell>
          <cell r="AF16">
            <v>0.03</v>
          </cell>
          <cell r="AJ16">
            <v>0.03</v>
          </cell>
          <cell r="AN16">
            <v>0.03</v>
          </cell>
          <cell r="AQ16">
            <v>-1.6180000000000001E-3</v>
          </cell>
          <cell r="AR16">
            <v>-1.6180000000000001E-3</v>
          </cell>
          <cell r="AV16">
            <v>-1.6180000000000001E-3</v>
          </cell>
          <cell r="AZ16">
            <v>-1.6180000000000001E-3</v>
          </cell>
          <cell r="BA16">
            <v>0.04</v>
          </cell>
          <cell r="BD16">
            <v>3.8381999999999999E-2</v>
          </cell>
          <cell r="BG16">
            <v>0.04</v>
          </cell>
          <cell r="BH16">
            <v>0.08</v>
          </cell>
          <cell r="BL16">
            <v>0.08</v>
          </cell>
          <cell r="BP16">
            <v>0.08</v>
          </cell>
        </row>
        <row r="18">
          <cell r="A18" t="str">
            <v xml:space="preserve">TRx + Celexa Price Change </v>
          </cell>
          <cell r="AN18">
            <v>0.19879233686453898</v>
          </cell>
          <cell r="AO18">
            <v>2.2537580754991238E-2</v>
          </cell>
          <cell r="AP18">
            <v>-3.6322195102252652E-2</v>
          </cell>
          <cell r="AQ18">
            <v>-7.397782790625794E-2</v>
          </cell>
          <cell r="AR18">
            <v>-3.0525796801928011E-2</v>
          </cell>
          <cell r="AS18">
            <v>-0.15226456682679024</v>
          </cell>
          <cell r="AT18">
            <v>-0.18955519879119842</v>
          </cell>
          <cell r="AU18">
            <v>-0.19373925012406101</v>
          </cell>
          <cell r="AV18">
            <v>-0.18014931487643449</v>
          </cell>
          <cell r="AZ18">
            <v>-0.27766729646499722</v>
          </cell>
          <cell r="BD18">
            <v>-0.26471611712684384</v>
          </cell>
          <cell r="BH18">
            <v>-0.21218723379806498</v>
          </cell>
          <cell r="BL18">
            <v>-0.2181478241964479</v>
          </cell>
          <cell r="BP18">
            <v>-0.2006878311923736</v>
          </cell>
        </row>
        <row r="20">
          <cell r="A20" t="str">
            <v xml:space="preserve">TOTAL CELEXA REPORTED SALES </v>
          </cell>
          <cell r="H20">
            <v>189.9</v>
          </cell>
          <cell r="L20">
            <v>206</v>
          </cell>
          <cell r="P20">
            <v>238.1</v>
          </cell>
          <cell r="T20">
            <v>256.10000000000002</v>
          </cell>
          <cell r="X20">
            <v>280.5</v>
          </cell>
          <cell r="AB20">
            <v>313.10000000000002</v>
          </cell>
          <cell r="AF20">
            <v>351.4</v>
          </cell>
          <cell r="AJ20">
            <v>386.4</v>
          </cell>
          <cell r="AN20">
            <v>371.2</v>
          </cell>
          <cell r="AR20">
            <v>342.9</v>
          </cell>
          <cell r="AV20">
            <v>284.7</v>
          </cell>
          <cell r="AZ20">
            <v>282.7</v>
          </cell>
          <cell r="BD20">
            <v>274.2</v>
          </cell>
          <cell r="BH20">
            <v>245.655</v>
          </cell>
          <cell r="BL20">
            <v>261.10000000000002</v>
          </cell>
          <cell r="BP20">
            <v>254.50365820488</v>
          </cell>
        </row>
        <row r="21">
          <cell r="A21" t="str">
            <v xml:space="preserve">  % Change</v>
          </cell>
          <cell r="X21">
            <v>0.47709320695102675</v>
          </cell>
          <cell r="AB21">
            <v>0.51990291262135924</v>
          </cell>
          <cell r="AF21">
            <v>0.47585048299034005</v>
          </cell>
          <cell r="AJ21">
            <v>0.50878563061304161</v>
          </cell>
          <cell r="AN21">
            <v>0.32335115864527619</v>
          </cell>
          <cell r="AR21">
            <v>9.5177259661449964E-2</v>
          </cell>
          <cell r="AV21">
            <v>-0.18981217985202048</v>
          </cell>
          <cell r="AZ21">
            <v>-0.26837474120082816</v>
          </cell>
          <cell r="BD21">
            <v>-0.26131465517241381</v>
          </cell>
          <cell r="BH21">
            <v>-0.28359580052493438</v>
          </cell>
          <cell r="BL21">
            <v>-8.2894274675096469E-2</v>
          </cell>
          <cell r="BP21">
            <v>-9.9739447453555008E-2</v>
          </cell>
        </row>
        <row r="23">
          <cell r="A23" t="str">
            <v>TOTAL CELEXA SALES (IMS)</v>
          </cell>
          <cell r="C23">
            <v>58.097335000000001</v>
          </cell>
          <cell r="D23">
            <v>74.750972000000004</v>
          </cell>
          <cell r="E23">
            <v>62.443494000000001</v>
          </cell>
          <cell r="F23">
            <v>63.593980999999999</v>
          </cell>
          <cell r="G23">
            <v>88.143961000000004</v>
          </cell>
          <cell r="H23">
            <v>214.18143600000002</v>
          </cell>
          <cell r="I23">
            <v>71.232583000000005</v>
          </cell>
          <cell r="J23">
            <v>74.293702999999994</v>
          </cell>
          <cell r="K23">
            <v>97.696527000000003</v>
          </cell>
          <cell r="L23">
            <v>243.222813</v>
          </cell>
          <cell r="M23">
            <v>76.582515000000001</v>
          </cell>
          <cell r="N23">
            <v>84.011798999999996</v>
          </cell>
          <cell r="O23">
            <v>105.38611899999999</v>
          </cell>
          <cell r="P23">
            <v>265.980433</v>
          </cell>
          <cell r="Q23">
            <v>85.860028</v>
          </cell>
          <cell r="R23">
            <v>91.683520999999999</v>
          </cell>
          <cell r="S23">
            <v>114.396496</v>
          </cell>
          <cell r="T23">
            <v>291.940045</v>
          </cell>
          <cell r="U23">
            <v>97.124306000000004</v>
          </cell>
          <cell r="V23">
            <v>126.469883</v>
          </cell>
          <cell r="W23">
            <v>131.35993300000001</v>
          </cell>
          <cell r="X23">
            <v>354.95412199999998</v>
          </cell>
          <cell r="Y23">
            <v>112.776262</v>
          </cell>
          <cell r="Z23">
            <v>113.458916</v>
          </cell>
          <cell r="AA23">
            <v>148.72990100000001</v>
          </cell>
          <cell r="AB23">
            <v>374.96507900000006</v>
          </cell>
          <cell r="AC23">
            <v>118.749611</v>
          </cell>
          <cell r="AD23">
            <v>121.73837</v>
          </cell>
          <cell r="AE23">
            <v>153.91751600000001</v>
          </cell>
          <cell r="AF23">
            <v>394.40549700000003</v>
          </cell>
          <cell r="AG23">
            <v>129.12980099999999</v>
          </cell>
          <cell r="AH23">
            <v>128.56722400000001</v>
          </cell>
          <cell r="AI23">
            <v>160.26360600000001</v>
          </cell>
          <cell r="AJ23">
            <v>417.96063099999998</v>
          </cell>
          <cell r="AK23">
            <v>125.835797</v>
          </cell>
          <cell r="AL23">
            <v>122.895612</v>
          </cell>
          <cell r="AM23">
            <v>150.271862</v>
          </cell>
          <cell r="AN23">
            <v>399.00327099999998</v>
          </cell>
          <cell r="AO23">
            <v>119.132621</v>
          </cell>
          <cell r="AP23">
            <v>114.639972</v>
          </cell>
          <cell r="AQ23">
            <v>141.321764</v>
          </cell>
          <cell r="AR23">
            <v>375.094357</v>
          </cell>
          <cell r="AS23">
            <v>111.820937</v>
          </cell>
          <cell r="AT23">
            <v>108.530531</v>
          </cell>
          <cell r="AU23">
            <v>135.44926799999999</v>
          </cell>
          <cell r="AV23">
            <v>355.80073599999997</v>
          </cell>
          <cell r="AW23">
            <v>102.57571</v>
          </cell>
          <cell r="AX23">
            <v>103.39642600000001</v>
          </cell>
          <cell r="AY23">
            <v>122.74597900000001</v>
          </cell>
          <cell r="AZ23">
            <v>328.71811500000001</v>
          </cell>
          <cell r="BA23">
            <v>98.344590999999994</v>
          </cell>
          <cell r="BB23">
            <v>99.032207</v>
          </cell>
          <cell r="BC23">
            <v>119.454111</v>
          </cell>
          <cell r="BD23">
            <v>316.83090899999996</v>
          </cell>
          <cell r="BE23">
            <v>92.492796999999996</v>
          </cell>
          <cell r="BF23">
            <v>90.160829000000007</v>
          </cell>
          <cell r="BG23">
            <v>112.333275</v>
          </cell>
          <cell r="BH23">
            <v>294.98690099999999</v>
          </cell>
          <cell r="BI23">
            <v>87.814193000000003</v>
          </cell>
          <cell r="BJ23">
            <v>88.277439999999999</v>
          </cell>
          <cell r="BK23">
            <v>105.637089</v>
          </cell>
          <cell r="BL23">
            <v>281.728722</v>
          </cell>
          <cell r="BM23">
            <v>82.113438000000002</v>
          </cell>
          <cell r="BN23">
            <v>81.618762000000004</v>
          </cell>
        </row>
        <row r="24">
          <cell r="A24" t="str">
            <v xml:space="preserve">  % Change</v>
          </cell>
          <cell r="S24">
            <v>0.53036800645214344</v>
          </cell>
          <cell r="U24">
            <v>0.55539512250867973</v>
          </cell>
          <cell r="V24">
            <v>0.98870838106518288</v>
          </cell>
          <cell r="W24">
            <v>0.49028851789403927</v>
          </cell>
          <cell r="X24">
            <v>0.65725904461673301</v>
          </cell>
          <cell r="Y24">
            <v>0.58321174454673352</v>
          </cell>
          <cell r="Z24">
            <v>0.52716732937648847</v>
          </cell>
          <cell r="AA24">
            <v>0.52236630683913665</v>
          </cell>
          <cell r="AB24">
            <v>0.54165258749803225</v>
          </cell>
          <cell r="AC24">
            <v>0.55060996625665792</v>
          </cell>
          <cell r="AD24">
            <v>0.44906276795715327</v>
          </cell>
          <cell r="AE24">
            <v>0.46051033533173391</v>
          </cell>
          <cell r="AF24">
            <v>0.48283651000748629</v>
          </cell>
          <cell r="AG24">
            <v>0.50395712659213188</v>
          </cell>
          <cell r="AH24">
            <v>0.40229370117668162</v>
          </cell>
          <cell r="AI24">
            <v>0.40094855702573273</v>
          </cell>
          <cell r="AJ24">
            <v>0.43166598128050571</v>
          </cell>
          <cell r="AK24">
            <v>0.29561591925300346</v>
          </cell>
          <cell r="AL24">
            <v>-2.8261835270299018E-2</v>
          </cell>
          <cell r="AM24">
            <v>0.1439703002893582</v>
          </cell>
          <cell r="AN24">
            <v>0.1240981475346834</v>
          </cell>
          <cell r="AO24">
            <v>5.6362561475924666E-2</v>
          </cell>
          <cell r="AP24">
            <v>1.0409547716814016E-2</v>
          </cell>
          <cell r="AQ24">
            <v>-4.9809331884111296E-2</v>
          </cell>
          <cell r="AR24">
            <v>3.4477343955519046E-4</v>
          </cell>
          <cell r="AS24">
            <v>-5.8346919553277532E-2</v>
          </cell>
          <cell r="AT24">
            <v>-0.10849364091206415</v>
          </cell>
          <cell r="AU24">
            <v>-0.11998795510707183</v>
          </cell>
          <cell r="AV24">
            <v>-9.7880889829484397E-2</v>
          </cell>
          <cell r="AW24">
            <v>-0.205638751042449</v>
          </cell>
          <cell r="AX24">
            <v>-0.19577927575071541</v>
          </cell>
          <cell r="AY24">
            <v>-0.23409948107619649</v>
          </cell>
          <cell r="AZ24">
            <v>-0.21351895221921025</v>
          </cell>
          <cell r="BA24">
            <v>-0.21846888290459987</v>
          </cell>
          <cell r="BB24">
            <v>-0.1941762168042257</v>
          </cell>
          <cell r="BC24">
            <v>-0.20507998363659063</v>
          </cell>
          <cell r="BD24">
            <v>-0.2059440810950145</v>
          </cell>
          <cell r="BE24">
            <v>-0.22361485692487204</v>
          </cell>
          <cell r="BF24">
            <v>-0.21353060867809692</v>
          </cell>
          <cell r="BG24">
            <v>-0.20512402463360135</v>
          </cell>
          <cell r="BH24">
            <v>-0.21356614543790653</v>
          </cell>
          <cell r="BI24">
            <v>-0.21468916863037912</v>
          </cell>
          <cell r="BJ24">
            <v>-0.18661192213276834</v>
          </cell>
          <cell r="BK24">
            <v>-0.22009848735395154</v>
          </cell>
          <cell r="BL24">
            <v>-0.20818398194656906</v>
          </cell>
          <cell r="BM24">
            <v>-0.19948457583184165</v>
          </cell>
          <cell r="BN24">
            <v>-0.21062298613687092</v>
          </cell>
        </row>
        <row r="26">
          <cell r="A26" t="str">
            <v>REPORTED SALES/TRx CELEXA</v>
          </cell>
          <cell r="H26">
            <v>57.934758567037591</v>
          </cell>
          <cell r="L26">
            <v>56.917665281578046</v>
          </cell>
          <cell r="P26">
            <v>60.56456039693316</v>
          </cell>
          <cell r="T26">
            <v>60.005684255759654</v>
          </cell>
          <cell r="X26">
            <v>58.516167672915273</v>
          </cell>
          <cell r="AB26">
            <v>60.656430046533615</v>
          </cell>
          <cell r="AF26">
            <v>63.200427187406532</v>
          </cell>
          <cell r="AJ26">
            <v>66.687745332893357</v>
          </cell>
          <cell r="AN26">
            <v>66.254231694546576</v>
          </cell>
          <cell r="AR26">
            <v>68.40703964097176</v>
          </cell>
          <cell r="AV26">
            <v>62.33252376222211</v>
          </cell>
          <cell r="AZ26">
            <v>67.394697870546878</v>
          </cell>
          <cell r="BD26">
            <v>70.226571614071432</v>
          </cell>
          <cell r="BH26">
            <v>69.237364473400874</v>
          </cell>
          <cell r="BL26">
            <v>81.449508011905181</v>
          </cell>
          <cell r="BP26">
            <v>84.348340782575633</v>
          </cell>
        </row>
        <row r="27">
          <cell r="A27" t="str">
            <v>IMS SALES/REPORTED SALES</v>
          </cell>
          <cell r="H27">
            <v>1.1278643285939969</v>
          </cell>
          <cell r="L27">
            <v>1.1806932669902912</v>
          </cell>
          <cell r="P27">
            <v>1.1170954766904662</v>
          </cell>
          <cell r="T27">
            <v>1.1399455095665754</v>
          </cell>
          <cell r="X27">
            <v>1.2654335900178253</v>
          </cell>
          <cell r="AB27">
            <v>1.1975888821462792</v>
          </cell>
          <cell r="AF27">
            <v>1.1223833153101879</v>
          </cell>
          <cell r="AJ27">
            <v>1.0816786516563146</v>
          </cell>
          <cell r="AN27">
            <v>1.0749010533405172</v>
          </cell>
          <cell r="AR27">
            <v>1.0938884718576845</v>
          </cell>
          <cell r="AV27">
            <v>1.2497391499824375</v>
          </cell>
          <cell r="AZ27">
            <v>1.162780739299611</v>
          </cell>
          <cell r="BD27">
            <v>1.1554737746170678</v>
          </cell>
          <cell r="BH27">
            <v>1.2008178176711242</v>
          </cell>
          <cell r="BL27">
            <v>1.0790069781692837</v>
          </cell>
        </row>
        <row r="29">
          <cell r="A29" t="str">
            <v xml:space="preserve">LEXAPRO </v>
          </cell>
        </row>
        <row r="30">
          <cell r="A30" t="str">
            <v>TRx</v>
          </cell>
          <cell r="AH30">
            <v>1034</v>
          </cell>
          <cell r="AI30">
            <v>71670</v>
          </cell>
          <cell r="AJ30">
            <v>72704</v>
          </cell>
          <cell r="AK30">
            <v>245167</v>
          </cell>
          <cell r="AL30">
            <v>388961</v>
          </cell>
          <cell r="AM30">
            <v>548474</v>
          </cell>
          <cell r="AN30">
            <v>1182602</v>
          </cell>
          <cell r="AO30">
            <v>680476</v>
          </cell>
          <cell r="AP30">
            <v>728107</v>
          </cell>
          <cell r="AQ30">
            <v>905869</v>
          </cell>
          <cell r="AR30">
            <v>2314452</v>
          </cell>
          <cell r="AS30">
            <v>1015658</v>
          </cell>
          <cell r="AT30">
            <v>1148834</v>
          </cell>
          <cell r="AU30">
            <v>1218150</v>
          </cell>
          <cell r="AV30">
            <v>3382642</v>
          </cell>
          <cell r="AW30">
            <v>1353467</v>
          </cell>
          <cell r="AX30">
            <v>1406812</v>
          </cell>
          <cell r="AY30">
            <v>1506997</v>
          </cell>
          <cell r="AZ30">
            <v>4267276</v>
          </cell>
          <cell r="BA30">
            <v>1657115</v>
          </cell>
          <cell r="BB30">
            <v>1627177</v>
          </cell>
          <cell r="BC30">
            <v>1874834</v>
          </cell>
          <cell r="BD30">
            <v>5159126</v>
          </cell>
          <cell r="BE30">
            <v>1899262</v>
          </cell>
          <cell r="BF30">
            <v>1847987</v>
          </cell>
          <cell r="BG30">
            <v>2106272</v>
          </cell>
          <cell r="BH30">
            <v>5853521</v>
          </cell>
          <cell r="BI30">
            <v>2031955</v>
          </cell>
          <cell r="BJ30">
            <v>2051104</v>
          </cell>
          <cell r="BK30">
            <v>2177400</v>
          </cell>
          <cell r="BL30">
            <v>6260459</v>
          </cell>
          <cell r="BM30">
            <v>2214194</v>
          </cell>
          <cell r="BN30">
            <v>2291506</v>
          </cell>
          <cell r="BO30">
            <v>2282746</v>
          </cell>
          <cell r="BP30">
            <v>6788446</v>
          </cell>
        </row>
        <row r="31">
          <cell r="A31" t="str">
            <v xml:space="preserve">  % Change</v>
          </cell>
          <cell r="BA31">
            <v>5.7591274519001336</v>
          </cell>
          <cell r="BB31">
            <v>3.1833937078524581</v>
          </cell>
          <cell r="BC31">
            <v>2.4182732454045222</v>
          </cell>
          <cell r="BD31">
            <v>3.3625209495671413</v>
          </cell>
          <cell r="BE31">
            <v>1.7910785979226307</v>
          </cell>
          <cell r="BF31">
            <v>1.5380706407162683</v>
          </cell>
          <cell r="BG31">
            <v>1.3251397277089736</v>
          </cell>
          <cell r="BH31">
            <v>1.5291174757566801</v>
          </cell>
          <cell r="BI31">
            <v>1.0006291487882732</v>
          </cell>
          <cell r="BJ31">
            <v>0.78537891462125953</v>
          </cell>
          <cell r="BK31">
            <v>0.78746459795591672</v>
          </cell>
          <cell r="BL31">
            <v>0.85076014547208967</v>
          </cell>
          <cell r="BM31">
            <v>0.63594236135790538</v>
          </cell>
          <cell r="BN31">
            <v>0.62886441116510228</v>
          </cell>
          <cell r="BO31">
            <v>0.51476479382507057</v>
          </cell>
          <cell r="BP31">
            <v>0.59081484300523335</v>
          </cell>
        </row>
        <row r="32">
          <cell r="A32" t="str">
            <v>NRx</v>
          </cell>
          <cell r="AH32">
            <v>1018</v>
          </cell>
          <cell r="AI32">
            <v>69633</v>
          </cell>
          <cell r="AJ32">
            <v>70651</v>
          </cell>
          <cell r="AK32">
            <v>215190</v>
          </cell>
          <cell r="AL32">
            <v>296107</v>
          </cell>
          <cell r="AM32">
            <v>363522</v>
          </cell>
          <cell r="AN32">
            <v>874819</v>
          </cell>
          <cell r="AO32">
            <v>421012</v>
          </cell>
          <cell r="AP32">
            <v>431239</v>
          </cell>
          <cell r="AQ32">
            <v>510142</v>
          </cell>
          <cell r="AR32">
            <v>1362393</v>
          </cell>
          <cell r="AS32">
            <v>541370</v>
          </cell>
          <cell r="AT32">
            <v>589074</v>
          </cell>
          <cell r="AU32">
            <v>609912</v>
          </cell>
          <cell r="AV32">
            <v>1740356</v>
          </cell>
          <cell r="AW32">
            <v>658819</v>
          </cell>
          <cell r="AX32">
            <v>669387</v>
          </cell>
          <cell r="AY32">
            <v>717993</v>
          </cell>
          <cell r="AZ32">
            <v>2046199</v>
          </cell>
          <cell r="BA32">
            <v>782192</v>
          </cell>
          <cell r="BB32">
            <v>735174</v>
          </cell>
          <cell r="BC32">
            <v>827614</v>
          </cell>
          <cell r="BD32">
            <v>2344980</v>
          </cell>
          <cell r="BE32">
            <v>844080</v>
          </cell>
          <cell r="BF32">
            <v>818044</v>
          </cell>
          <cell r="BG32">
            <v>932902</v>
          </cell>
          <cell r="BH32">
            <v>2595026</v>
          </cell>
          <cell r="BI32">
            <v>874580</v>
          </cell>
          <cell r="BJ32">
            <v>867400</v>
          </cell>
          <cell r="BK32">
            <v>925211</v>
          </cell>
          <cell r="BL32">
            <v>2667191</v>
          </cell>
          <cell r="BM32">
            <v>931542</v>
          </cell>
          <cell r="BN32">
            <v>966699</v>
          </cell>
          <cell r="BO32">
            <v>963608</v>
          </cell>
          <cell r="BP32">
            <v>2861849</v>
          </cell>
        </row>
        <row r="33">
          <cell r="A33" t="str">
            <v xml:space="preserve">  % Change</v>
          </cell>
          <cell r="BA33">
            <v>2.6348900971234723</v>
          </cell>
          <cell r="BB33">
            <v>1.4827984478583756</v>
          </cell>
          <cell r="BC33">
            <v>1.2766545078427165</v>
          </cell>
          <cell r="BD33">
            <v>1.680531629971457</v>
          </cell>
          <cell r="BE33">
            <v>1.0048834712549759</v>
          </cell>
          <cell r="BF33">
            <v>0.89696200946574867</v>
          </cell>
          <cell r="BG33">
            <v>0.82871043748603324</v>
          </cell>
          <cell r="BH33">
            <v>0.90475582302610191</v>
          </cell>
          <cell r="BI33">
            <v>0.61549402441952816</v>
          </cell>
          <cell r="BJ33">
            <v>0.47248053724998895</v>
          </cell>
          <cell r="BK33">
            <v>0.5169581841314812</v>
          </cell>
          <cell r="BL33">
            <v>0.532554833608756</v>
          </cell>
          <cell r="BM33">
            <v>0.41395739952855037</v>
          </cell>
          <cell r="BN33">
            <v>0.44415562298042843</v>
          </cell>
          <cell r="BO33">
            <v>0.34208550779742986</v>
          </cell>
          <cell r="BP33">
            <v>0.39861714329837916</v>
          </cell>
        </row>
        <row r="34">
          <cell r="A34" t="str">
            <v>TRx Market Growth</v>
          </cell>
          <cell r="X34">
            <v>0.16557643161973634</v>
          </cell>
          <cell r="AB34">
            <v>0.15735549001245852</v>
          </cell>
          <cell r="AF34">
            <v>0.18520227252049914</v>
          </cell>
          <cell r="AJ34">
            <v>0.17222040364344271</v>
          </cell>
          <cell r="AK34">
            <v>0.13460722075419018</v>
          </cell>
          <cell r="AL34">
            <v>0.12921815594817887</v>
          </cell>
          <cell r="AM34">
            <v>0.16621176748522748</v>
          </cell>
          <cell r="AN34">
            <v>0.14350249756779454</v>
          </cell>
          <cell r="AO34">
            <v>0.12208753537071027</v>
          </cell>
          <cell r="AP34">
            <v>0.11759815426271603</v>
          </cell>
          <cell r="AQ34">
            <v>0.12572268090736127</v>
          </cell>
          <cell r="AR34">
            <v>0.12192318870525232</v>
          </cell>
          <cell r="AS34">
            <v>8.318350152975662E-2</v>
          </cell>
          <cell r="AT34">
            <v>9.2050708541378645E-2</v>
          </cell>
          <cell r="AU34">
            <v>0.13001356170673328</v>
          </cell>
          <cell r="AV34">
            <v>0.10136299187627174</v>
          </cell>
          <cell r="AW34">
            <v>9.0614486374499315E-2</v>
          </cell>
          <cell r="AX34">
            <v>6.9336033697467769E-2</v>
          </cell>
          <cell r="AY34">
            <v>0.12362573216625683</v>
          </cell>
          <cell r="AZ34">
            <v>9.4209964104528865E-2</v>
          </cell>
          <cell r="BA34">
            <v>9.3203847901569992E-2</v>
          </cell>
          <cell r="BB34">
            <v>5.4092653519191236E-2</v>
          </cell>
          <cell r="BC34">
            <v>9.3840684109172123E-2</v>
          </cell>
          <cell r="BD34">
            <v>8.0793719443949197E-2</v>
          </cell>
          <cell r="BE34">
            <v>5.9993664834134819E-2</v>
          </cell>
          <cell r="BF34">
            <v>8.8845138180528638E-2</v>
          </cell>
          <cell r="BG34">
            <v>9.4983454533318801E-2</v>
          </cell>
          <cell r="BH34">
            <v>8.1033898629039314E-2</v>
          </cell>
          <cell r="BI34">
            <v>4.4920816019105247E-2</v>
          </cell>
          <cell r="BJ34">
            <v>1.2755431781059645E-3</v>
          </cell>
          <cell r="BK34">
            <v>5.8506125749143489E-2</v>
          </cell>
          <cell r="BL34">
            <v>3.4649384493855795E-2</v>
          </cell>
          <cell r="BM34">
            <v>1.3201350987534388E-2</v>
          </cell>
          <cell r="BN34">
            <v>5.3190262118530951E-2</v>
          </cell>
          <cell r="BO34">
            <v>1.3229299607810496E-2</v>
          </cell>
          <cell r="BP34">
            <v>2.6352543009974694E-2</v>
          </cell>
        </row>
        <row r="35">
          <cell r="A35" t="str">
            <v>NRx Market Growth</v>
          </cell>
          <cell r="AL35">
            <v>9.9666837782090179E-2</v>
          </cell>
          <cell r="AM35">
            <v>0.15427387276578042</v>
          </cell>
          <cell r="AN35">
            <v>0.70908559299689644</v>
          </cell>
          <cell r="AO35">
            <v>9.6488894665037961E-2</v>
          </cell>
          <cell r="AP35">
            <v>8.4187677015820972E-2</v>
          </cell>
          <cell r="AQ35">
            <v>8.5791172742302635E-2</v>
          </cell>
          <cell r="AR35">
            <v>8.8959826798357788E-2</v>
          </cell>
          <cell r="AS35">
            <v>4.545008282498153E-2</v>
          </cell>
          <cell r="AT35">
            <v>5.8184541697513303E-2</v>
          </cell>
          <cell r="AU35">
            <v>0.10986124453414381</v>
          </cell>
          <cell r="AV35">
            <v>7.0357287620833819E-2</v>
          </cell>
          <cell r="AW35">
            <v>6.4147641984147574E-2</v>
          </cell>
          <cell r="AX35">
            <v>3.4345894789215237E-2</v>
          </cell>
          <cell r="AY35">
            <v>0.14002126986811581</v>
          </cell>
          <cell r="AZ35">
            <v>7.8772614898892757E-2</v>
          </cell>
          <cell r="BA35">
            <v>9.7955890683167901E-2</v>
          </cell>
          <cell r="BB35">
            <v>2.5003508921544126E-2</v>
          </cell>
          <cell r="BC35">
            <v>6.752733516533449E-2</v>
          </cell>
          <cell r="BD35">
            <v>6.4141866611967968E-2</v>
          </cell>
          <cell r="BE35">
            <v>1.4141668529133344E-2</v>
          </cell>
          <cell r="BF35">
            <v>5.0537539634649242E-2</v>
          </cell>
          <cell r="BG35">
            <v>7.6614915784360749E-2</v>
          </cell>
          <cell r="BH35">
            <v>4.6805906652515938E-2</v>
          </cell>
          <cell r="BI35">
            <v>1.0969245980388953E-2</v>
          </cell>
          <cell r="BJ35">
            <v>-3.6335741869226501E-2</v>
          </cell>
          <cell r="BK35">
            <v>3.2226559154886258E-2</v>
          </cell>
          <cell r="BL35">
            <v>2.0147449979006637E-3</v>
          </cell>
          <cell r="BM35">
            <v>-1.3315364598046497E-2</v>
          </cell>
          <cell r="BN35">
            <v>4.4709907780215108E-2</v>
          </cell>
          <cell r="BO35">
            <v>-2.7512857219454179E-2</v>
          </cell>
          <cell r="BP35">
            <v>5.5247910977329617E-4</v>
          </cell>
        </row>
        <row r="36">
          <cell r="A36" t="str">
            <v>TRx Market Share</v>
          </cell>
          <cell r="AH36">
            <v>9.3789519266126943E-5</v>
          </cell>
          <cell r="AI36">
            <v>6.7125289019465961E-3</v>
          </cell>
          <cell r="AJ36">
            <v>2.2176617431387429E-3</v>
          </cell>
          <cell r="AK36">
            <v>2.1502778152236481E-2</v>
          </cell>
          <cell r="AL36">
            <v>3.5200963354204438E-2</v>
          </cell>
          <cell r="AM36">
            <v>4.6605137038768903E-2</v>
          </cell>
          <cell r="AN36">
            <v>3.4558897016063753E-2</v>
          </cell>
          <cell r="AO36">
            <v>5.7663567779665033E-2</v>
          </cell>
          <cell r="AP36">
            <v>6.7857224404321168E-2</v>
          </cell>
          <cell r="AQ36">
            <v>7.6828179291336507E-2</v>
          </cell>
          <cell r="AR36">
            <v>6.7434221644057407E-2</v>
          </cell>
          <cell r="AS36">
            <v>8.7647295528577682E-2</v>
          </cell>
          <cell r="AT36">
            <v>9.6426095379104154E-2</v>
          </cell>
          <cell r="AU36">
            <v>0.10431298193321246</v>
          </cell>
          <cell r="AV36">
            <v>9.6152443477101612E-2</v>
          </cell>
          <cell r="AW36">
            <v>0.11198110364846392</v>
          </cell>
          <cell r="AX36">
            <v>0.11933164668972866</v>
          </cell>
          <cell r="AY36">
            <v>0.12561441366167411</v>
          </cell>
          <cell r="AZ36">
            <v>0.11895619581337512</v>
          </cell>
          <cell r="BA36">
            <v>0.13294868873713125</v>
          </cell>
          <cell r="BB36">
            <v>0.13970260404973284</v>
          </cell>
          <cell r="BC36">
            <v>0.1456419525735386</v>
          </cell>
          <cell r="BD36">
            <v>0.13949369756152641</v>
          </cell>
          <cell r="BE36">
            <v>0.15183444510007341</v>
          </cell>
          <cell r="BF36">
            <v>0.15817348398037129</v>
          </cell>
          <cell r="BG36">
            <v>0.16314059462566857</v>
          </cell>
          <cell r="BH36">
            <v>0.15776477374143796</v>
          </cell>
          <cell r="BI36">
            <v>0.16781150452622096</v>
          </cell>
          <cell r="BJ36">
            <v>0.17193780341690407</v>
          </cell>
          <cell r="BK36">
            <v>0.17614991333268937</v>
          </cell>
          <cell r="BL36">
            <v>0.17199556965302987</v>
          </cell>
          <cell r="BM36">
            <v>0.18080772489256805</v>
          </cell>
          <cell r="BN36">
            <v>0.18455836462790143</v>
          </cell>
          <cell r="BO36">
            <v>0.18779193563128599</v>
          </cell>
          <cell r="BP36">
            <v>0.18437844116640439</v>
          </cell>
        </row>
        <row r="37">
          <cell r="A37" t="str">
            <v>NRx Market Share</v>
          </cell>
          <cell r="AH37">
            <v>2.2571331393706544E-4</v>
          </cell>
          <cell r="AI37">
            <v>1.6001347520598865E-2</v>
          </cell>
          <cell r="AJ37">
            <v>5.2780081400450518E-3</v>
          </cell>
          <cell r="AK37">
            <v>4.5364921040920346E-2</v>
          </cell>
          <cell r="AL37">
            <v>6.5760520990457511E-2</v>
          </cell>
          <cell r="AM37">
            <v>7.7721858960146606E-2</v>
          </cell>
          <cell r="AN37">
            <v>0.70908559299689644</v>
          </cell>
          <cell r="AO37">
            <v>8.6483914861169547E-2</v>
          </cell>
          <cell r="AP37">
            <v>9.7459766452193217E-2</v>
          </cell>
          <cell r="AQ37">
            <v>0.10671386429691164</v>
          </cell>
          <cell r="AR37">
            <v>8.8959826798357788E-2</v>
          </cell>
          <cell r="AS37">
            <v>0.11580835243970423</v>
          </cell>
          <cell r="AT37">
            <v>0.12346389030070894</v>
          </cell>
          <cell r="AU37">
            <v>0.13057440475171012</v>
          </cell>
          <cell r="AV37">
            <v>7.0357287620833819E-2</v>
          </cell>
          <cell r="AW37">
            <v>0.13684661158617847</v>
          </cell>
          <cell r="AX37">
            <v>0.14348974962974681</v>
          </cell>
          <cell r="AY37">
            <v>0.14472671580435176</v>
          </cell>
          <cell r="AZ37">
            <v>7.8772614898892757E-2</v>
          </cell>
          <cell r="BA37">
            <v>0.15018499709111996</v>
          </cell>
          <cell r="BB37">
            <v>0.15928737611566857</v>
          </cell>
          <cell r="BC37">
            <v>0.16575296456659719</v>
          </cell>
          <cell r="BD37">
            <v>6.4141866611967968E-2</v>
          </cell>
          <cell r="BE37">
            <v>0.17097233731265465</v>
          </cell>
          <cell r="BF37">
            <v>0.17598369162087321</v>
          </cell>
          <cell r="BG37">
            <v>0.18126142839295156</v>
          </cell>
          <cell r="BH37">
            <v>4.6805906652515938E-2</v>
          </cell>
          <cell r="BI37">
            <v>0.18505775728398571</v>
          </cell>
          <cell r="BJ37">
            <v>0.18865302307008544</v>
          </cell>
          <cell r="BK37">
            <v>0.19189189637628948</v>
          </cell>
          <cell r="BL37">
            <v>2.0147449979006637E-3</v>
          </cell>
          <cell r="BM37">
            <v>0.19610650871629393</v>
          </cell>
          <cell r="BN37">
            <v>0.19835317653697196</v>
          </cell>
          <cell r="BO37">
            <v>0.19973079265272045</v>
          </cell>
          <cell r="BP37">
            <v>5.5247910977329617E-4</v>
          </cell>
        </row>
        <row r="38">
          <cell r="A38" t="str">
            <v>Price Change (YoY)</v>
          </cell>
          <cell r="H38" t="str">
            <v>NA</v>
          </cell>
          <cell r="L38" t="str">
            <v>NA</v>
          </cell>
          <cell r="P38" t="str">
            <v>NA</v>
          </cell>
          <cell r="T38" t="str">
            <v>NA</v>
          </cell>
          <cell r="X38" t="str">
            <v>NA</v>
          </cell>
          <cell r="AB38" t="str">
            <v>NA</v>
          </cell>
          <cell r="AF38" t="str">
            <v>NA</v>
          </cell>
          <cell r="AJ38" t="str">
            <v>NA</v>
          </cell>
          <cell r="AN38" t="str">
            <v>NA</v>
          </cell>
          <cell r="AR38" t="str">
            <v>NA</v>
          </cell>
          <cell r="AU38">
            <v>-1.619E-3</v>
          </cell>
          <cell r="AV38">
            <v>-1.619E-3</v>
          </cell>
          <cell r="AZ38">
            <v>-1.619E-3</v>
          </cell>
          <cell r="BD38">
            <v>-1.619E-3</v>
          </cell>
          <cell r="BH38">
            <v>-1.619E-3</v>
          </cell>
          <cell r="BL38">
            <v>0</v>
          </cell>
          <cell r="BP38">
            <v>0</v>
          </cell>
        </row>
        <row r="40">
          <cell r="A40" t="str">
            <v xml:space="preserve">TRx + Lexapro Price Change </v>
          </cell>
          <cell r="AN40">
            <v>0</v>
          </cell>
          <cell r="AR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D40">
            <v>3.3609019495671415</v>
          </cell>
          <cell r="BH40">
            <v>1.5274984757566801</v>
          </cell>
          <cell r="BL40">
            <v>0.85076014547208967</v>
          </cell>
          <cell r="BP40">
            <v>0.59081484300523335</v>
          </cell>
        </row>
        <row r="42">
          <cell r="A42" t="str">
            <v xml:space="preserve">TOTAL LEXAPRO REPORTED SALES </v>
          </cell>
          <cell r="AJ42">
            <v>22</v>
          </cell>
          <cell r="AN42">
            <v>81</v>
          </cell>
          <cell r="AR42">
            <v>142</v>
          </cell>
          <cell r="AV42">
            <v>191</v>
          </cell>
          <cell r="AZ42">
            <v>232.4</v>
          </cell>
          <cell r="BD42">
            <v>313.7</v>
          </cell>
          <cell r="BH42">
            <v>351.8</v>
          </cell>
          <cell r="BL42">
            <v>363.9</v>
          </cell>
          <cell r="BP42">
            <v>415.25885433363749</v>
          </cell>
        </row>
        <row r="43">
          <cell r="A43" t="str">
            <v xml:space="preserve">  % Change</v>
          </cell>
          <cell r="AZ43">
            <v>9.5636363636363644</v>
          </cell>
          <cell r="BD43">
            <v>3.3432098765432103</v>
          </cell>
          <cell r="BH43">
            <v>1.4774647887323944</v>
          </cell>
          <cell r="BL43">
            <v>0.9052356020942407</v>
          </cell>
          <cell r="BP43">
            <v>0.78682811675403386</v>
          </cell>
        </row>
        <row r="45">
          <cell r="A45" t="str">
            <v>TOTAL LEXAPRO SALES (IMS)</v>
          </cell>
          <cell r="AH45">
            <v>4.8082979999999997</v>
          </cell>
          <cell r="AI45">
            <v>9.6429749999999999</v>
          </cell>
          <cell r="AJ45">
            <v>14.451273</v>
          </cell>
          <cell r="AK45">
            <v>18.112079999999999</v>
          </cell>
          <cell r="AL45">
            <v>26.187456000000001</v>
          </cell>
          <cell r="AM45">
            <v>40.314849000000002</v>
          </cell>
          <cell r="AN45">
            <v>84.614384999999999</v>
          </cell>
          <cell r="AO45">
            <v>39.246243999999997</v>
          </cell>
          <cell r="AP45">
            <v>45.838189</v>
          </cell>
          <cell r="AQ45">
            <v>65.283333999999996</v>
          </cell>
          <cell r="AR45">
            <v>150.36776699999999</v>
          </cell>
          <cell r="AS45">
            <v>59.549297000000003</v>
          </cell>
          <cell r="AT45">
            <v>65.066952999999998</v>
          </cell>
          <cell r="AU45">
            <v>93.949056999999996</v>
          </cell>
          <cell r="AV45">
            <v>218.56530699999999</v>
          </cell>
          <cell r="AW45">
            <v>78.977887999999993</v>
          </cell>
          <cell r="AX45">
            <v>85.668460999999994</v>
          </cell>
          <cell r="AY45">
            <v>111.912291</v>
          </cell>
          <cell r="AZ45">
            <v>276.55863999999997</v>
          </cell>
          <cell r="BA45">
            <v>98.708836000000005</v>
          </cell>
          <cell r="BB45">
            <v>103.885532</v>
          </cell>
          <cell r="BC45">
            <v>134.892619</v>
          </cell>
          <cell r="BD45">
            <v>337.486987</v>
          </cell>
          <cell r="BE45">
            <v>112.70278</v>
          </cell>
          <cell r="BF45">
            <v>118.36559099999999</v>
          </cell>
          <cell r="BG45">
            <v>154.49185199999999</v>
          </cell>
          <cell r="BH45">
            <v>385.56022300000001</v>
          </cell>
          <cell r="BI45">
            <v>122.56623</v>
          </cell>
          <cell r="BJ45">
            <v>128.32904199999999</v>
          </cell>
          <cell r="BK45">
            <v>163.697293</v>
          </cell>
          <cell r="BL45">
            <v>414.59256500000004</v>
          </cell>
          <cell r="BM45">
            <v>131.753826</v>
          </cell>
          <cell r="BN45">
            <v>136.265345</v>
          </cell>
        </row>
        <row r="46">
          <cell r="A46" t="str">
            <v xml:space="preserve">  % Change</v>
          </cell>
          <cell r="AN46">
            <v>0</v>
          </cell>
          <cell r="AR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4.4498895764594684</v>
          </cell>
          <cell r="BB46">
            <v>2.9669959540934405</v>
          </cell>
          <cell r="BC46">
            <v>2.3459785251831153</v>
          </cell>
          <cell r="BD46">
            <v>2.9885296926757787</v>
          </cell>
          <cell r="BE46">
            <v>1.8716832112647523</v>
          </cell>
          <cell r="BF46">
            <v>1.5822484173622127</v>
          </cell>
          <cell r="BG46">
            <v>1.3664822632986238</v>
          </cell>
          <cell r="BH46">
            <v>1.5641148411813552</v>
          </cell>
          <cell r="BI46">
            <v>1.0582313507412184</v>
          </cell>
          <cell r="BJ46">
            <v>0.97226143354215444</v>
          </cell>
          <cell r="BK46">
            <v>0.74240485457986027</v>
          </cell>
          <cell r="BL46">
            <v>0.89688185508782525</v>
          </cell>
          <cell r="BM46">
            <v>0.66823688676000059</v>
          </cell>
          <cell r="BN46">
            <v>0.59061273436440054</v>
          </cell>
        </row>
        <row r="48">
          <cell r="A48" t="str">
            <v>REPORTED SALES/TRx LEXAPRO</v>
          </cell>
          <cell r="AJ48">
            <v>302.59683098591552</v>
          </cell>
          <cell r="AN48">
            <v>68.493034850270845</v>
          </cell>
          <cell r="AR48">
            <v>61.353616320407596</v>
          </cell>
          <cell r="AV48">
            <v>56.464739691637483</v>
          </cell>
          <cell r="AZ48">
            <v>54.460972292394494</v>
          </cell>
          <cell r="BD48">
            <v>60.804872763332391</v>
          </cell>
          <cell r="BH48">
            <v>60.100578779848917</v>
          </cell>
          <cell r="BL48">
            <v>58.126728407613562</v>
          </cell>
          <cell r="BP48">
            <v>61.17141601091582</v>
          </cell>
        </row>
        <row r="49">
          <cell r="A49" t="str">
            <v>IMS SALES/REPORTED SALES</v>
          </cell>
          <cell r="AJ49">
            <v>0.65687604545454548</v>
          </cell>
          <cell r="AN49">
            <v>1.0446220370370369</v>
          </cell>
          <cell r="AR49">
            <v>1.0589279366197182</v>
          </cell>
          <cell r="AV49">
            <v>1.1443209790575917</v>
          </cell>
          <cell r="AZ49">
            <v>1.1900113597246125</v>
          </cell>
          <cell r="BD49">
            <v>1.0758271820210392</v>
          </cell>
          <cell r="BH49">
            <v>1.0959642495736213</v>
          </cell>
          <cell r="BL49">
            <v>1.1393035586699645</v>
          </cell>
        </row>
        <row r="51">
          <cell r="A51" t="str">
            <v>TIAZAC</v>
          </cell>
        </row>
        <row r="52">
          <cell r="A52" t="str">
            <v>TRx</v>
          </cell>
          <cell r="D52">
            <v>314067</v>
          </cell>
          <cell r="E52">
            <v>329260</v>
          </cell>
          <cell r="F52">
            <v>323959</v>
          </cell>
          <cell r="G52">
            <v>334939</v>
          </cell>
          <cell r="H52">
            <v>988158</v>
          </cell>
          <cell r="I52">
            <v>345671</v>
          </cell>
          <cell r="J52">
            <v>313417</v>
          </cell>
          <cell r="K52">
            <v>348526</v>
          </cell>
          <cell r="L52">
            <v>1007614</v>
          </cell>
          <cell r="M52">
            <v>334251</v>
          </cell>
          <cell r="N52">
            <v>346345</v>
          </cell>
          <cell r="O52">
            <v>334307</v>
          </cell>
          <cell r="P52">
            <v>1014903</v>
          </cell>
          <cell r="Q52">
            <v>342097</v>
          </cell>
          <cell r="R52">
            <v>346817</v>
          </cell>
          <cell r="S52">
            <v>321327</v>
          </cell>
          <cell r="T52">
            <v>1010241</v>
          </cell>
          <cell r="U52">
            <v>350260</v>
          </cell>
          <cell r="V52">
            <v>335775</v>
          </cell>
          <cell r="W52">
            <v>347808</v>
          </cell>
          <cell r="X52">
            <v>1033843</v>
          </cell>
          <cell r="Y52">
            <v>351398</v>
          </cell>
          <cell r="Z52">
            <v>319735</v>
          </cell>
          <cell r="AA52">
            <v>345584</v>
          </cell>
          <cell r="AB52">
            <v>1016717</v>
          </cell>
          <cell r="AC52">
            <v>351442</v>
          </cell>
          <cell r="AD52">
            <v>354225</v>
          </cell>
          <cell r="AE52">
            <v>334460</v>
          </cell>
          <cell r="AF52">
            <v>1040127</v>
          </cell>
          <cell r="AG52">
            <v>360049</v>
          </cell>
          <cell r="AH52">
            <v>351886</v>
          </cell>
          <cell r="AI52">
            <v>336669</v>
          </cell>
          <cell r="AJ52">
            <v>1048604</v>
          </cell>
          <cell r="AK52">
            <v>348176</v>
          </cell>
          <cell r="AL52">
            <v>332135</v>
          </cell>
          <cell r="AM52">
            <v>353715</v>
          </cell>
          <cell r="AN52">
            <v>1034026</v>
          </cell>
          <cell r="AO52">
            <v>349588</v>
          </cell>
          <cell r="AP52">
            <v>318052</v>
          </cell>
          <cell r="AQ52">
            <v>343882</v>
          </cell>
          <cell r="AR52">
            <v>1011522</v>
          </cell>
          <cell r="AS52">
            <v>305314</v>
          </cell>
          <cell r="AT52">
            <v>228017</v>
          </cell>
          <cell r="AU52">
            <v>181565</v>
          </cell>
          <cell r="AV52">
            <v>714896</v>
          </cell>
          <cell r="AW52">
            <v>165405</v>
          </cell>
          <cell r="AX52">
            <v>145819</v>
          </cell>
          <cell r="AY52">
            <v>134566</v>
          </cell>
          <cell r="AZ52">
            <v>445790</v>
          </cell>
          <cell r="BA52">
            <v>130096</v>
          </cell>
          <cell r="BB52">
            <v>113239</v>
          </cell>
          <cell r="BC52">
            <v>118602</v>
          </cell>
          <cell r="BD52">
            <v>361937</v>
          </cell>
          <cell r="BE52">
            <v>105300</v>
          </cell>
          <cell r="BF52">
            <v>92040</v>
          </cell>
          <cell r="BG52">
            <v>95210</v>
          </cell>
          <cell r="BH52">
            <v>292550</v>
          </cell>
          <cell r="BI52">
            <v>85199</v>
          </cell>
          <cell r="BJ52">
            <v>80780</v>
          </cell>
          <cell r="BK52">
            <v>79613</v>
          </cell>
          <cell r="BL52">
            <v>245592</v>
          </cell>
          <cell r="BM52">
            <v>75529</v>
          </cell>
          <cell r="BN52">
            <v>72317</v>
          </cell>
          <cell r="BO52">
            <v>67140</v>
          </cell>
          <cell r="BP52">
            <v>214986</v>
          </cell>
        </row>
        <row r="53">
          <cell r="A53" t="str">
            <v xml:space="preserve">  % Change</v>
          </cell>
          <cell r="S53">
            <v>2.3116086694877191E-2</v>
          </cell>
          <cell r="U53">
            <v>6.3779384073376688E-2</v>
          </cell>
          <cell r="V53">
            <v>3.6473751308035984E-2</v>
          </cell>
          <cell r="W53">
            <v>3.8421921603635223E-2</v>
          </cell>
          <cell r="X53">
            <v>4.6232485088417041E-2</v>
          </cell>
          <cell r="Y53">
            <v>1.6567776874542472E-2</v>
          </cell>
          <cell r="Z53">
            <v>2.0158447052967876E-2</v>
          </cell>
          <cell r="AA53">
            <v>-8.441264066382459E-3</v>
          </cell>
          <cell r="AB53">
            <v>9.0342134984229272E-3</v>
          </cell>
          <cell r="AC53">
            <v>5.1431409330114253E-2</v>
          </cell>
          <cell r="AD53">
            <v>2.2751880350517562E-2</v>
          </cell>
          <cell r="AE53">
            <v>4.5766316589235245E-4</v>
          </cell>
          <cell r="AF53">
            <v>2.4853606699359432E-2</v>
          </cell>
          <cell r="AG53">
            <v>5.247634442862692E-2</v>
          </cell>
          <cell r="AH53">
            <v>1.461577719661955E-2</v>
          </cell>
          <cell r="AI53">
            <v>4.7745754325033474E-2</v>
          </cell>
          <cell r="AJ53">
            <v>3.7974107168487592E-2</v>
          </cell>
          <cell r="AK53">
            <v>-5.949865813966726E-3</v>
          </cell>
          <cell r="AL53">
            <v>-1.0840592658774462E-2</v>
          </cell>
          <cell r="AM53">
            <v>1.6983508142423442E-2</v>
          </cell>
          <cell r="AN53">
            <v>1.7700946855558897E-4</v>
          </cell>
          <cell r="AO53">
            <v>-5.1508545865371902E-3</v>
          </cell>
          <cell r="AP53">
            <v>-5.2637340297433388E-3</v>
          </cell>
          <cell r="AQ53">
            <v>-4.9249965276170204E-3</v>
          </cell>
          <cell r="AR53">
            <v>-5.1095830993285185E-3</v>
          </cell>
          <cell r="AS53">
            <v>-0.13125352120691325</v>
          </cell>
          <cell r="AT53">
            <v>-0.35629331639494677</v>
          </cell>
          <cell r="AU53">
            <v>-0.45713986724869937</v>
          </cell>
          <cell r="AV53">
            <v>-0.31268393186601251</v>
          </cell>
          <cell r="AW53">
            <v>-0.54060419554005157</v>
          </cell>
          <cell r="AX53">
            <v>-0.58560727053648054</v>
          </cell>
          <cell r="AY53">
            <v>-0.60030178008667268</v>
          </cell>
          <cell r="AZ53">
            <v>-0.57487287860813041</v>
          </cell>
          <cell r="BA53">
            <v>-0.62634989200863933</v>
          </cell>
          <cell r="BB53">
            <v>-0.65905731103316423</v>
          </cell>
          <cell r="BC53">
            <v>-0.66469615368304991</v>
          </cell>
          <cell r="BD53">
            <v>-0.64997301808658581</v>
          </cell>
          <cell r="BE53">
            <v>-0.69878828792750325</v>
          </cell>
          <cell r="BF53">
            <v>-0.71061335882182786</v>
          </cell>
          <cell r="BG53">
            <v>-0.72313177194502765</v>
          </cell>
          <cell r="BH53">
            <v>-0.71078236558374408</v>
          </cell>
          <cell r="BI53">
            <v>-0.72094630446032615</v>
          </cell>
          <cell r="BJ53">
            <v>-0.64572816939087874</v>
          </cell>
          <cell r="BK53">
            <v>-0.56151791369482007</v>
          </cell>
          <cell r="BL53">
            <v>-0.65646471654618299</v>
          </cell>
          <cell r="BM53">
            <v>-0.54336930564372299</v>
          </cell>
          <cell r="BN53">
            <v>-0.50406325650292483</v>
          </cell>
          <cell r="BO53">
            <v>-0.50106267556440698</v>
          </cell>
          <cell r="BP53">
            <v>-0.51774153749523322</v>
          </cell>
        </row>
        <row r="54">
          <cell r="A54" t="str">
            <v>NRx</v>
          </cell>
          <cell r="D54">
            <v>93096</v>
          </cell>
          <cell r="E54">
            <v>98493</v>
          </cell>
          <cell r="F54">
            <v>96767</v>
          </cell>
          <cell r="G54">
            <v>97454</v>
          </cell>
          <cell r="H54">
            <v>292714</v>
          </cell>
          <cell r="I54">
            <v>108081</v>
          </cell>
          <cell r="J54">
            <v>98384</v>
          </cell>
          <cell r="K54">
            <v>108342</v>
          </cell>
          <cell r="L54">
            <v>314807</v>
          </cell>
          <cell r="M54">
            <v>100368</v>
          </cell>
          <cell r="N54">
            <v>103667</v>
          </cell>
          <cell r="O54">
            <v>98121</v>
          </cell>
          <cell r="P54">
            <v>302156</v>
          </cell>
          <cell r="Q54">
            <v>98812</v>
          </cell>
          <cell r="R54">
            <v>100210</v>
          </cell>
          <cell r="S54">
            <v>90433</v>
          </cell>
          <cell r="T54">
            <v>289455</v>
          </cell>
          <cell r="U54">
            <v>102280</v>
          </cell>
          <cell r="V54">
            <v>96391</v>
          </cell>
          <cell r="W54">
            <v>99190</v>
          </cell>
          <cell r="X54">
            <v>297861</v>
          </cell>
          <cell r="Y54">
            <v>108123</v>
          </cell>
          <cell r="Z54">
            <v>99048</v>
          </cell>
          <cell r="AA54">
            <v>105223</v>
          </cell>
          <cell r="AB54">
            <v>312394</v>
          </cell>
          <cell r="AC54">
            <v>106062</v>
          </cell>
          <cell r="AD54">
            <v>104282</v>
          </cell>
          <cell r="AE54">
            <v>96370</v>
          </cell>
          <cell r="AF54">
            <v>306714</v>
          </cell>
          <cell r="AG54">
            <v>102952</v>
          </cell>
          <cell r="AH54">
            <v>99781</v>
          </cell>
          <cell r="AI54">
            <v>94564</v>
          </cell>
          <cell r="AJ54">
            <v>297297</v>
          </cell>
          <cell r="AK54">
            <v>97736</v>
          </cell>
          <cell r="AL54">
            <v>93236</v>
          </cell>
          <cell r="AM54">
            <v>99562</v>
          </cell>
          <cell r="AN54">
            <v>290534</v>
          </cell>
          <cell r="AO54">
            <v>102974</v>
          </cell>
          <cell r="AP54">
            <v>94532</v>
          </cell>
          <cell r="AQ54">
            <v>100008</v>
          </cell>
          <cell r="AR54">
            <v>297514</v>
          </cell>
          <cell r="AS54">
            <v>87077</v>
          </cell>
          <cell r="AT54">
            <v>59625</v>
          </cell>
          <cell r="AU54">
            <v>46550</v>
          </cell>
          <cell r="AV54">
            <v>193252</v>
          </cell>
          <cell r="AW54">
            <v>40705</v>
          </cell>
          <cell r="AX54">
            <v>34534</v>
          </cell>
          <cell r="AY54">
            <v>32885</v>
          </cell>
          <cell r="AZ54">
            <v>108124</v>
          </cell>
          <cell r="BA54">
            <v>32198</v>
          </cell>
          <cell r="BB54">
            <v>26720</v>
          </cell>
          <cell r="BC54">
            <v>27856</v>
          </cell>
          <cell r="BD54">
            <v>86774</v>
          </cell>
          <cell r="BE54">
            <v>25784</v>
          </cell>
          <cell r="BF54">
            <v>22781</v>
          </cell>
          <cell r="BG54">
            <v>23627</v>
          </cell>
          <cell r="BH54">
            <v>72192</v>
          </cell>
          <cell r="BI54">
            <v>20838</v>
          </cell>
          <cell r="BJ54">
            <v>19526</v>
          </cell>
          <cell r="BK54">
            <v>19210</v>
          </cell>
          <cell r="BL54">
            <v>59574</v>
          </cell>
          <cell r="BM54">
            <v>18271</v>
          </cell>
          <cell r="BN54">
            <v>17342</v>
          </cell>
          <cell r="BO54">
            <v>16197</v>
          </cell>
          <cell r="BP54">
            <v>51810</v>
          </cell>
        </row>
        <row r="55">
          <cell r="A55" t="str">
            <v xml:space="preserve">  % Change</v>
          </cell>
          <cell r="S55">
            <v>-2.8604880983071235E-2</v>
          </cell>
          <cell r="U55">
            <v>3.8449432954626328E-2</v>
          </cell>
          <cell r="V55">
            <v>-3.8856221645808819E-3</v>
          </cell>
          <cell r="W55">
            <v>1.7813532538428323E-2</v>
          </cell>
          <cell r="X55">
            <v>1.7583716528761784E-2</v>
          </cell>
          <cell r="Y55">
            <v>3.8859744080821379E-4</v>
          </cell>
          <cell r="Z55">
            <v>6.7490648885997206E-3</v>
          </cell>
          <cell r="AA55">
            <v>-2.8788466153476966E-2</v>
          </cell>
          <cell r="AB55">
            <v>-7.6650138021072678E-3</v>
          </cell>
          <cell r="AC55">
            <v>5.673122907699657E-2</v>
          </cell>
          <cell r="AD55">
            <v>5.9324568088205965E-3</v>
          </cell>
          <cell r="AE55">
            <v>-1.7845313439528776E-2</v>
          </cell>
          <cell r="AF55">
            <v>1.5084923019897056E-2</v>
          </cell>
          <cell r="AG55">
            <v>4.1897745213131943E-2</v>
          </cell>
          <cell r="AH55">
            <v>-4.2810098792536166E-3</v>
          </cell>
          <cell r="AI55">
            <v>4.5680227350635372E-2</v>
          </cell>
          <cell r="AJ55">
            <v>2.7092294138985284E-2</v>
          </cell>
          <cell r="AK55">
            <v>-4.4427062964411457E-2</v>
          </cell>
          <cell r="AL55">
            <v>-3.2731271591746158E-2</v>
          </cell>
          <cell r="AM55">
            <v>3.7503780623047156E-3</v>
          </cell>
          <cell r="AN55">
            <v>-2.459872222278181E-2</v>
          </cell>
          <cell r="AO55">
            <v>-4.7621690112187087E-2</v>
          </cell>
          <cell r="AP55">
            <v>-4.5594055407479184E-2</v>
          </cell>
          <cell r="AQ55">
            <v>-4.9561407677028768E-2</v>
          </cell>
          <cell r="AR55">
            <v>-4.7632156827595917E-2</v>
          </cell>
          <cell r="AS55">
            <v>-0.17899907601214382</v>
          </cell>
          <cell r="AT55">
            <v>-0.42823306035557429</v>
          </cell>
          <cell r="AU55">
            <v>-0.51696586074504514</v>
          </cell>
          <cell r="AV55">
            <v>-0.36992768507469498</v>
          </cell>
          <cell r="AW55">
            <v>-0.60462157121765481</v>
          </cell>
          <cell r="AX55">
            <v>-0.65390204547960029</v>
          </cell>
          <cell r="AY55">
            <v>-0.65224609788080024</v>
          </cell>
          <cell r="AZ55">
            <v>-0.63630981812800003</v>
          </cell>
          <cell r="BA55">
            <v>-0.67056151264631247</v>
          </cell>
          <cell r="BB55">
            <v>-0.71341541893689131</v>
          </cell>
          <cell r="BC55">
            <v>-0.7202145396838151</v>
          </cell>
          <cell r="BD55">
            <v>-0.70132927643580434</v>
          </cell>
          <cell r="BE55">
            <v>-0.7496066968360946</v>
          </cell>
          <cell r="BF55">
            <v>-0.75901282105530399</v>
          </cell>
          <cell r="BG55">
            <v>-0.7637489000879929</v>
          </cell>
          <cell r="BH55">
            <v>-0.75734923398562759</v>
          </cell>
          <cell r="BI55">
            <v>-0.76069455769032013</v>
          </cell>
          <cell r="BJ55">
            <v>-0.67251991614255768</v>
          </cell>
          <cell r="BK55">
            <v>-0.58732545649838885</v>
          </cell>
          <cell r="BL55">
            <v>-0.69172893424130155</v>
          </cell>
          <cell r="BM55">
            <v>-0.5511362240510993</v>
          </cell>
          <cell r="BN55">
            <v>-0.49782822725430009</v>
          </cell>
          <cell r="BO55">
            <v>-0.5074654097612894</v>
          </cell>
          <cell r="BP55">
            <v>-0.52082793829307095</v>
          </cell>
        </row>
        <row r="56">
          <cell r="A56" t="str">
            <v>31300:CALCIUM BLOCKERS TRx</v>
          </cell>
          <cell r="C56">
            <v>8141171</v>
          </cell>
          <cell r="D56">
            <v>7735778</v>
          </cell>
          <cell r="E56">
            <v>8068670</v>
          </cell>
          <cell r="F56">
            <v>7831795</v>
          </cell>
          <cell r="G56">
            <v>8007040</v>
          </cell>
          <cell r="H56">
            <v>23907505</v>
          </cell>
          <cell r="I56">
            <v>8207044</v>
          </cell>
          <cell r="J56">
            <v>7400997</v>
          </cell>
          <cell r="K56">
            <v>8157756</v>
          </cell>
          <cell r="L56">
            <v>23765797</v>
          </cell>
          <cell r="M56">
            <v>7748947</v>
          </cell>
          <cell r="N56">
            <v>8027394</v>
          </cell>
          <cell r="O56">
            <v>7702158</v>
          </cell>
          <cell r="P56">
            <v>23478499</v>
          </cell>
          <cell r="Q56">
            <v>7867939</v>
          </cell>
          <cell r="R56">
            <v>7928543</v>
          </cell>
          <cell r="S56">
            <v>7363604</v>
          </cell>
          <cell r="T56">
            <v>23160086</v>
          </cell>
          <cell r="U56">
            <v>8007406</v>
          </cell>
          <cell r="V56">
            <v>7650658</v>
          </cell>
          <cell r="W56">
            <v>7835929</v>
          </cell>
          <cell r="X56">
            <v>23493993</v>
          </cell>
          <cell r="Y56">
            <v>7976857</v>
          </cell>
          <cell r="Z56">
            <v>7234606</v>
          </cell>
          <cell r="AA56">
            <v>7780456</v>
          </cell>
          <cell r="AB56">
            <v>22991919</v>
          </cell>
          <cell r="AC56">
            <v>7872028</v>
          </cell>
          <cell r="AD56">
            <v>7877609</v>
          </cell>
          <cell r="AE56">
            <v>7379542</v>
          </cell>
          <cell r="AF56">
            <v>23129179</v>
          </cell>
          <cell r="AG56">
            <v>7847721</v>
          </cell>
          <cell r="AH56">
            <v>7648233</v>
          </cell>
          <cell r="AI56">
            <v>7290185</v>
          </cell>
          <cell r="AJ56">
            <v>22786139</v>
          </cell>
          <cell r="AK56">
            <v>7663700</v>
          </cell>
          <cell r="AL56">
            <v>7299824</v>
          </cell>
          <cell r="AM56">
            <v>7752317</v>
          </cell>
          <cell r="AN56">
            <v>22715841</v>
          </cell>
          <cell r="AO56">
            <v>7642984</v>
          </cell>
          <cell r="AP56">
            <v>6943941</v>
          </cell>
          <cell r="AQ56">
            <v>7544795</v>
          </cell>
          <cell r="AR56">
            <v>22131720</v>
          </cell>
          <cell r="AS56">
            <v>7337052</v>
          </cell>
          <cell r="AT56">
            <v>7530839</v>
          </cell>
          <cell r="AU56">
            <v>7316117</v>
          </cell>
          <cell r="AV56">
            <v>22184008</v>
          </cell>
          <cell r="AW56">
            <v>7316117</v>
          </cell>
          <cell r="AX56">
            <v>7316117</v>
          </cell>
          <cell r="AY56">
            <v>7316117</v>
          </cell>
          <cell r="AZ56">
            <v>21948351</v>
          </cell>
          <cell r="BA56">
            <v>7504311</v>
          </cell>
          <cell r="BB56">
            <v>6963874</v>
          </cell>
          <cell r="BC56">
            <v>7729477</v>
          </cell>
          <cell r="BD56">
            <v>22197662</v>
          </cell>
          <cell r="BE56">
            <v>7470133</v>
          </cell>
          <cell r="BF56">
            <v>6962865</v>
          </cell>
          <cell r="BG56">
            <v>7688647</v>
          </cell>
          <cell r="BH56">
            <v>22121645</v>
          </cell>
          <cell r="BI56">
            <v>7300789</v>
          </cell>
          <cell r="BJ56">
            <v>7183809</v>
          </cell>
          <cell r="BK56">
            <v>7446786</v>
          </cell>
          <cell r="BL56">
            <v>21931384</v>
          </cell>
          <cell r="BM56">
            <v>7387859</v>
          </cell>
          <cell r="BN56">
            <v>7433035</v>
          </cell>
          <cell r="BO56">
            <v>7233205</v>
          </cell>
          <cell r="BP56">
            <v>22054099</v>
          </cell>
        </row>
        <row r="57">
          <cell r="A57" t="str">
            <v>31300:CALCIUM BLOCKERS NRx</v>
          </cell>
          <cell r="V57">
            <v>2276122</v>
          </cell>
          <cell r="W57">
            <v>2272313</v>
          </cell>
          <cell r="X57">
            <v>4548435</v>
          </cell>
          <cell r="Y57">
            <v>2528187</v>
          </cell>
          <cell r="Z57">
            <v>2287672</v>
          </cell>
          <cell r="AA57">
            <v>2406806</v>
          </cell>
          <cell r="AB57">
            <v>7222665</v>
          </cell>
          <cell r="AC57">
            <v>2391375</v>
          </cell>
          <cell r="AD57">
            <v>2343591</v>
          </cell>
          <cell r="AE57">
            <v>2146212</v>
          </cell>
          <cell r="AF57">
            <v>6881178</v>
          </cell>
          <cell r="AG57">
            <v>2279668</v>
          </cell>
          <cell r="AH57">
            <v>2206227</v>
          </cell>
          <cell r="AI57">
            <v>2093598</v>
          </cell>
          <cell r="AJ57">
            <v>6579493</v>
          </cell>
          <cell r="AK57">
            <v>2258628</v>
          </cell>
          <cell r="AL57">
            <v>2131801</v>
          </cell>
          <cell r="AM57">
            <v>2253287</v>
          </cell>
          <cell r="AN57">
            <v>6643716</v>
          </cell>
          <cell r="AO57">
            <v>2357195</v>
          </cell>
          <cell r="AP57">
            <v>2145962</v>
          </cell>
          <cell r="AQ57">
            <v>2280162</v>
          </cell>
          <cell r="AR57">
            <v>6783319</v>
          </cell>
          <cell r="AS57">
            <v>2188329</v>
          </cell>
          <cell r="AT57">
            <v>2276227</v>
          </cell>
          <cell r="AU57">
            <v>2191514</v>
          </cell>
          <cell r="AV57">
            <v>6656070</v>
          </cell>
          <cell r="AW57">
            <v>2215330</v>
          </cell>
          <cell r="AX57">
            <v>2094375</v>
          </cell>
          <cell r="AY57">
            <v>2133394</v>
          </cell>
          <cell r="AZ57">
            <v>6443099</v>
          </cell>
          <cell r="BA57">
            <v>2253273</v>
          </cell>
          <cell r="BB57">
            <v>2019833</v>
          </cell>
          <cell r="BC57">
            <v>2256478</v>
          </cell>
          <cell r="BD57">
            <v>6529584</v>
          </cell>
          <cell r="BE57">
            <v>2262397</v>
          </cell>
          <cell r="BF57">
            <v>2151273</v>
          </cell>
          <cell r="BG57">
            <v>2363372</v>
          </cell>
          <cell r="BH57">
            <v>6777042</v>
          </cell>
          <cell r="BI57">
            <v>2201542</v>
          </cell>
          <cell r="BJ57">
            <v>2125517</v>
          </cell>
          <cell r="BK57">
            <v>2205623</v>
          </cell>
          <cell r="BL57">
            <v>6532682</v>
          </cell>
          <cell r="BM57">
            <v>2151009</v>
          </cell>
          <cell r="BN57">
            <v>2162811</v>
          </cell>
          <cell r="BO57">
            <v>2141315</v>
          </cell>
          <cell r="BP57">
            <v>6455135</v>
          </cell>
        </row>
        <row r="58">
          <cell r="A58" t="str">
            <v>TRx Market Growth</v>
          </cell>
          <cell r="X58">
            <v>-1.7296325986337791E-2</v>
          </cell>
          <cell r="AB58">
            <v>-3.256267820515335E-2</v>
          </cell>
          <cell r="AF58">
            <v>-1.4878293539974607E-2</v>
          </cell>
          <cell r="AJ58">
            <v>-1.6146183567712136E-2</v>
          </cell>
          <cell r="AK58">
            <v>-4.2923513557324267E-2</v>
          </cell>
          <cell r="AL58">
            <v>-4.5856709318335742E-2</v>
          </cell>
          <cell r="AM58">
            <v>-1.0670336599527652E-2</v>
          </cell>
          <cell r="AN58">
            <v>-3.3121317436333619E-2</v>
          </cell>
          <cell r="AO58">
            <v>-4.1855206881607598E-2</v>
          </cell>
          <cell r="AP58">
            <v>-4.0177032446549243E-2</v>
          </cell>
          <cell r="AQ58">
            <v>-3.028884168228696E-2</v>
          </cell>
          <cell r="AR58">
            <v>-3.7413101533630089E-2</v>
          </cell>
          <cell r="AS58">
            <v>-6.7959107869026925E-2</v>
          </cell>
          <cell r="AT58">
            <v>-4.4019701917167975E-2</v>
          </cell>
          <cell r="AU58">
            <v>-8.5947068259791815E-3</v>
          </cell>
          <cell r="AV58">
            <v>-4.0864874624386816E-2</v>
          </cell>
          <cell r="AW58">
            <v>-6.7739920927362252E-2</v>
          </cell>
          <cell r="AX58">
            <v>-4.3423886275431256E-2</v>
          </cell>
          <cell r="AY58">
            <v>3.5571113764603091E-3</v>
          </cell>
          <cell r="AZ58">
            <v>-3.6767440065208046E-2</v>
          </cell>
          <cell r="BA58">
            <v>-2.0797917455015247E-2</v>
          </cell>
          <cell r="BB58">
            <v>-4.6021657508454994E-2</v>
          </cell>
          <cell r="BC58">
            <v>-2.9462159506635777E-3</v>
          </cell>
          <cell r="BD58">
            <v>-2.2811350017813536E-2</v>
          </cell>
          <cell r="BE58">
            <v>-2.2615643314181977E-2</v>
          </cell>
          <cell r="BF58">
            <v>2.7252535699828773E-3</v>
          </cell>
          <cell r="BG58">
            <v>1.9066389477778944E-2</v>
          </cell>
          <cell r="BH58">
            <v>-4.5522896548488845E-4</v>
          </cell>
          <cell r="BI58">
            <v>-4.942448274865674E-3</v>
          </cell>
          <cell r="BJ58">
            <v>-4.6081186970004295E-2</v>
          </cell>
          <cell r="BK58">
            <v>1.7860430608203748E-2</v>
          </cell>
          <cell r="BL58">
            <v>-1.1387662680251487E-2</v>
          </cell>
          <cell r="BM58">
            <v>9.8060214181920902E-3</v>
          </cell>
          <cell r="BN58">
            <v>1.5980881661679325E-2</v>
          </cell>
          <cell r="BO58">
            <v>-1.1332787597573946E-2</v>
          </cell>
          <cell r="BP58">
            <v>4.8180384940992305E-3</v>
          </cell>
        </row>
        <row r="59">
          <cell r="A59" t="str">
            <v>NRx Market Growth</v>
          </cell>
          <cell r="AN59">
            <v>0.46065976539183251</v>
          </cell>
          <cell r="AO59">
            <v>-6.7634237499045735E-2</v>
          </cell>
          <cell r="AP59">
            <v>-6.1945069048360057E-2</v>
          </cell>
          <cell r="AQ59">
            <v>-5.2619114295044955E-2</v>
          </cell>
          <cell r="AR59">
            <v>-6.0828793803949122E-2</v>
          </cell>
          <cell r="AS59">
            <v>-8.4907636819821275E-2</v>
          </cell>
          <cell r="AT59">
            <v>-2.8743923321091436E-2</v>
          </cell>
          <cell r="AU59">
            <v>2.1107886825719069E-2</v>
          </cell>
          <cell r="AV59">
            <v>-3.2713584796091655E-2</v>
          </cell>
          <cell r="AW59">
            <v>-2.8222530649199773E-2</v>
          </cell>
          <cell r="AX59">
            <v>-5.0698318894655925E-2</v>
          </cell>
          <cell r="AY59">
            <v>1.9008424731013385E-2</v>
          </cell>
          <cell r="AZ59">
            <v>-2.0730168722726816E-2</v>
          </cell>
          <cell r="BA59">
            <v>-2.3709083567546863E-3</v>
          </cell>
          <cell r="BB59">
            <v>-5.2522726089348826E-2</v>
          </cell>
          <cell r="BC59">
            <v>1.4161533794851966E-3</v>
          </cell>
          <cell r="BD59">
            <v>-1.7178940219599981E-2</v>
          </cell>
          <cell r="BE59">
            <v>-4.0216443696851512E-2</v>
          </cell>
          <cell r="BF59">
            <v>2.4748807294816544E-3</v>
          </cell>
          <cell r="BG59">
            <v>3.649302110990349E-2</v>
          </cell>
          <cell r="BH59">
            <v>-9.2535822065864526E-4</v>
          </cell>
          <cell r="BI59">
            <v>6.0379403645429708E-3</v>
          </cell>
          <cell r="BJ59">
            <v>-6.621044386170627E-2</v>
          </cell>
          <cell r="BK59">
            <v>6.4380149978509049E-3</v>
          </cell>
          <cell r="BL59">
            <v>-1.8537665619502208E-2</v>
          </cell>
          <cell r="BM59">
            <v>-2.9034500503311023E-2</v>
          </cell>
          <cell r="BN59">
            <v>3.2676096687555889E-2</v>
          </cell>
          <cell r="BO59">
            <v>3.712863165453717E-3</v>
          </cell>
          <cell r="BP59">
            <v>1.8680451751555971E-3</v>
          </cell>
        </row>
        <row r="60">
          <cell r="A60" t="str">
            <v>TRx Market Share</v>
          </cell>
          <cell r="H60">
            <v>4.1332543902009015E-2</v>
          </cell>
          <cell r="L60">
            <v>4.239765239095495E-2</v>
          </cell>
          <cell r="P60">
            <v>4.3226911567046937E-2</v>
          </cell>
          <cell r="T60">
            <v>4.3619915746426846E-2</v>
          </cell>
          <cell r="X60">
            <v>4.4004567465394238E-2</v>
          </cell>
          <cell r="AB60">
            <v>4.4220623776553843E-2</v>
          </cell>
          <cell r="AC60">
            <v>4.4644404211976886E-2</v>
          </cell>
          <cell r="AD60">
            <v>4.4966055055537787E-2</v>
          </cell>
          <cell r="AE60">
            <v>4.5322595900938026E-2</v>
          </cell>
          <cell r="AF60">
            <v>4.497033811705984E-2</v>
          </cell>
          <cell r="AG60">
            <v>4.5879434296912443E-2</v>
          </cell>
          <cell r="AH60">
            <v>4.6008797064629174E-2</v>
          </cell>
          <cell r="AI60">
            <v>4.6181132577568333E-2</v>
          </cell>
          <cell r="AJ60">
            <v>4.6019380466344031E-2</v>
          </cell>
          <cell r="AK60">
            <v>4.5431841016741262E-2</v>
          </cell>
          <cell r="AL60">
            <v>4.54990421686879E-2</v>
          </cell>
          <cell r="AM60">
            <v>4.562700415888566E-2</v>
          </cell>
          <cell r="AN60">
            <v>4.5520040398240154E-2</v>
          </cell>
          <cell r="AO60">
            <v>4.5739726787338557E-2</v>
          </cell>
          <cell r="AP60">
            <v>4.5802808520406496E-2</v>
          </cell>
          <cell r="AQ60">
            <v>4.5578706909863022E-2</v>
          </cell>
          <cell r="AR60">
            <v>4.5704626662545884E-2</v>
          </cell>
          <cell r="AS60">
            <v>4.1612625888435846E-2</v>
          </cell>
          <cell r="AT60">
            <v>3.027776851955008E-2</v>
          </cell>
          <cell r="AU60">
            <v>2.4817126352681348E-2</v>
          </cell>
          <cell r="AV60">
            <v>3.2225736665799976E-2</v>
          </cell>
          <cell r="AW60">
            <v>2.2608304377855083E-2</v>
          </cell>
          <cell r="AX60">
            <v>1.99312012096034E-2</v>
          </cell>
          <cell r="AY60">
            <v>1.8393090214385583E-2</v>
          </cell>
          <cell r="AZ60">
            <v>2.0310865267281354E-2</v>
          </cell>
          <cell r="BA60">
            <v>1.7336168503677418E-2</v>
          </cell>
          <cell r="BB60">
            <v>1.6260920286610584E-2</v>
          </cell>
          <cell r="BC60">
            <v>1.5344117072862757E-2</v>
          </cell>
          <cell r="BD60">
            <v>1.6305185654236918E-2</v>
          </cell>
          <cell r="BE60">
            <v>1.4096134566814272E-2</v>
          </cell>
          <cell r="BF60">
            <v>1.3218696614109278E-2</v>
          </cell>
          <cell r="BG60">
            <v>1.2383193037734727E-2</v>
          </cell>
          <cell r="BH60">
            <v>1.3224604228121372E-2</v>
          </cell>
          <cell r="BI60">
            <v>1.1669834589110847E-2</v>
          </cell>
          <cell r="BJ60">
            <v>1.1244731033355703E-2</v>
          </cell>
          <cell r="BK60">
            <v>1.0690920888555144E-2</v>
          </cell>
          <cell r="BL60">
            <v>1.1198198891597538E-2</v>
          </cell>
          <cell r="BM60">
            <v>1.0223394896951878E-2</v>
          </cell>
          <cell r="BN60">
            <v>9.729134868865813E-3</v>
          </cell>
          <cell r="BO60">
            <v>9.2821923338271203E-3</v>
          </cell>
          <cell r="BP60">
            <v>9.7481198393096907E-3</v>
          </cell>
        </row>
        <row r="61">
          <cell r="A61" t="str">
            <v>NRx Market Share</v>
          </cell>
          <cell r="AC61">
            <v>4.4351889603261724E-2</v>
          </cell>
          <cell r="AD61">
            <v>4.4496671987560972E-2</v>
          </cell>
          <cell r="AE61">
            <v>4.4902367520077237E-2</v>
          </cell>
          <cell r="AF61">
            <v>4.4572891443877778E-2</v>
          </cell>
          <cell r="AG61">
            <v>4.5160962034822616E-2</v>
          </cell>
          <cell r="AH61">
            <v>4.5226987068873695E-2</v>
          </cell>
          <cell r="AI61">
            <v>4.5168174597033435E-2</v>
          </cell>
          <cell r="AJ61">
            <v>4.5185396503955547E-2</v>
          </cell>
          <cell r="AK61">
            <v>4.3272287424046811E-2</v>
          </cell>
          <cell r="AL61">
            <v>4.3735789597621914E-2</v>
          </cell>
          <cell r="AM61">
            <v>4.4185228069038698E-2</v>
          </cell>
          <cell r="AN61">
            <v>4.3730647125795261E-2</v>
          </cell>
          <cell r="AO61">
            <v>4.3684973029384504E-2</v>
          </cell>
          <cell r="AP61">
            <v>4.4051106217165077E-2</v>
          </cell>
          <cell r="AQ61">
            <v>4.3860041523365444E-2</v>
          </cell>
          <cell r="AR61">
            <v>4.385965041596894E-2</v>
          </cell>
          <cell r="AS61">
            <v>3.9791548711368356E-2</v>
          </cell>
          <cell r="AT61">
            <v>2.6194663361782458E-2</v>
          </cell>
          <cell r="AU61">
            <v>2.1241023329077523E-2</v>
          </cell>
          <cell r="AV61">
            <v>2.9033949462670915E-2</v>
          </cell>
          <cell r="AW61">
            <v>1.8374237698221031E-2</v>
          </cell>
          <cell r="AX61">
            <v>1.6488928678006564E-2</v>
          </cell>
          <cell r="AY61">
            <v>1.5414405402846356E-2</v>
          </cell>
          <cell r="AZ61">
            <v>1.6781365613038075E-2</v>
          </cell>
          <cell r="BA61">
            <v>1.4289435856196742E-2</v>
          </cell>
          <cell r="BB61">
            <v>1.3228816441755333E-2</v>
          </cell>
          <cell r="BC61">
            <v>1.2344902099643781E-2</v>
          </cell>
          <cell r="BD61">
            <v>1.3289361159914628E-2</v>
          </cell>
          <cell r="BE61">
            <v>1.1396761929935374E-2</v>
          </cell>
          <cell r="BF61">
            <v>1.0589543958391148E-2</v>
          </cell>
          <cell r="BG61">
            <v>9.9971566050541354E-3</v>
          </cell>
          <cell r="BH61">
            <v>1.0652435088937031E-2</v>
          </cell>
          <cell r="BI61">
            <v>9.4651839483416624E-3</v>
          </cell>
          <cell r="BJ61">
            <v>9.1864708680288142E-3</v>
          </cell>
          <cell r="BK61">
            <v>8.7095573450222449E-3</v>
          </cell>
          <cell r="BL61">
            <v>9.1193785339620075E-3</v>
          </cell>
          <cell r="BM61">
            <v>8.4941532090288784E-3</v>
          </cell>
          <cell r="BN61">
            <v>8.0182688177561513E-3</v>
          </cell>
          <cell r="BO61">
            <v>7.5640435900369632E-3</v>
          </cell>
          <cell r="BP61">
            <v>8.0261683140631455E-3</v>
          </cell>
        </row>
        <row r="62">
          <cell r="A62" t="str">
            <v>Price Change (YoY)</v>
          </cell>
          <cell r="H62">
            <v>0</v>
          </cell>
          <cell r="I62">
            <v>0.08</v>
          </cell>
          <cell r="L62">
            <v>0.08</v>
          </cell>
          <cell r="P62">
            <v>0.08</v>
          </cell>
          <cell r="T62">
            <v>0.08</v>
          </cell>
          <cell r="X62">
            <v>0.08</v>
          </cell>
          <cell r="AA62">
            <v>0.04</v>
          </cell>
          <cell r="AB62">
            <v>0.04</v>
          </cell>
          <cell r="AF62">
            <v>0.04</v>
          </cell>
          <cell r="AJ62">
            <v>0.04</v>
          </cell>
          <cell r="AN62">
            <v>0.04</v>
          </cell>
          <cell r="AR62">
            <v>0</v>
          </cell>
          <cell r="AV62">
            <v>0</v>
          </cell>
          <cell r="AZ62">
            <v>0</v>
          </cell>
          <cell r="BD62">
            <v>0</v>
          </cell>
          <cell r="BH62">
            <v>0</v>
          </cell>
          <cell r="BL62">
            <v>0</v>
          </cell>
          <cell r="BP62">
            <v>0</v>
          </cell>
        </row>
        <row r="64">
          <cell r="A64" t="str">
            <v>DILTIAZEM HCL</v>
          </cell>
        </row>
        <row r="65">
          <cell r="A65" t="str">
            <v>TRx</v>
          </cell>
          <cell r="AS65">
            <v>5601</v>
          </cell>
          <cell r="AT65">
            <v>39738</v>
          </cell>
          <cell r="AU65">
            <v>65097</v>
          </cell>
          <cell r="AV65">
            <v>110436</v>
          </cell>
          <cell r="AW65">
            <v>78713</v>
          </cell>
          <cell r="AX65">
            <v>84471</v>
          </cell>
          <cell r="AY65">
            <v>89244</v>
          </cell>
          <cell r="AZ65">
            <v>252428</v>
          </cell>
          <cell r="BA65">
            <v>96013</v>
          </cell>
          <cell r="BB65">
            <v>92195</v>
          </cell>
          <cell r="BC65">
            <v>106699</v>
          </cell>
          <cell r="BD65">
            <v>294907</v>
          </cell>
          <cell r="BE65">
            <v>104044</v>
          </cell>
          <cell r="BF65">
            <v>99477</v>
          </cell>
          <cell r="BG65">
            <v>111022</v>
          </cell>
          <cell r="BH65">
            <v>314543</v>
          </cell>
          <cell r="BI65">
            <v>105100</v>
          </cell>
          <cell r="BJ65">
            <v>102177</v>
          </cell>
          <cell r="BK65">
            <v>104702</v>
          </cell>
          <cell r="BL65">
            <v>311979</v>
          </cell>
          <cell r="BM65">
            <v>104669</v>
          </cell>
          <cell r="BN65">
            <v>106018</v>
          </cell>
          <cell r="BO65">
            <v>103159</v>
          </cell>
          <cell r="BP65">
            <v>313846</v>
          </cell>
        </row>
        <row r="66">
          <cell r="A66" t="str">
            <v xml:space="preserve">  % Change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1.5712667975237808</v>
          </cell>
          <cell r="BK66">
            <v>0.60839977264697298</v>
          </cell>
          <cell r="BL66">
            <v>1.8249755514506139</v>
          </cell>
          <cell r="BM66">
            <v>0.32975493247621102</v>
          </cell>
          <cell r="BN66">
            <v>0.25508162564667169</v>
          </cell>
          <cell r="BO66">
            <v>0.15592084621935376</v>
          </cell>
          <cell r="BP66">
            <v>0.2433089831555928</v>
          </cell>
        </row>
        <row r="67">
          <cell r="A67" t="str">
            <v>NRx</v>
          </cell>
          <cell r="AS67">
            <v>3323</v>
          </cell>
          <cell r="AT67">
            <v>18809</v>
          </cell>
          <cell r="AU67">
            <v>23957</v>
          </cell>
          <cell r="AV67">
            <v>46089</v>
          </cell>
          <cell r="AW67">
            <v>26207</v>
          </cell>
          <cell r="AX67">
            <v>25754</v>
          </cell>
          <cell r="AY67">
            <v>26407</v>
          </cell>
          <cell r="AZ67">
            <v>78368</v>
          </cell>
          <cell r="BA67">
            <v>28779</v>
          </cell>
          <cell r="BB67">
            <v>25859</v>
          </cell>
          <cell r="BC67">
            <v>30719</v>
          </cell>
          <cell r="BD67">
            <v>85357</v>
          </cell>
          <cell r="BE67">
            <v>30179</v>
          </cell>
          <cell r="BF67">
            <v>28463</v>
          </cell>
          <cell r="BG67">
            <v>31486</v>
          </cell>
          <cell r="BH67">
            <v>90128</v>
          </cell>
          <cell r="BI67">
            <v>29529</v>
          </cell>
          <cell r="BJ67">
            <v>26773</v>
          </cell>
          <cell r="BK67">
            <v>28263</v>
          </cell>
          <cell r="BL67">
            <v>84565</v>
          </cell>
          <cell r="BM67">
            <v>27258</v>
          </cell>
          <cell r="BN67">
            <v>28011</v>
          </cell>
          <cell r="BO67">
            <v>27301</v>
          </cell>
          <cell r="BP67">
            <v>82570</v>
          </cell>
        </row>
        <row r="68">
          <cell r="A68" t="str">
            <v xml:space="preserve">  % Change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0.42341432293051207</v>
          </cell>
          <cell r="BK68">
            <v>0.17973869850148172</v>
          </cell>
          <cell r="BL68">
            <v>0.83481958818807089</v>
          </cell>
          <cell r="BM68">
            <v>4.0103789063990591E-2</v>
          </cell>
          <cell r="BN68">
            <v>8.7636871942222472E-2</v>
          </cell>
          <cell r="BO68">
            <v>3.3854659749308791E-2</v>
          </cell>
          <cell r="BP68">
            <v>5.3618824009799892E-2</v>
          </cell>
        </row>
        <row r="69">
          <cell r="A69" t="str">
            <v>Sales (IMS)</v>
          </cell>
          <cell r="AS69">
            <v>2.2370329999999998</v>
          </cell>
          <cell r="AT69">
            <v>4.8499179999999997</v>
          </cell>
          <cell r="AU69">
            <v>4.0079640000000003</v>
          </cell>
          <cell r="AV69">
            <v>11.094915</v>
          </cell>
          <cell r="AW69">
            <v>3.3711880000000001</v>
          </cell>
          <cell r="AX69">
            <v>3.3340480000000001</v>
          </cell>
          <cell r="AY69">
            <v>4.1975090000000002</v>
          </cell>
          <cell r="AZ69">
            <v>10.902744999999999</v>
          </cell>
          <cell r="BA69">
            <v>3.3142200000000002</v>
          </cell>
          <cell r="BB69">
            <v>3.97479</v>
          </cell>
          <cell r="BC69">
            <v>4.6223109999999998</v>
          </cell>
          <cell r="BD69">
            <v>11.911321000000001</v>
          </cell>
          <cell r="BE69">
            <v>4.0183609999999996</v>
          </cell>
          <cell r="BF69">
            <v>4.3631320000000002</v>
          </cell>
          <cell r="BG69">
            <v>6.5506729999999997</v>
          </cell>
          <cell r="BH69">
            <v>14.932165999999999</v>
          </cell>
          <cell r="BI69">
            <v>5.0580790000000002</v>
          </cell>
          <cell r="BJ69">
            <v>4.8142189999999996</v>
          </cell>
          <cell r="BK69">
            <v>6.3212489999999999</v>
          </cell>
          <cell r="BL69">
            <v>16.193546999999999</v>
          </cell>
          <cell r="BM69">
            <v>4.9090870000000004</v>
          </cell>
          <cell r="BN69">
            <v>5.1080550000000002</v>
          </cell>
        </row>
        <row r="70">
          <cell r="A70" t="str">
            <v xml:space="preserve">  % Change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1.2610658850361172</v>
          </cell>
          <cell r="BJ70">
            <v>-7.3607430063766799E-3</v>
          </cell>
          <cell r="BK70">
            <v>0.57717210034820665</v>
          </cell>
          <cell r="BL70">
            <v>0.45954673830308734</v>
          </cell>
          <cell r="BM70">
            <v>0.45618903484468976</v>
          </cell>
          <cell r="BN70">
            <v>0.53208802032844149</v>
          </cell>
        </row>
        <row r="72">
          <cell r="A72" t="str">
            <v xml:space="preserve">TRx + Tiazac Price Change </v>
          </cell>
          <cell r="AN72">
            <v>4.017700946855559E-2</v>
          </cell>
          <cell r="AO72">
            <v>-5.1508545865371902E-3</v>
          </cell>
          <cell r="AP72">
            <v>-5.2637340297433388E-3</v>
          </cell>
          <cell r="AQ72">
            <v>-4.9249965276170204E-3</v>
          </cell>
          <cell r="AR72">
            <v>-5.1095830993285185E-3</v>
          </cell>
          <cell r="AS72">
            <v>-0.13125352120691325</v>
          </cell>
          <cell r="AT72">
            <v>-0.35629331639494677</v>
          </cell>
          <cell r="AU72">
            <v>-0.45713986724869937</v>
          </cell>
          <cell r="AV72">
            <v>-0.31268393186601251</v>
          </cell>
          <cell r="AZ72">
            <v>-0.57487287860813041</v>
          </cell>
          <cell r="BD72">
            <v>-0.64997301808658581</v>
          </cell>
          <cell r="BH72">
            <v>-0.71078236558374408</v>
          </cell>
          <cell r="BL72">
            <v>-0.65646471654618299</v>
          </cell>
          <cell r="BP72">
            <v>-0.51774153749523322</v>
          </cell>
        </row>
        <row r="74">
          <cell r="A74" t="str">
            <v xml:space="preserve">TOTAL TIAZAC REPORTED SALES </v>
          </cell>
          <cell r="H74">
            <v>46</v>
          </cell>
          <cell r="L74">
            <v>40</v>
          </cell>
          <cell r="P74">
            <v>48</v>
          </cell>
          <cell r="T74">
            <v>48</v>
          </cell>
          <cell r="X74">
            <v>48</v>
          </cell>
          <cell r="AB74">
            <v>47</v>
          </cell>
          <cell r="AF74">
            <v>43.7</v>
          </cell>
          <cell r="AJ74">
            <v>49</v>
          </cell>
          <cell r="AN74">
            <v>54</v>
          </cell>
          <cell r="AR74">
            <v>55</v>
          </cell>
          <cell r="AV74">
            <v>54</v>
          </cell>
          <cell r="AZ74">
            <v>26</v>
          </cell>
          <cell r="BD74">
            <v>25</v>
          </cell>
          <cell r="BH74">
            <v>21.3</v>
          </cell>
          <cell r="BL74">
            <v>27</v>
          </cell>
          <cell r="BP74">
            <v>22</v>
          </cell>
        </row>
        <row r="75">
          <cell r="A75" t="str">
            <v xml:space="preserve">  % Change</v>
          </cell>
          <cell r="X75">
            <v>4.3478260869565188E-2</v>
          </cell>
          <cell r="AB75">
            <v>0.17499999999999999</v>
          </cell>
          <cell r="AF75">
            <v>-8.9583333333333237E-2</v>
          </cell>
          <cell r="AJ75">
            <v>2.0833333333333259E-2</v>
          </cell>
          <cell r="AN75">
            <v>0.125</v>
          </cell>
          <cell r="AR75">
            <v>0.17021276595744683</v>
          </cell>
          <cell r="AV75">
            <v>0.23569794050343251</v>
          </cell>
          <cell r="AZ75">
            <v>-0.46938775510204078</v>
          </cell>
          <cell r="BD75">
            <v>-0.53703703703703698</v>
          </cell>
          <cell r="BH75">
            <v>-0.61272727272727279</v>
          </cell>
          <cell r="BL75">
            <v>-0.5</v>
          </cell>
          <cell r="BP75">
            <v>-0.15384615384615385</v>
          </cell>
        </row>
        <row r="77">
          <cell r="A77" t="str">
            <v>TOTAL TIAZAC SALES (IMS)</v>
          </cell>
          <cell r="C77">
            <v>19.225171</v>
          </cell>
          <cell r="D77">
            <v>23.810690999999998</v>
          </cell>
          <cell r="E77">
            <v>19.812097999999999</v>
          </cell>
          <cell r="F77">
            <v>19.515872999999999</v>
          </cell>
          <cell r="G77">
            <v>26.679853999999999</v>
          </cell>
          <cell r="H77">
            <v>66.007824999999997</v>
          </cell>
          <cell r="I77">
            <v>21.192304</v>
          </cell>
          <cell r="J77">
            <v>21.738419</v>
          </cell>
          <cell r="K77">
            <v>26.477964</v>
          </cell>
          <cell r="L77">
            <v>69.408687</v>
          </cell>
          <cell r="M77">
            <v>20.309222999999999</v>
          </cell>
          <cell r="N77">
            <v>21.359074</v>
          </cell>
          <cell r="O77">
            <v>26.002262999999999</v>
          </cell>
          <cell r="P77">
            <v>67.670559999999995</v>
          </cell>
          <cell r="Q77">
            <v>20.633126000000001</v>
          </cell>
          <cell r="R77">
            <v>20.874727</v>
          </cell>
          <cell r="S77">
            <v>25.421323999999998</v>
          </cell>
          <cell r="T77">
            <v>66.929176999999996</v>
          </cell>
          <cell r="U77">
            <v>20.732817000000001</v>
          </cell>
          <cell r="V77">
            <v>25.471630999999999</v>
          </cell>
          <cell r="W77">
            <v>25.870626000000001</v>
          </cell>
          <cell r="X77">
            <v>72.075074000000001</v>
          </cell>
          <cell r="Y77">
            <v>20.704481000000001</v>
          </cell>
          <cell r="Z77">
            <v>20.320611</v>
          </cell>
          <cell r="AA77">
            <v>26.069292000000001</v>
          </cell>
          <cell r="AB77">
            <v>67.094384000000005</v>
          </cell>
          <cell r="AC77">
            <v>20.486595999999999</v>
          </cell>
          <cell r="AD77">
            <v>20.750754000000001</v>
          </cell>
          <cell r="AE77">
            <v>26.033259999999999</v>
          </cell>
          <cell r="AF77">
            <v>67.270610000000005</v>
          </cell>
          <cell r="AG77">
            <v>21.418267</v>
          </cell>
          <cell r="AH77">
            <v>20.9846</v>
          </cell>
          <cell r="AI77">
            <v>25.952977000000001</v>
          </cell>
          <cell r="AJ77">
            <v>68.355844000000005</v>
          </cell>
          <cell r="AK77">
            <v>20.771698000000001</v>
          </cell>
          <cell r="AL77">
            <v>20.847676</v>
          </cell>
          <cell r="AM77">
            <v>26.401039999999998</v>
          </cell>
          <cell r="AN77">
            <v>68.020414000000002</v>
          </cell>
          <cell r="AO77">
            <v>21.56054</v>
          </cell>
          <cell r="AP77">
            <v>21.117405999999999</v>
          </cell>
          <cell r="AQ77">
            <v>27.148451000000001</v>
          </cell>
          <cell r="AR77">
            <v>69.826397</v>
          </cell>
          <cell r="AS77">
            <v>19.265920000000001</v>
          </cell>
          <cell r="AT77">
            <v>13.870746</v>
          </cell>
          <cell r="AU77">
            <v>15.762884</v>
          </cell>
          <cell r="AV77">
            <v>48.899550000000005</v>
          </cell>
          <cell r="AW77">
            <v>10.827415</v>
          </cell>
          <cell r="AX77">
            <v>10.94276</v>
          </cell>
          <cell r="AY77">
            <v>12.056402</v>
          </cell>
          <cell r="AZ77">
            <v>33.826577</v>
          </cell>
          <cell r="BA77">
            <v>9.1291080000000004</v>
          </cell>
          <cell r="BB77">
            <v>9.0424100000000003</v>
          </cell>
          <cell r="BC77">
            <v>10.877946</v>
          </cell>
          <cell r="BD77">
            <v>29.049464</v>
          </cell>
          <cell r="BE77">
            <v>8.5164919999999995</v>
          </cell>
          <cell r="BF77">
            <v>7.5635310000000002</v>
          </cell>
          <cell r="BG77">
            <v>9.7649030000000003</v>
          </cell>
          <cell r="BH77">
            <v>25.844926000000001</v>
          </cell>
          <cell r="BI77">
            <v>6.48977</v>
          </cell>
          <cell r="BJ77">
            <v>6.0305479999999996</v>
          </cell>
          <cell r="BK77">
            <v>6.8904079999999999</v>
          </cell>
          <cell r="BL77">
            <v>19.410726</v>
          </cell>
          <cell r="BM77">
            <v>5.1572300000000002</v>
          </cell>
          <cell r="BN77">
            <v>5.0199239999999996</v>
          </cell>
        </row>
        <row r="78">
          <cell r="A78" t="str">
            <v xml:space="preserve">  % Change</v>
          </cell>
          <cell r="S78">
            <v>6.7643269991618515E-2</v>
          </cell>
          <cell r="U78">
            <v>4.6472564389697713E-2</v>
          </cell>
          <cell r="V78">
            <v>0.30517507466870675</v>
          </cell>
          <cell r="W78">
            <v>-3.0331050537232951E-2</v>
          </cell>
          <cell r="X78">
            <v>9.1917117402368742E-2</v>
          </cell>
          <cell r="Y78">
            <v>-2.3018875153923757E-2</v>
          </cell>
          <cell r="Z78">
            <v>-6.5221302432343475E-2</v>
          </cell>
          <cell r="AA78">
            <v>-1.5434419353391293E-2</v>
          </cell>
          <cell r="AB78">
            <v>-3.3343131818643901E-2</v>
          </cell>
          <cell r="AC78">
            <v>8.7336182186783518E-3</v>
          </cell>
          <cell r="AD78">
            <v>-2.8480635443278057E-2</v>
          </cell>
          <cell r="AE78">
            <v>1.1920885501388589E-3</v>
          </cell>
          <cell r="AF78">
            <v>-5.9102510752089277E-3</v>
          </cell>
          <cell r="AG78">
            <v>3.80524502200974E-2</v>
          </cell>
          <cell r="AH78">
            <v>5.2634460800373706E-3</v>
          </cell>
          <cell r="AI78">
            <v>2.0913662876095751E-2</v>
          </cell>
          <cell r="AJ78">
            <v>2.1316069671677207E-2</v>
          </cell>
          <cell r="AK78">
            <v>1.8753360915693129E-3</v>
          </cell>
          <cell r="AL78">
            <v>-0.18153352645537302</v>
          </cell>
          <cell r="AM78">
            <v>2.0502557611091321E-2</v>
          </cell>
          <cell r="AN78">
            <v>-5.6256064336472233E-2</v>
          </cell>
          <cell r="AO78">
            <v>4.134655681540611E-2</v>
          </cell>
          <cell r="AP78">
            <v>3.9211173325447657E-2</v>
          </cell>
          <cell r="AQ78">
            <v>4.1395792413541521E-2</v>
          </cell>
          <cell r="AR78">
            <v>4.0718951976666196E-2</v>
          </cell>
          <cell r="AS78">
            <v>-5.958413003312002E-2</v>
          </cell>
          <cell r="AT78">
            <v>-0.3315546027869638</v>
          </cell>
          <cell r="AU78">
            <v>-0.39450979247316698</v>
          </cell>
          <cell r="AV78">
            <v>-0.27309191933892074</v>
          </cell>
          <cell r="AW78">
            <v>-0.49447754106342967</v>
          </cell>
          <cell r="AX78">
            <v>-0.47853378191626239</v>
          </cell>
          <cell r="AY78">
            <v>-0.53545206008543844</v>
          </cell>
          <cell r="AZ78">
            <v>-0.50513994092443659</v>
          </cell>
          <cell r="BA78">
            <v>-0.56050256459534509</v>
          </cell>
          <cell r="BB78">
            <v>-0.56626292542151946</v>
          </cell>
          <cell r="BC78">
            <v>-0.58797282228275849</v>
          </cell>
          <cell r="BD78">
            <v>-0.57293020886347445</v>
          </cell>
          <cell r="BE78">
            <v>-0.60499634981313077</v>
          </cell>
          <cell r="BF78">
            <v>-0.64183427642580715</v>
          </cell>
          <cell r="BG78">
            <v>-0.64031454317596248</v>
          </cell>
          <cell r="BH78">
            <v>-0.62986883026486384</v>
          </cell>
          <cell r="BI78">
            <v>-0.66314767215892112</v>
          </cell>
          <cell r="BJ78">
            <v>-0.56523261257902069</v>
          </cell>
          <cell r="BK78">
            <v>-0.56287136288004147</v>
          </cell>
          <cell r="BL78">
            <v>-0.60304898511336003</v>
          </cell>
          <cell r="BM78">
            <v>-0.52368778697408391</v>
          </cell>
          <cell r="BN78">
            <v>-0.54125613647745174</v>
          </cell>
        </row>
        <row r="80">
          <cell r="A80" t="str">
            <v>REPORTED SALES/TRx TIAZAC</v>
          </cell>
          <cell r="H80">
            <v>46.551260021170705</v>
          </cell>
          <cell r="L80">
            <v>39.69774139700322</v>
          </cell>
          <cell r="P80">
            <v>47.295160227135007</v>
          </cell>
          <cell r="T80">
            <v>47.513415115799098</v>
          </cell>
          <cell r="X80">
            <v>46.428713063782411</v>
          </cell>
          <cell r="AB80">
            <v>46.227219570440937</v>
          </cell>
          <cell r="AF80">
            <v>42.014100201225425</v>
          </cell>
          <cell r="AJ80">
            <v>46.728793710495097</v>
          </cell>
          <cell r="AN80">
            <v>52.223058220973165</v>
          </cell>
          <cell r="AR80">
            <v>54.373508435802684</v>
          </cell>
          <cell r="AV80">
            <v>75.535462500839287</v>
          </cell>
          <cell r="AZ80">
            <v>58.323425828304806</v>
          </cell>
          <cell r="BD80">
            <v>69.072794436600844</v>
          </cell>
          <cell r="BH80">
            <v>72.808066997094514</v>
          </cell>
          <cell r="BL80">
            <v>109.93843447669305</v>
          </cell>
          <cell r="BP80">
            <v>102.33224489036495</v>
          </cell>
        </row>
        <row r="81">
          <cell r="A81" t="str">
            <v>IMS SALES/REPORTED SALES</v>
          </cell>
          <cell r="H81">
            <v>1.4349527173913044</v>
          </cell>
          <cell r="L81">
            <v>1.7352171750000001</v>
          </cell>
          <cell r="P81">
            <v>1.4098033333333333</v>
          </cell>
          <cell r="T81">
            <v>1.3943578541666666</v>
          </cell>
          <cell r="X81">
            <v>1.5015640416666667</v>
          </cell>
          <cell r="AB81">
            <v>1.4275400851063831</v>
          </cell>
          <cell r="AF81">
            <v>1.5393732265446225</v>
          </cell>
          <cell r="AJ81">
            <v>1.395017224489796</v>
          </cell>
          <cell r="AN81">
            <v>1.2596372962962963</v>
          </cell>
          <cell r="AR81">
            <v>1.2695708545454545</v>
          </cell>
          <cell r="AV81">
            <v>0.90554722222222228</v>
          </cell>
          <cell r="AZ81">
            <v>1.3010221923076923</v>
          </cell>
          <cell r="BD81">
            <v>1.1619785600000001</v>
          </cell>
          <cell r="BH81">
            <v>1.213376807511737</v>
          </cell>
          <cell r="BL81">
            <v>0.71891577777777782</v>
          </cell>
        </row>
        <row r="82">
          <cell r="A82" t="str">
            <v>Product</v>
          </cell>
          <cell r="C82">
            <v>36739</v>
          </cell>
          <cell r="D82">
            <v>36770</v>
          </cell>
          <cell r="E82">
            <v>36800</v>
          </cell>
          <cell r="F82">
            <v>36831</v>
          </cell>
          <cell r="G82">
            <v>36861</v>
          </cell>
          <cell r="H82" t="str">
            <v>Q3:00</v>
          </cell>
          <cell r="I82">
            <v>36892</v>
          </cell>
          <cell r="J82">
            <v>36923</v>
          </cell>
          <cell r="K82">
            <v>36951</v>
          </cell>
          <cell r="L82" t="str">
            <v>Q4:00</v>
          </cell>
          <cell r="M82">
            <v>36982</v>
          </cell>
          <cell r="N82">
            <v>37012</v>
          </cell>
          <cell r="O82">
            <v>37043</v>
          </cell>
          <cell r="P82" t="str">
            <v>Q1:01</v>
          </cell>
          <cell r="Q82">
            <v>37073</v>
          </cell>
          <cell r="R82">
            <v>37104</v>
          </cell>
          <cell r="S82">
            <v>37135</v>
          </cell>
          <cell r="T82" t="str">
            <v>Q2:01</v>
          </cell>
          <cell r="U82">
            <v>37165</v>
          </cell>
          <cell r="V82">
            <v>37196</v>
          </cell>
          <cell r="W82">
            <v>37226</v>
          </cell>
          <cell r="X82" t="str">
            <v>Q3:01</v>
          </cell>
          <cell r="Y82">
            <v>37257</v>
          </cell>
          <cell r="Z82">
            <v>37288</v>
          </cell>
          <cell r="AA82">
            <v>37316</v>
          </cell>
          <cell r="AB82" t="str">
            <v>Q4:01</v>
          </cell>
          <cell r="AC82">
            <v>37347</v>
          </cell>
          <cell r="AD82">
            <v>37377</v>
          </cell>
          <cell r="AE82">
            <v>37408</v>
          </cell>
          <cell r="AF82" t="str">
            <v>Q1:02</v>
          </cell>
          <cell r="AG82">
            <v>37438</v>
          </cell>
          <cell r="AH82">
            <v>37469</v>
          </cell>
          <cell r="AI82">
            <v>37500</v>
          </cell>
          <cell r="AJ82" t="str">
            <v>Q2:02</v>
          </cell>
          <cell r="AK82">
            <v>37530</v>
          </cell>
          <cell r="AL82">
            <v>37561</v>
          </cell>
          <cell r="AM82">
            <v>37591</v>
          </cell>
          <cell r="AN82" t="str">
            <v>Q3:02</v>
          </cell>
          <cell r="AO82">
            <v>37622</v>
          </cell>
          <cell r="AP82">
            <v>37653</v>
          </cell>
          <cell r="AQ82">
            <v>37681</v>
          </cell>
          <cell r="AR82" t="str">
            <v>Q4:02</v>
          </cell>
          <cell r="AS82">
            <v>37712</v>
          </cell>
          <cell r="AT82">
            <v>37742</v>
          </cell>
          <cell r="AU82">
            <v>37773</v>
          </cell>
          <cell r="AV82" t="str">
            <v>Q1:F04</v>
          </cell>
          <cell r="AW82">
            <v>37803</v>
          </cell>
          <cell r="AX82">
            <v>37834</v>
          </cell>
          <cell r="AY82">
            <v>37865</v>
          </cell>
          <cell r="AZ82" t="str">
            <v>Q2:F04</v>
          </cell>
          <cell r="BA82">
            <v>37895</v>
          </cell>
          <cell r="BB82">
            <v>37926</v>
          </cell>
          <cell r="BC82">
            <v>37956</v>
          </cell>
          <cell r="BD82" t="str">
            <v>Q3:F04</v>
          </cell>
          <cell r="BE82">
            <v>37987</v>
          </cell>
          <cell r="BF82">
            <v>38018</v>
          </cell>
          <cell r="BG82">
            <v>38047</v>
          </cell>
          <cell r="BH82" t="str">
            <v>Q4:F04</v>
          </cell>
          <cell r="BI82">
            <v>38078</v>
          </cell>
          <cell r="BJ82">
            <v>38108</v>
          </cell>
          <cell r="BK82">
            <v>38139</v>
          </cell>
          <cell r="BL82" t="str">
            <v>Q1:F05</v>
          </cell>
          <cell r="BM82">
            <v>38169</v>
          </cell>
          <cell r="BN82">
            <v>38200</v>
          </cell>
          <cell r="BO82">
            <v>38231</v>
          </cell>
          <cell r="BP82" t="str">
            <v>Q2:F05E</v>
          </cell>
        </row>
        <row r="83">
          <cell r="A83" t="str">
            <v>NAMENDA</v>
          </cell>
        </row>
        <row r="84">
          <cell r="A84" t="str">
            <v>TRx</v>
          </cell>
          <cell r="BB84">
            <v>5</v>
          </cell>
          <cell r="BC84">
            <v>1026</v>
          </cell>
          <cell r="BD84">
            <v>1031</v>
          </cell>
          <cell r="BE84">
            <v>38323</v>
          </cell>
          <cell r="BF84">
            <v>76942</v>
          </cell>
          <cell r="BG84">
            <v>123224</v>
          </cell>
          <cell r="BH84">
            <v>238489</v>
          </cell>
          <cell r="BI84">
            <v>154359</v>
          </cell>
          <cell r="BJ84">
            <v>182255</v>
          </cell>
          <cell r="BK84">
            <v>209318</v>
          </cell>
          <cell r="BL84">
            <v>545932</v>
          </cell>
          <cell r="BM84">
            <v>229282</v>
          </cell>
          <cell r="BN84">
            <v>246909</v>
          </cell>
          <cell r="BO84">
            <v>255081</v>
          </cell>
          <cell r="BP84">
            <v>731272</v>
          </cell>
        </row>
        <row r="85">
          <cell r="A85" t="str">
            <v xml:space="preserve">  % Change</v>
          </cell>
        </row>
        <row r="86">
          <cell r="A86" t="str">
            <v>NRx</v>
          </cell>
          <cell r="BB86">
            <v>5</v>
          </cell>
          <cell r="BC86">
            <v>1008</v>
          </cell>
          <cell r="BD86">
            <v>1013</v>
          </cell>
          <cell r="BE86">
            <v>36675</v>
          </cell>
          <cell r="BF86">
            <v>64275</v>
          </cell>
          <cell r="BG86">
            <v>86111</v>
          </cell>
          <cell r="BH86">
            <v>187061</v>
          </cell>
          <cell r="BI86">
            <v>94158</v>
          </cell>
          <cell r="BJ86">
            <v>86360</v>
          </cell>
          <cell r="BK86">
            <v>95775</v>
          </cell>
          <cell r="BL86">
            <v>276293</v>
          </cell>
          <cell r="BM86">
            <v>94257</v>
          </cell>
          <cell r="BN86">
            <v>94172</v>
          </cell>
          <cell r="BO86">
            <v>94198</v>
          </cell>
          <cell r="BP86">
            <v>282627</v>
          </cell>
        </row>
        <row r="87">
          <cell r="A87" t="str">
            <v xml:space="preserve">  % Change</v>
          </cell>
        </row>
        <row r="88">
          <cell r="A88" t="str">
            <v>Total Market-20400</v>
          </cell>
          <cell r="Q88">
            <v>529466</v>
          </cell>
          <cell r="R88">
            <v>543954</v>
          </cell>
          <cell r="S88">
            <v>517275</v>
          </cell>
          <cell r="T88">
            <v>1590695</v>
          </cell>
          <cell r="U88">
            <v>576110</v>
          </cell>
          <cell r="V88">
            <v>561767</v>
          </cell>
          <cell r="W88">
            <v>575722</v>
          </cell>
          <cell r="X88">
            <v>1713599</v>
          </cell>
          <cell r="Y88">
            <v>619422</v>
          </cell>
          <cell r="Z88">
            <v>569353</v>
          </cell>
          <cell r="AA88">
            <v>616975</v>
          </cell>
          <cell r="AB88">
            <v>1805750</v>
          </cell>
          <cell r="AC88">
            <v>637989</v>
          </cell>
          <cell r="AD88">
            <v>651353</v>
          </cell>
          <cell r="AE88">
            <v>619653</v>
          </cell>
          <cell r="AF88">
            <v>1908995</v>
          </cell>
          <cell r="AG88">
            <v>671846</v>
          </cell>
          <cell r="AH88">
            <v>668578</v>
          </cell>
          <cell r="AI88">
            <v>647113</v>
          </cell>
          <cell r="AJ88">
            <v>1987537</v>
          </cell>
          <cell r="AK88">
            <v>683796</v>
          </cell>
          <cell r="AL88">
            <v>664793</v>
          </cell>
          <cell r="AM88">
            <v>713103</v>
          </cell>
          <cell r="AN88">
            <v>2061692</v>
          </cell>
          <cell r="AO88">
            <v>722165</v>
          </cell>
          <cell r="AP88">
            <v>655602</v>
          </cell>
          <cell r="AQ88">
            <v>726550</v>
          </cell>
          <cell r="AR88">
            <v>2104317</v>
          </cell>
          <cell r="AS88">
            <v>731952</v>
          </cell>
          <cell r="AT88">
            <v>751530</v>
          </cell>
          <cell r="AU88">
            <v>741485</v>
          </cell>
          <cell r="AV88">
            <v>2224967</v>
          </cell>
          <cell r="AW88">
            <v>771141</v>
          </cell>
          <cell r="AX88">
            <v>751593</v>
          </cell>
          <cell r="AY88">
            <v>769570</v>
          </cell>
          <cell r="AZ88">
            <v>2292304</v>
          </cell>
          <cell r="BA88">
            <v>811520</v>
          </cell>
          <cell r="BB88">
            <v>779639</v>
          </cell>
          <cell r="BC88">
            <v>885000</v>
          </cell>
          <cell r="BD88">
            <v>2476159</v>
          </cell>
          <cell r="BE88">
            <v>911354</v>
          </cell>
          <cell r="BF88">
            <v>905950</v>
          </cell>
          <cell r="BG88">
            <v>1041831</v>
          </cell>
          <cell r="BH88">
            <v>2859135</v>
          </cell>
          <cell r="BI88">
            <v>1028626</v>
          </cell>
          <cell r="BJ88">
            <v>1035462</v>
          </cell>
          <cell r="BK88">
            <v>1105138</v>
          </cell>
          <cell r="BL88">
            <v>3169226</v>
          </cell>
          <cell r="BM88">
            <v>1134995</v>
          </cell>
          <cell r="BN88">
            <v>1171199</v>
          </cell>
          <cell r="BO88">
            <v>1161534</v>
          </cell>
          <cell r="BP88">
            <v>3467728</v>
          </cell>
        </row>
        <row r="89">
          <cell r="A89" t="str">
            <v>New Market-20400</v>
          </cell>
          <cell r="Q89">
            <v>182677</v>
          </cell>
          <cell r="R89">
            <v>188503</v>
          </cell>
          <cell r="S89">
            <v>171507</v>
          </cell>
          <cell r="T89">
            <v>542687</v>
          </cell>
          <cell r="U89">
            <v>195358</v>
          </cell>
          <cell r="V89">
            <v>186951</v>
          </cell>
          <cell r="W89">
            <v>186667</v>
          </cell>
          <cell r="X89">
            <v>568976</v>
          </cell>
          <cell r="Y89">
            <v>204570</v>
          </cell>
          <cell r="Z89">
            <v>188248</v>
          </cell>
          <cell r="AA89">
            <v>202170</v>
          </cell>
          <cell r="AB89">
            <v>594988</v>
          </cell>
          <cell r="AC89">
            <v>208600</v>
          </cell>
          <cell r="AD89">
            <v>209773</v>
          </cell>
          <cell r="AE89">
            <v>201136</v>
          </cell>
          <cell r="AF89">
            <v>619509</v>
          </cell>
          <cell r="AG89">
            <v>213595</v>
          </cell>
          <cell r="AH89">
            <v>214138</v>
          </cell>
          <cell r="AI89">
            <v>204063</v>
          </cell>
          <cell r="AJ89">
            <v>631796</v>
          </cell>
          <cell r="AK89">
            <v>219791</v>
          </cell>
          <cell r="AL89">
            <v>213772</v>
          </cell>
          <cell r="AM89">
            <v>222868</v>
          </cell>
          <cell r="AN89">
            <v>656431</v>
          </cell>
          <cell r="AO89">
            <v>233576</v>
          </cell>
          <cell r="AP89">
            <v>207962</v>
          </cell>
          <cell r="AQ89">
            <v>229673</v>
          </cell>
          <cell r="AR89">
            <v>671211</v>
          </cell>
          <cell r="AS89">
            <v>231964</v>
          </cell>
          <cell r="AT89">
            <v>237892</v>
          </cell>
          <cell r="AU89">
            <v>231455</v>
          </cell>
          <cell r="AV89">
            <v>701311</v>
          </cell>
          <cell r="AW89">
            <v>242357</v>
          </cell>
          <cell r="AX89">
            <v>234095</v>
          </cell>
          <cell r="AY89">
            <v>238246</v>
          </cell>
          <cell r="AZ89">
            <v>714698</v>
          </cell>
          <cell r="BA89">
            <v>254631</v>
          </cell>
          <cell r="BB89">
            <v>236379</v>
          </cell>
          <cell r="BC89">
            <v>266328</v>
          </cell>
          <cell r="BD89">
            <v>757338</v>
          </cell>
          <cell r="BE89">
            <v>305380</v>
          </cell>
          <cell r="BF89">
            <v>315944</v>
          </cell>
          <cell r="BG89">
            <v>367577</v>
          </cell>
          <cell r="BH89">
            <v>988901</v>
          </cell>
          <cell r="BI89">
            <v>355501</v>
          </cell>
          <cell r="BJ89">
            <v>340159</v>
          </cell>
          <cell r="BK89">
            <v>361673</v>
          </cell>
          <cell r="BL89">
            <v>1057333</v>
          </cell>
          <cell r="BM89">
            <v>357193</v>
          </cell>
          <cell r="BN89">
            <v>358607</v>
          </cell>
          <cell r="BO89">
            <v>354893</v>
          </cell>
          <cell r="BP89">
            <v>1070693</v>
          </cell>
        </row>
        <row r="90">
          <cell r="A90" t="str">
            <v>TRx Market Growth</v>
          </cell>
          <cell r="AG90">
            <v>0.26891245141331077</v>
          </cell>
          <cell r="AH90">
            <v>0.22910760836394251</v>
          </cell>
          <cell r="AI90">
            <v>0.2510038180851577</v>
          </cell>
          <cell r="AJ90">
            <v>0.24947711534895123</v>
          </cell>
          <cell r="AK90">
            <v>0.18691916474284431</v>
          </cell>
          <cell r="AL90">
            <v>0.18339631911450827</v>
          </cell>
          <cell r="AM90">
            <v>0.23862384970523975</v>
          </cell>
          <cell r="AN90">
            <v>0.20313562274487795</v>
          </cell>
          <cell r="AO90">
            <v>0.16586914898082417</v>
          </cell>
          <cell r="AP90">
            <v>0.1514859849689032</v>
          </cell>
          <cell r="AQ90">
            <v>0.17760038899469177</v>
          </cell>
          <cell r="AR90">
            <v>0.1653423785130832</v>
          </cell>
          <cell r="AS90">
            <v>0.14727996877689109</v>
          </cell>
          <cell r="AT90">
            <v>0.15379832441088004</v>
          </cell>
          <cell r="AU90">
            <v>0.19661326581167193</v>
          </cell>
          <cell r="AV90">
            <v>0.16551745813896845</v>
          </cell>
          <cell r="AW90">
            <v>0.14779428619058543</v>
          </cell>
          <cell r="AX90">
            <v>0.12416651460263428</v>
          </cell>
          <cell r="AY90">
            <v>0.18923588306833583</v>
          </cell>
          <cell r="AZ90">
            <v>0.15333903217902356</v>
          </cell>
          <cell r="BA90">
            <v>0.1867867024668175</v>
          </cell>
          <cell r="BB90">
            <v>0.17275452659700097</v>
          </cell>
          <cell r="BC90">
            <v>0.2410549387676113</v>
          </cell>
          <cell r="BD90">
            <v>0.2010324529561156</v>
          </cell>
          <cell r="BE90">
            <v>0.26197475646147339</v>
          </cell>
          <cell r="BF90">
            <v>0.38185972587026895</v>
          </cell>
          <cell r="BG90">
            <v>0.43394260546417995</v>
          </cell>
          <cell r="BH90">
            <v>0.35869975863902637</v>
          </cell>
          <cell r="BI90">
            <v>0.40531892801713765</v>
          </cell>
          <cell r="BJ90">
            <v>0.37780527723444179</v>
          </cell>
          <cell r="BK90">
            <v>0.49043878163415311</v>
          </cell>
          <cell r="BL90">
            <v>0.42439236177435435</v>
          </cell>
          <cell r="BM90">
            <v>0.47183848349393953</v>
          </cell>
          <cell r="BN90">
            <v>0.5582888611256358</v>
          </cell>
          <cell r="BO90">
            <v>0.50932858609353282</v>
          </cell>
          <cell r="BP90">
            <v>0.51276968499815023</v>
          </cell>
        </row>
        <row r="91">
          <cell r="A91" t="str">
            <v>NRx Market Growth</v>
          </cell>
          <cell r="AG91">
            <v>0.16924954975174766</v>
          </cell>
          <cell r="AH91">
            <v>0.13599253062285488</v>
          </cell>
          <cell r="AI91">
            <v>0.18982315590617294</v>
          </cell>
          <cell r="AJ91">
            <v>0.16419962151295309</v>
          </cell>
          <cell r="AK91">
            <v>0.12506782419967455</v>
          </cell>
          <cell r="AL91">
            <v>0.14346540002460539</v>
          </cell>
          <cell r="AM91">
            <v>0.19393358226146029</v>
          </cell>
          <cell r="AN91">
            <v>0.15370595596299319</v>
          </cell>
          <cell r="AO91">
            <v>0.14179009629955508</v>
          </cell>
          <cell r="AP91">
            <v>0.1047235561599591</v>
          </cell>
          <cell r="AQ91">
            <v>0.13603897709848156</v>
          </cell>
          <cell r="AR91">
            <v>0.12810846605309689</v>
          </cell>
          <cell r="AS91">
            <v>0.11200383509108347</v>
          </cell>
          <cell r="AT91">
            <v>0.13404489614964743</v>
          </cell>
          <cell r="AU91">
            <v>0.15073880359557723</v>
          </cell>
          <cell r="AV91">
            <v>0.13204327943581129</v>
          </cell>
          <cell r="AW91">
            <v>0.13465671012898239</v>
          </cell>
          <cell r="AX91">
            <v>9.3196910403571476E-2</v>
          </cell>
          <cell r="AY91">
            <v>0.16751199384503801</v>
          </cell>
          <cell r="AZ91">
            <v>0.13121640529538015</v>
          </cell>
          <cell r="BA91">
            <v>0.15851422487726974</v>
          </cell>
          <cell r="BB91">
            <v>0.1057528581853564</v>
          </cell>
          <cell r="BC91">
            <v>0.19500332035105972</v>
          </cell>
          <cell r="BD91">
            <v>0.15372064999977142</v>
          </cell>
          <cell r="BE91">
            <v>0.30741172038223108</v>
          </cell>
          <cell r="BF91">
            <v>0.51923909175714789</v>
          </cell>
          <cell r="BG91">
            <v>0.60043627243951181</v>
          </cell>
          <cell r="BH91">
            <v>0.47330869130571451</v>
          </cell>
          <cell r="BI91">
            <v>0.53256970909279033</v>
          </cell>
          <cell r="BJ91">
            <v>0.42988835269786296</v>
          </cell>
          <cell r="BK91">
            <v>0.56260612214037287</v>
          </cell>
          <cell r="BL91">
            <v>0.50765209728636806</v>
          </cell>
          <cell r="BM91">
            <v>0.47382992857643891</v>
          </cell>
          <cell r="BN91">
            <v>0.53188662722399016</v>
          </cell>
          <cell r="BO91">
            <v>0.48960738060659992</v>
          </cell>
          <cell r="BP91">
            <v>0.49810549350914646</v>
          </cell>
        </row>
        <row r="92">
          <cell r="A92" t="str">
            <v>TRx Market Share</v>
          </cell>
          <cell r="BB92">
            <v>6.4132245821463523E-6</v>
          </cell>
          <cell r="BC92">
            <v>1.1593220338983051E-3</v>
          </cell>
          <cell r="BD92">
            <v>4.1637067732726372E-4</v>
          </cell>
          <cell r="BE92">
            <v>4.2050619188591917E-2</v>
          </cell>
          <cell r="BF92">
            <v>8.492963187813897E-2</v>
          </cell>
          <cell r="BG92">
            <v>0.11827638071817791</v>
          </cell>
          <cell r="BH92">
            <v>8.3412990292518543E-2</v>
          </cell>
          <cell r="BI92">
            <v>0.15006328830887028</v>
          </cell>
          <cell r="BJ92">
            <v>0.17601321922001967</v>
          </cell>
          <cell r="BK92">
            <v>0.18940440017445784</v>
          </cell>
          <cell r="BL92">
            <v>0.17226035631412842</v>
          </cell>
          <cell r="BM92">
            <v>0.20201146260556213</v>
          </cell>
          <cell r="BN92">
            <v>0.21081729065683971</v>
          </cell>
          <cell r="BO92">
            <v>0.21960700246398299</v>
          </cell>
          <cell r="BP92">
            <v>0.21087928464977646</v>
          </cell>
        </row>
        <row r="93">
          <cell r="A93" t="str">
            <v>NRx Market Share</v>
          </cell>
          <cell r="BB93">
            <v>2.1152471243215345E-5</v>
          </cell>
          <cell r="BC93">
            <v>3.7848067045147338E-3</v>
          </cell>
          <cell r="BD93">
            <v>1.3375797860400507E-3</v>
          </cell>
          <cell r="BE93">
            <v>0.1200962734953173</v>
          </cell>
          <cell r="BF93">
            <v>0.20343795102929632</v>
          </cell>
          <cell r="BG93">
            <v>0.23426656183602348</v>
          </cell>
          <cell r="BH93">
            <v>0.18916049230408302</v>
          </cell>
          <cell r="BI93">
            <v>0.26486001445846846</v>
          </cell>
          <cell r="BJ93">
            <v>0.25388127316931197</v>
          </cell>
          <cell r="BK93">
            <v>0.26481103095890485</v>
          </cell>
          <cell r="BL93">
            <v>0.26131124253191756</v>
          </cell>
          <cell r="BM93">
            <v>0.26388255088985507</v>
          </cell>
          <cell r="BN93">
            <v>0.2626050244417984</v>
          </cell>
          <cell r="BO93">
            <v>0.26542648065755031</v>
          </cell>
          <cell r="BP93">
            <v>0.26396642174741031</v>
          </cell>
        </row>
        <row r="94">
          <cell r="A94" t="str">
            <v>Price Change (YoY)</v>
          </cell>
        </row>
        <row r="96">
          <cell r="A96" t="str">
            <v xml:space="preserve">TRx + Namenda Price Change </v>
          </cell>
        </row>
        <row r="98">
          <cell r="A98" t="str">
            <v xml:space="preserve">TOTAL NAMENDA REPORTED SALES </v>
          </cell>
          <cell r="BD98">
            <v>11</v>
          </cell>
          <cell r="BH98">
            <v>34.299999999999997</v>
          </cell>
          <cell r="BL98">
            <v>57.4</v>
          </cell>
          <cell r="BP98">
            <v>79.534238044799991</v>
          </cell>
        </row>
        <row r="99">
          <cell r="A99" t="str">
            <v xml:space="preserve">  % Change</v>
          </cell>
        </row>
        <row r="101">
          <cell r="A101" t="str">
            <v>TOTAL NAMENDA SALES (IMS)</v>
          </cell>
          <cell r="BC101">
            <v>4.724335</v>
          </cell>
          <cell r="BD101">
            <v>4.724335</v>
          </cell>
          <cell r="BE101">
            <v>8.6541610000000002</v>
          </cell>
          <cell r="BF101">
            <v>8.5884999999999998</v>
          </cell>
          <cell r="BG101">
            <v>14.495222</v>
          </cell>
          <cell r="BH101">
            <v>31.737883000000004</v>
          </cell>
          <cell r="BI101">
            <v>15.123654</v>
          </cell>
          <cell r="BJ101">
            <v>18.019210000000001</v>
          </cell>
          <cell r="BK101">
            <v>25.064156000000001</v>
          </cell>
          <cell r="BL101">
            <v>58.20702</v>
          </cell>
          <cell r="BM101">
            <v>22.381764</v>
          </cell>
          <cell r="BN101">
            <v>23.666028000000001</v>
          </cell>
        </row>
        <row r="102">
          <cell r="A102" t="str">
            <v xml:space="preserve">  % Change</v>
          </cell>
        </row>
        <row r="104">
          <cell r="A104" t="str">
            <v>REPORTED SALES/TRx NAMENDA</v>
          </cell>
          <cell r="BD104">
            <v>10669.25315227934</v>
          </cell>
          <cell r="BH104">
            <v>143.82214693340154</v>
          </cell>
          <cell r="BL104">
            <v>105.14129964904053</v>
          </cell>
          <cell r="BP104">
            <v>108.7614978350053</v>
          </cell>
        </row>
        <row r="105">
          <cell r="A105" t="str">
            <v>IMS SALES/REPORTED SALES</v>
          </cell>
          <cell r="BD105">
            <v>0.42948500000000001</v>
          </cell>
          <cell r="BH105">
            <v>0.92530271137026254</v>
          </cell>
          <cell r="BL105">
            <v>1.0140595818815332</v>
          </cell>
        </row>
        <row r="107">
          <cell r="A107" t="str">
            <v>BENICAR</v>
          </cell>
        </row>
        <row r="108">
          <cell r="A108" t="str">
            <v>TRx</v>
          </cell>
          <cell r="AD108">
            <v>2772</v>
          </cell>
          <cell r="AE108">
            <v>12465</v>
          </cell>
          <cell r="AF108">
            <v>15237</v>
          </cell>
          <cell r="AG108">
            <v>25192</v>
          </cell>
          <cell r="AH108">
            <v>39471</v>
          </cell>
          <cell r="AI108">
            <v>51815</v>
          </cell>
          <cell r="AJ108">
            <v>116478</v>
          </cell>
          <cell r="AK108">
            <v>70583</v>
          </cell>
          <cell r="AL108">
            <v>84980</v>
          </cell>
          <cell r="AM108">
            <v>106363</v>
          </cell>
          <cell r="AN108">
            <v>261926</v>
          </cell>
          <cell r="AO108">
            <v>117227</v>
          </cell>
          <cell r="AP108">
            <v>120900</v>
          </cell>
          <cell r="AQ108">
            <v>145529</v>
          </cell>
          <cell r="AR108">
            <v>383656</v>
          </cell>
          <cell r="AS108">
            <v>160697</v>
          </cell>
          <cell r="AT108">
            <v>183200</v>
          </cell>
          <cell r="AU108">
            <v>195272</v>
          </cell>
          <cell r="AV108">
            <v>539169</v>
          </cell>
          <cell r="AW108">
            <v>217663</v>
          </cell>
          <cell r="AX108">
            <v>224918</v>
          </cell>
          <cell r="AY108">
            <v>236642</v>
          </cell>
          <cell r="AZ108">
            <v>679223</v>
          </cell>
          <cell r="BA108">
            <v>258529</v>
          </cell>
          <cell r="BB108">
            <v>251094</v>
          </cell>
          <cell r="BC108">
            <v>291570</v>
          </cell>
          <cell r="BD108">
            <v>801193</v>
          </cell>
          <cell r="BE108">
            <v>291925</v>
          </cell>
          <cell r="BF108">
            <v>280635</v>
          </cell>
          <cell r="BG108">
            <v>320353</v>
          </cell>
          <cell r="BH108">
            <v>892913</v>
          </cell>
          <cell r="BI108">
            <v>316515</v>
          </cell>
          <cell r="BJ108">
            <v>319931</v>
          </cell>
          <cell r="BK108">
            <v>344855</v>
          </cell>
          <cell r="BL108">
            <v>981301</v>
          </cell>
          <cell r="BM108">
            <v>353905</v>
          </cell>
          <cell r="BN108">
            <v>366083</v>
          </cell>
          <cell r="BO108">
            <v>367363</v>
          </cell>
          <cell r="BP108">
            <v>1087351</v>
          </cell>
        </row>
        <row r="109">
          <cell r="A109" t="str">
            <v xml:space="preserve">  % Change</v>
          </cell>
          <cell r="AV109">
            <v>0</v>
          </cell>
          <cell r="AW109">
            <v>7.6401635439822169</v>
          </cell>
          <cell r="AX109">
            <v>4.6983101517569859</v>
          </cell>
          <cell r="AY109">
            <v>3.56705587185178</v>
          </cell>
          <cell r="AZ109">
            <v>4.8313415408918425</v>
          </cell>
          <cell r="BA109">
            <v>2.66276582179845</v>
          </cell>
          <cell r="BB109">
            <v>1.9547422923040716</v>
          </cell>
          <cell r="BC109">
            <v>1.741272811033912</v>
          </cell>
          <cell r="BD109">
            <v>2.0588525003245191</v>
          </cell>
          <cell r="BE109">
            <v>1.4902539517346685</v>
          </cell>
          <cell r="BF109">
            <v>1.3212158808933001</v>
          </cell>
          <cell r="BG109">
            <v>1.2013000845192368</v>
          </cell>
          <cell r="BH109">
            <v>1.3273792147131807</v>
          </cell>
          <cell r="BI109">
            <v>0.96963851223109332</v>
          </cell>
          <cell r="BJ109">
            <v>0.74634825327510912</v>
          </cell>
          <cell r="BK109">
            <v>0.7660238026957269</v>
          </cell>
          <cell r="BL109">
            <v>0.82002489015503488</v>
          </cell>
          <cell r="BM109">
            <v>0.62593091154674885</v>
          </cell>
          <cell r="BN109">
            <v>0.62762873580593825</v>
          </cell>
          <cell r="BO109">
            <v>0.55239982758766404</v>
          </cell>
          <cell r="BP109">
            <v>0.60087482314350371</v>
          </cell>
        </row>
        <row r="110">
          <cell r="A110" t="str">
            <v>NRx</v>
          </cell>
          <cell r="AD110">
            <v>2706</v>
          </cell>
          <cell r="AE110">
            <v>11123</v>
          </cell>
          <cell r="AF110">
            <v>13829</v>
          </cell>
          <cell r="AG110">
            <v>19040</v>
          </cell>
          <cell r="AH110">
            <v>25665</v>
          </cell>
          <cell r="AI110">
            <v>30255</v>
          </cell>
          <cell r="AJ110">
            <v>74960</v>
          </cell>
          <cell r="AK110">
            <v>38021</v>
          </cell>
          <cell r="AL110">
            <v>42413</v>
          </cell>
          <cell r="AM110">
            <v>47764</v>
          </cell>
          <cell r="AN110">
            <v>128198</v>
          </cell>
          <cell r="AO110">
            <v>50164</v>
          </cell>
          <cell r="AP110">
            <v>50409</v>
          </cell>
          <cell r="AQ110">
            <v>59562</v>
          </cell>
          <cell r="AR110">
            <v>160135</v>
          </cell>
          <cell r="AS110">
            <v>64658</v>
          </cell>
          <cell r="AT110">
            <v>71446</v>
          </cell>
          <cell r="AU110">
            <v>74979</v>
          </cell>
          <cell r="AV110">
            <v>211083</v>
          </cell>
          <cell r="AW110">
            <v>80115</v>
          </cell>
          <cell r="AX110">
            <v>78851</v>
          </cell>
          <cell r="AY110">
            <v>82540</v>
          </cell>
          <cell r="AZ110">
            <v>241506</v>
          </cell>
          <cell r="BA110">
            <v>91477</v>
          </cell>
          <cell r="BB110">
            <v>86754</v>
          </cell>
          <cell r="BC110">
            <v>99706</v>
          </cell>
          <cell r="BD110">
            <v>277937</v>
          </cell>
          <cell r="BE110">
            <v>99578</v>
          </cell>
          <cell r="BF110">
            <v>97691</v>
          </cell>
          <cell r="BG110">
            <v>111123</v>
          </cell>
          <cell r="BH110">
            <v>308392</v>
          </cell>
          <cell r="BI110">
            <v>108332</v>
          </cell>
          <cell r="BJ110">
            <v>105573</v>
          </cell>
          <cell r="BK110">
            <v>115603</v>
          </cell>
          <cell r="BL110">
            <v>329508</v>
          </cell>
          <cell r="BM110">
            <v>116805</v>
          </cell>
          <cell r="BN110">
            <v>119565</v>
          </cell>
          <cell r="BO110">
            <v>120900</v>
          </cell>
          <cell r="BP110">
            <v>357270</v>
          </cell>
        </row>
        <row r="111">
          <cell r="A111" t="str">
            <v xml:space="preserve">  % Change</v>
          </cell>
          <cell r="AV111">
            <v>0</v>
          </cell>
          <cell r="AW111">
            <v>3.2077205882352944</v>
          </cell>
          <cell r="AX111">
            <v>2.072316384180791</v>
          </cell>
          <cell r="AY111">
            <v>1.7281441084118327</v>
          </cell>
          <cell r="AZ111">
            <v>2.2217982924226254</v>
          </cell>
          <cell r="BA111">
            <v>1.4059598642855264</v>
          </cell>
          <cell r="BB111">
            <v>1.0454577605922712</v>
          </cell>
          <cell r="BC111">
            <v>1.087471736035508</v>
          </cell>
          <cell r="BD111">
            <v>1.1680291424203184</v>
          </cell>
          <cell r="BE111">
            <v>0.98504903915158271</v>
          </cell>
          <cell r="BF111">
            <v>0.93796742645162579</v>
          </cell>
          <cell r="BG111">
            <v>0.86566938652160763</v>
          </cell>
          <cell r="BH111">
            <v>0.92582508508446004</v>
          </cell>
          <cell r="BI111">
            <v>0.67546165981007755</v>
          </cell>
          <cell r="BJ111">
            <v>0.47766145060605214</v>
          </cell>
          <cell r="BK111">
            <v>0.54180503874418173</v>
          </cell>
          <cell r="BL111">
            <v>0.56103523258623378</v>
          </cell>
          <cell r="BM111">
            <v>0.45796667290769522</v>
          </cell>
          <cell r="BN111">
            <v>0.51634094684912046</v>
          </cell>
          <cell r="BO111">
            <v>0.46474436636782168</v>
          </cell>
          <cell r="BP111">
            <v>0.47934212814588451</v>
          </cell>
        </row>
        <row r="112">
          <cell r="A112" t="str">
            <v>Total Market-31140</v>
          </cell>
          <cell r="Q112">
            <v>2122626</v>
          </cell>
          <cell r="R112">
            <v>2164532</v>
          </cell>
          <cell r="S112">
            <v>2044661</v>
          </cell>
          <cell r="T112">
            <v>6331819</v>
          </cell>
          <cell r="U112">
            <v>2260476</v>
          </cell>
          <cell r="V112">
            <v>2186870</v>
          </cell>
          <cell r="W112">
            <v>2304529</v>
          </cell>
          <cell r="X112">
            <v>6751875</v>
          </cell>
          <cell r="Y112">
            <v>2355861</v>
          </cell>
          <cell r="Z112">
            <v>2152861</v>
          </cell>
          <cell r="AA112">
            <v>2359781</v>
          </cell>
          <cell r="AB112">
            <v>6868503</v>
          </cell>
          <cell r="AC112">
            <v>2443268</v>
          </cell>
          <cell r="AD112">
            <v>2502048</v>
          </cell>
          <cell r="AE112">
            <v>2406238</v>
          </cell>
          <cell r="AF112">
            <v>7351554</v>
          </cell>
          <cell r="AG112">
            <v>2618531</v>
          </cell>
          <cell r="AH112">
            <v>2605442</v>
          </cell>
          <cell r="AI112">
            <v>2538279</v>
          </cell>
          <cell r="AJ112">
            <v>7762252</v>
          </cell>
          <cell r="AK112">
            <v>2732681</v>
          </cell>
          <cell r="AL112">
            <v>2657718</v>
          </cell>
          <cell r="AM112">
            <v>2896672</v>
          </cell>
          <cell r="AN112">
            <v>8287071</v>
          </cell>
          <cell r="AO112">
            <v>2865255</v>
          </cell>
          <cell r="AP112">
            <v>2637429</v>
          </cell>
          <cell r="AQ112">
            <v>2900091</v>
          </cell>
          <cell r="AR112">
            <v>8402775</v>
          </cell>
          <cell r="AS112">
            <v>2867182</v>
          </cell>
          <cell r="AT112">
            <v>2981035</v>
          </cell>
          <cell r="AU112">
            <v>2945694</v>
          </cell>
          <cell r="AV112">
            <v>8793911</v>
          </cell>
          <cell r="AW112">
            <v>3059675</v>
          </cell>
          <cell r="AX112">
            <v>2995063</v>
          </cell>
          <cell r="AY112">
            <v>3033223</v>
          </cell>
          <cell r="AZ112">
            <v>9087961</v>
          </cell>
          <cell r="BA112">
            <v>3170882</v>
          </cell>
          <cell r="BB112">
            <v>2975552</v>
          </cell>
          <cell r="BC112">
            <v>3338909</v>
          </cell>
          <cell r="BD112">
            <v>9485343</v>
          </cell>
          <cell r="BE112">
            <v>3234882</v>
          </cell>
          <cell r="BF112">
            <v>3028521</v>
          </cell>
          <cell r="BG112">
            <v>3366797</v>
          </cell>
          <cell r="BH112">
            <v>9630200</v>
          </cell>
          <cell r="BI112">
            <v>3232023</v>
          </cell>
          <cell r="BJ112">
            <v>3215629</v>
          </cell>
          <cell r="BK112">
            <v>3374954</v>
          </cell>
          <cell r="BL112">
            <v>9822606</v>
          </cell>
          <cell r="BM112">
            <v>3371486</v>
          </cell>
          <cell r="BN112">
            <v>3421721</v>
          </cell>
          <cell r="BO112">
            <v>3358038</v>
          </cell>
          <cell r="BP112">
            <v>10151245</v>
          </cell>
        </row>
        <row r="113">
          <cell r="A113" t="str">
            <v>New Market-31140</v>
          </cell>
          <cell r="Q113">
            <v>635624</v>
          </cell>
          <cell r="R113">
            <v>650670</v>
          </cell>
          <cell r="S113">
            <v>605046</v>
          </cell>
          <cell r="T113">
            <v>1891340</v>
          </cell>
          <cell r="U113">
            <v>695179</v>
          </cell>
          <cell r="V113">
            <v>684582</v>
          </cell>
          <cell r="W113">
            <v>850526</v>
          </cell>
          <cell r="X113">
            <v>2230287</v>
          </cell>
          <cell r="Y113">
            <v>914002</v>
          </cell>
          <cell r="Z113">
            <v>773061</v>
          </cell>
          <cell r="AA113">
            <v>791664</v>
          </cell>
          <cell r="AB113">
            <v>2478727</v>
          </cell>
          <cell r="AC113">
            <v>795898</v>
          </cell>
          <cell r="AD113">
            <v>798958</v>
          </cell>
          <cell r="AE113">
            <v>752513</v>
          </cell>
          <cell r="AF113">
            <v>2347369</v>
          </cell>
          <cell r="AG113">
            <v>821200</v>
          </cell>
          <cell r="AH113">
            <v>803767</v>
          </cell>
          <cell r="AI113">
            <v>775403</v>
          </cell>
          <cell r="AJ113">
            <v>2400370</v>
          </cell>
          <cell r="AK113">
            <v>857935</v>
          </cell>
          <cell r="AL113">
            <v>830002</v>
          </cell>
          <cell r="AM113">
            <v>892155</v>
          </cell>
          <cell r="AN113">
            <v>2580092</v>
          </cell>
          <cell r="AO113">
            <v>934363</v>
          </cell>
          <cell r="AP113">
            <v>855148</v>
          </cell>
          <cell r="AQ113">
            <v>919365</v>
          </cell>
          <cell r="AR113">
            <v>2708876</v>
          </cell>
          <cell r="AS113">
            <v>897870</v>
          </cell>
          <cell r="AT113">
            <v>928038</v>
          </cell>
          <cell r="AU113">
            <v>913409</v>
          </cell>
          <cell r="AV113">
            <v>2739317</v>
          </cell>
          <cell r="AW113">
            <v>942054</v>
          </cell>
          <cell r="AX113">
            <v>896135</v>
          </cell>
          <cell r="AY113">
            <v>917347</v>
          </cell>
          <cell r="AZ113">
            <v>2755536</v>
          </cell>
          <cell r="BA113">
            <v>978165</v>
          </cell>
          <cell r="BB113">
            <v>894875</v>
          </cell>
          <cell r="BC113">
            <v>1006408</v>
          </cell>
          <cell r="BD113">
            <v>2879448</v>
          </cell>
          <cell r="BE113">
            <v>1004971</v>
          </cell>
          <cell r="BF113">
            <v>962012</v>
          </cell>
          <cell r="BG113">
            <v>1068596</v>
          </cell>
          <cell r="BH113">
            <v>3035579</v>
          </cell>
          <cell r="BI113">
            <v>1014826</v>
          </cell>
          <cell r="BJ113">
            <v>997832</v>
          </cell>
          <cell r="BK113">
            <v>1045013</v>
          </cell>
          <cell r="BL113">
            <v>3057671</v>
          </cell>
          <cell r="BM113">
            <v>1024017</v>
          </cell>
          <cell r="BN113">
            <v>1028207</v>
          </cell>
          <cell r="BO113">
            <v>1022532</v>
          </cell>
          <cell r="BP113">
            <v>3074756</v>
          </cell>
        </row>
        <row r="114">
          <cell r="A114" t="str">
            <v>TRx Market Growth</v>
          </cell>
          <cell r="AG114">
            <v>0.23362806259793301</v>
          </cell>
          <cell r="AH114">
            <v>0.20369761223211302</v>
          </cell>
          <cell r="AI114">
            <v>0.24141801501569216</v>
          </cell>
          <cell r="AJ114">
            <v>0.22591185881971665</v>
          </cell>
          <cell r="AK114">
            <v>0.20889626786570625</v>
          </cell>
          <cell r="AL114">
            <v>0.21530680836080784</v>
          </cell>
          <cell r="AM114">
            <v>0.25694751508876656</v>
          </cell>
          <cell r="AN114">
            <v>0.22737328519855593</v>
          </cell>
          <cell r="AO114">
            <v>0.21622413206891244</v>
          </cell>
          <cell r="AP114">
            <v>0.22508095041900056</v>
          </cell>
          <cell r="AQ114">
            <v>0.22896616253796442</v>
          </cell>
          <cell r="AR114">
            <v>0.2233779325713332</v>
          </cell>
          <cell r="AS114">
            <v>0.17350286583379315</v>
          </cell>
          <cell r="AT114">
            <v>0.1914379740116896</v>
          </cell>
          <cell r="AU114">
            <v>0.22419062453506267</v>
          </cell>
          <cell r="AV114">
            <v>0.19619756584798265</v>
          </cell>
          <cell r="AW114">
            <v>0.16847003147948225</v>
          </cell>
          <cell r="AX114">
            <v>0.14954122947277271</v>
          </cell>
          <cell r="AY114">
            <v>0.19499196108859596</v>
          </cell>
          <cell r="AZ114">
            <v>0.17078922457039525</v>
          </cell>
          <cell r="BA114">
            <v>0.16035570928330101</v>
          </cell>
          <cell r="BB114">
            <v>0.11958906099142186</v>
          </cell>
          <cell r="BC114">
            <v>0.15267072005391014</v>
          </cell>
          <cell r="BD114">
            <v>0.14459535823935865</v>
          </cell>
          <cell r="BE114">
            <v>0.12900317772763681</v>
          </cell>
          <cell r="BF114">
            <v>0.14828531877066653</v>
          </cell>
          <cell r="BG114">
            <v>0.16092805363693752</v>
          </cell>
          <cell r="BH114">
            <v>0.14607376729711308</v>
          </cell>
          <cell r="BI114">
            <v>0.12724724136800525</v>
          </cell>
          <cell r="BJ114">
            <v>7.8695486634675627E-2</v>
          </cell>
          <cell r="BK114">
            <v>0.1457245728850316</v>
          </cell>
          <cell r="BL114">
            <v>0.11697809996030206</v>
          </cell>
          <cell r="BM114">
            <v>0.10190984336571685</v>
          </cell>
          <cell r="BN114">
            <v>0.14245376474551619</v>
          </cell>
          <cell r="BO114">
            <v>0.10708576322940977</v>
          </cell>
          <cell r="BP114">
            <v>0.11699918166462209</v>
          </cell>
        </row>
        <row r="115">
          <cell r="A115" t="str">
            <v>NRx Market Growth</v>
          </cell>
          <cell r="AG115">
            <v>0.29195876807672461</v>
          </cell>
          <cell r="AH115">
            <v>0.23529131510596768</v>
          </cell>
          <cell r="AI115">
            <v>0.28156041028285461</v>
          </cell>
          <cell r="AJ115">
            <v>0.26913722545919816</v>
          </cell>
          <cell r="AK115">
            <v>0.23412099617508586</v>
          </cell>
          <cell r="AL115">
            <v>0.2124215944912371</v>
          </cell>
          <cell r="AM115">
            <v>4.8945005796413144E-2</v>
          </cell>
          <cell r="AN115">
            <v>0.15684304307024166</v>
          </cell>
          <cell r="AO115">
            <v>2.2276756506003359E-2</v>
          </cell>
          <cell r="AP115">
            <v>0.10618437613590648</v>
          </cell>
          <cell r="AQ115">
            <v>0.1613070696659189</v>
          </cell>
          <cell r="AR115">
            <v>9.2849676466992825E-2</v>
          </cell>
          <cell r="AS115">
            <v>0.12812194527439447</v>
          </cell>
          <cell r="AT115">
            <v>0.16156043246328333</v>
          </cell>
          <cell r="AU115">
            <v>0.21381158863700689</v>
          </cell>
          <cell r="AV115">
            <v>0.16697332204693849</v>
          </cell>
          <cell r="AW115">
            <v>0.14716755966877737</v>
          </cell>
          <cell r="AX115">
            <v>0.1149188757438413</v>
          </cell>
          <cell r="AY115">
            <v>0.18305835804091553</v>
          </cell>
          <cell r="AZ115">
            <v>0.14796302236738512</v>
          </cell>
          <cell r="BA115">
            <v>0.14013882170560699</v>
          </cell>
          <cell r="BB115">
            <v>7.8160052626379262E-2</v>
          </cell>
          <cell r="BC115">
            <v>0.12806406958432115</v>
          </cell>
          <cell r="BD115">
            <v>0.11602532002734778</v>
          </cell>
          <cell r="BE115">
            <v>7.5568060807202242E-2</v>
          </cell>
          <cell r="BF115">
            <v>0.12496550304742571</v>
          </cell>
          <cell r="BG115">
            <v>0.16231964453726211</v>
          </cell>
          <cell r="BH115">
            <v>0.12060463454214965</v>
          </cell>
          <cell r="BI115">
            <v>0.1302593916714001</v>
          </cell>
          <cell r="BJ115">
            <v>7.5205972169243074E-2</v>
          </cell>
          <cell r="BK115">
            <v>0.14408003424533811</v>
          </cell>
          <cell r="BL115">
            <v>0.11621656055140761</v>
          </cell>
          <cell r="BM115">
            <v>8.7004566617200352E-2</v>
          </cell>
          <cell r="BN115">
            <v>0.14737958008558971</v>
          </cell>
          <cell r="BO115">
            <v>0.11466217254757471</v>
          </cell>
          <cell r="BP115">
            <v>0.11584678988044428</v>
          </cell>
        </row>
        <row r="116">
          <cell r="A116" t="str">
            <v>TRx Market Share</v>
          </cell>
          <cell r="AD116">
            <v>1.1078924145340137E-3</v>
          </cell>
          <cell r="AE116">
            <v>5.1802855744111764E-3</v>
          </cell>
          <cell r="AF116">
            <v>2.0726230127670964E-3</v>
          </cell>
          <cell r="AG116">
            <v>9.6206613555462964E-3</v>
          </cell>
          <cell r="AH116">
            <v>1.5149444892651612E-2</v>
          </cell>
          <cell r="AI116">
            <v>2.041343760871047E-2</v>
          </cell>
          <cell r="AJ116">
            <v>1.5005696800361545E-2</v>
          </cell>
          <cell r="AK116">
            <v>2.5829213142697593E-2</v>
          </cell>
          <cell r="AL116">
            <v>3.1974799433197955E-2</v>
          </cell>
          <cell r="AM116">
            <v>3.6719034809602188E-2</v>
          </cell>
          <cell r="AN116">
            <v>3.1606583315142343E-2</v>
          </cell>
          <cell r="AO116">
            <v>4.0913286950027133E-2</v>
          </cell>
          <cell r="AP116">
            <v>4.5840096548570596E-2</v>
          </cell>
          <cell r="AQ116">
            <v>5.0180839152978302E-2</v>
          </cell>
          <cell r="AR116">
            <v>4.5658249804380102E-2</v>
          </cell>
          <cell r="AS116">
            <v>5.6047017594278985E-2</v>
          </cell>
          <cell r="AT116">
            <v>6.1455165739416007E-2</v>
          </cell>
          <cell r="AU116">
            <v>6.6290660197562953E-2</v>
          </cell>
          <cell r="AV116">
            <v>6.131162801170037E-2</v>
          </cell>
          <cell r="AW116">
            <v>7.1139254986232192E-2</v>
          </cell>
          <cell r="AX116">
            <v>7.5096250062185677E-2</v>
          </cell>
          <cell r="AY116">
            <v>7.8016683903557371E-2</v>
          </cell>
          <cell r="AZ116">
            <v>7.4738767034761705E-2</v>
          </cell>
          <cell r="BA116">
            <v>8.1532204604270991E-2</v>
          </cell>
          <cell r="BB116">
            <v>8.4385687092680614E-2</v>
          </cell>
          <cell r="BC116">
            <v>8.7324931586934537E-2</v>
          </cell>
          <cell r="BD116">
            <v>8.4466423617996736E-2</v>
          </cell>
          <cell r="BE116">
            <v>9.0242858935812811E-2</v>
          </cell>
          <cell r="BF116">
            <v>9.2664042943733926E-2</v>
          </cell>
          <cell r="BG116">
            <v>9.5150672879891485E-2</v>
          </cell>
          <cell r="BH116">
            <v>9.2720088887042848E-2</v>
          </cell>
          <cell r="BI116">
            <v>9.7930924377703996E-2</v>
          </cell>
          <cell r="BJ116">
            <v>9.9492509863544576E-2</v>
          </cell>
          <cell r="BK116">
            <v>0.10218065194370056</v>
          </cell>
          <cell r="BL116">
            <v>9.9902306984521211E-2</v>
          </cell>
          <cell r="BM116">
            <v>0.10497003398501432</v>
          </cell>
          <cell r="BN116">
            <v>0.10698797476474557</v>
          </cell>
          <cell r="BO116">
            <v>0.10939810687073821</v>
          </cell>
          <cell r="BP116">
            <v>0.10711503859871375</v>
          </cell>
        </row>
        <row r="117">
          <cell r="A117" t="str">
            <v>NRx Market Share</v>
          </cell>
          <cell r="AD117">
            <v>3.3869114521664469E-3</v>
          </cell>
          <cell r="AE117">
            <v>1.4781139993594795E-2</v>
          </cell>
          <cell r="AF117">
            <v>5.8912765739003968E-3</v>
          </cell>
          <cell r="AG117">
            <v>2.3185582075012177E-2</v>
          </cell>
          <cell r="AH117">
            <v>3.1930895396302658E-2</v>
          </cell>
          <cell r="AI117">
            <v>3.9018420098967894E-2</v>
          </cell>
          <cell r="AJ117">
            <v>3.1228518936663931E-2</v>
          </cell>
          <cell r="AK117">
            <v>4.4316877152698046E-2</v>
          </cell>
          <cell r="AL117">
            <v>5.1099876867766583E-2</v>
          </cell>
          <cell r="AM117">
            <v>5.3537782111852762E-2</v>
          </cell>
          <cell r="AN117">
            <v>4.968737548893605E-2</v>
          </cell>
          <cell r="AO117">
            <v>5.3687913583906899E-2</v>
          </cell>
          <cell r="AP117">
            <v>5.8947690926015144E-2</v>
          </cell>
          <cell r="AQ117">
            <v>6.4786020786086043E-2</v>
          </cell>
          <cell r="AR117">
            <v>5.9114924418836444E-2</v>
          </cell>
          <cell r="AS117">
            <v>7.2012652165681007E-2</v>
          </cell>
          <cell r="AT117">
            <v>7.6986071691029889E-2</v>
          </cell>
          <cell r="AU117">
            <v>8.2086994982532469E-2</v>
          </cell>
          <cell r="AV117">
            <v>7.7056799194835796E-2</v>
          </cell>
          <cell r="AW117">
            <v>8.5042895630186799E-2</v>
          </cell>
          <cell r="AX117">
            <v>8.7990090778733113E-2</v>
          </cell>
          <cell r="AY117">
            <v>8.9976857176183062E-2</v>
          </cell>
          <cell r="AZ117">
            <v>8.764392844078249E-2</v>
          </cell>
          <cell r="BA117">
            <v>9.3518987082956348E-2</v>
          </cell>
          <cell r="BB117">
            <v>9.6945383433440419E-2</v>
          </cell>
          <cell r="BC117">
            <v>9.9071152057614797E-2</v>
          </cell>
          <cell r="BD117">
            <v>9.6524403288408056E-2</v>
          </cell>
          <cell r="BE117">
            <v>9.908544624670762E-2</v>
          </cell>
          <cell r="BF117">
            <v>0.10154862933102705</v>
          </cell>
          <cell r="BG117">
            <v>0.10398972109197489</v>
          </cell>
          <cell r="BH117">
            <v>0.10159248038018447</v>
          </cell>
          <cell r="BI117">
            <v>0.10674933436865039</v>
          </cell>
          <cell r="BJ117">
            <v>0.10580237955888366</v>
          </cell>
          <cell r="BK117">
            <v>0.11062350420521085</v>
          </cell>
          <cell r="BL117">
            <v>0.10776437360330787</v>
          </cell>
          <cell r="BM117">
            <v>0.11406548914715282</v>
          </cell>
          <cell r="BN117">
            <v>0.11628495040395562</v>
          </cell>
          <cell r="BO117">
            <v>0.11823590850946473</v>
          </cell>
          <cell r="BP117">
            <v>0.11619458584681192</v>
          </cell>
        </row>
        <row r="118">
          <cell r="A118" t="str">
            <v>Sales (IMS)</v>
          </cell>
          <cell r="AC118">
            <v>9.2451000000000005E-2</v>
          </cell>
          <cell r="AD118">
            <v>2.147894</v>
          </cell>
          <cell r="AE118">
            <v>0.778833</v>
          </cell>
          <cell r="AF118">
            <v>3.0191780000000001</v>
          </cell>
          <cell r="AG118">
            <v>1.127338</v>
          </cell>
          <cell r="AH118">
            <v>1.4784790000000001</v>
          </cell>
          <cell r="AI118">
            <v>2.5725340000000001</v>
          </cell>
          <cell r="AJ118">
            <v>5.1783510000000001</v>
          </cell>
          <cell r="AK118">
            <v>2.7334529999999999</v>
          </cell>
          <cell r="AL118">
            <v>3.2626369999999998</v>
          </cell>
          <cell r="AM118">
            <v>4.8363120000000004</v>
          </cell>
          <cell r="AN118">
            <v>10.832402000000002</v>
          </cell>
          <cell r="AO118">
            <v>4.3792210000000003</v>
          </cell>
          <cell r="AP118">
            <v>4.7841279999999999</v>
          </cell>
          <cell r="AQ118">
            <v>6.7579079999999996</v>
          </cell>
          <cell r="AR118">
            <v>15.921257000000001</v>
          </cell>
          <cell r="AS118">
            <v>6.1555939999999998</v>
          </cell>
          <cell r="AT118">
            <v>6.6956959999999999</v>
          </cell>
          <cell r="AU118">
            <v>9.5983079999999994</v>
          </cell>
          <cell r="AV118">
            <v>22.449598000000002</v>
          </cell>
          <cell r="AW118">
            <v>8.378349</v>
          </cell>
          <cell r="AX118">
            <v>8.9264410000000005</v>
          </cell>
          <cell r="AY118">
            <v>11.545938</v>
          </cell>
          <cell r="AZ118">
            <v>28.850728</v>
          </cell>
          <cell r="BA118">
            <v>9.8720389999999991</v>
          </cell>
          <cell r="BB118">
            <v>10.432016000000001</v>
          </cell>
          <cell r="BC118">
            <v>13.364285000000001</v>
          </cell>
          <cell r="BD118">
            <v>33.668340000000001</v>
          </cell>
          <cell r="BE118">
            <v>12.058426000000001</v>
          </cell>
          <cell r="BF118">
            <v>12.675927</v>
          </cell>
          <cell r="BG118">
            <v>16.411266999999999</v>
          </cell>
          <cell r="BH118">
            <v>41.145619999999994</v>
          </cell>
          <cell r="BI118">
            <v>13.670522</v>
          </cell>
          <cell r="BJ118">
            <v>14.439817</v>
          </cell>
          <cell r="BK118">
            <v>18.254016</v>
          </cell>
          <cell r="BL118">
            <v>46.364354999999996</v>
          </cell>
          <cell r="BM118">
            <v>15.050818</v>
          </cell>
          <cell r="BN118">
            <v>15.597182999999999</v>
          </cell>
        </row>
        <row r="119">
          <cell r="A119" t="str">
            <v xml:space="preserve">  % Change</v>
          </cell>
          <cell r="AV119">
            <v>0</v>
          </cell>
          <cell r="AW119">
            <v>6.4319760355811662</v>
          </cell>
          <cell r="AX119">
            <v>5.0375838953410907</v>
          </cell>
          <cell r="AY119">
            <v>3.488157590920081</v>
          </cell>
          <cell r="AZ119">
            <v>4.5714122121115386</v>
          </cell>
          <cell r="BA119">
            <v>2.6115634693554268</v>
          </cell>
          <cell r="BB119">
            <v>2.1974185298579036</v>
          </cell>
          <cell r="BC119">
            <v>1.7633215144101539</v>
          </cell>
          <cell r="BD119">
            <v>2.108113971398033</v>
          </cell>
          <cell r="BE119">
            <v>1.7535550272525637</v>
          </cell>
          <cell r="BF119">
            <v>1.6495794008855951</v>
          </cell>
          <cell r="BG119">
            <v>1.428453746336884</v>
          </cell>
          <cell r="BH119">
            <v>1.5843198184665943</v>
          </cell>
          <cell r="BI119">
            <v>1.2208290540279298</v>
          </cell>
          <cell r="BJ119">
            <v>1.1565819296455513</v>
          </cell>
          <cell r="BK119">
            <v>0.90179519140248487</v>
          </cell>
          <cell r="BL119">
            <v>1.0652643757808042</v>
          </cell>
          <cell r="BM119">
            <v>0.79639425380823825</v>
          </cell>
          <cell r="BN119">
            <v>0.74730141609629164</v>
          </cell>
        </row>
        <row r="120">
          <cell r="A120" t="str">
            <v>Price Change (YoY)</v>
          </cell>
          <cell r="AB120">
            <v>0</v>
          </cell>
          <cell r="AF120">
            <v>0</v>
          </cell>
          <cell r="AJ120">
            <v>0</v>
          </cell>
          <cell r="AN120">
            <v>0</v>
          </cell>
          <cell r="AR120">
            <v>0</v>
          </cell>
          <cell r="AU120">
            <v>2.3956657919241398E-2</v>
          </cell>
          <cell r="AV120">
            <v>2.3956657919241398E-2</v>
          </cell>
          <cell r="AZ120">
            <v>2.3956657919241398E-2</v>
          </cell>
          <cell r="BD120">
            <v>2.3956657919241398E-2</v>
          </cell>
          <cell r="BE120">
            <v>8.9781746031746046E-2</v>
          </cell>
          <cell r="BH120">
            <v>0.11373840395098744</v>
          </cell>
          <cell r="BL120">
            <v>8.9781746031746046E-2</v>
          </cell>
          <cell r="BP120">
            <v>8.9781746031746046E-2</v>
          </cell>
        </row>
        <row r="121">
          <cell r="BI121">
            <v>5.8516394074539145E-2</v>
          </cell>
          <cell r="BJ121">
            <v>5.9220369685144381E-2</v>
          </cell>
          <cell r="BK121">
            <v>6.0685520875182156E-2</v>
          </cell>
          <cell r="BL121">
            <v>5.9494295968209113E-2</v>
          </cell>
          <cell r="BM121">
            <v>6.2188785898404396E-2</v>
          </cell>
          <cell r="BN121">
            <v>6.3357281917345104E-2</v>
          </cell>
          <cell r="BO121">
            <v>6.4563348577723362E-2</v>
          </cell>
          <cell r="BP121">
            <v>6.3369682307417768E-2</v>
          </cell>
        </row>
        <row r="122">
          <cell r="A122" t="str">
            <v>BENICAR HCT</v>
          </cell>
          <cell r="BI122">
            <v>2.8097260915471021E-2</v>
          </cell>
          <cell r="BJ122">
            <v>3.0797901888074908E-2</v>
          </cell>
          <cell r="BK122">
            <v>3.3085051587664012E-2</v>
          </cell>
          <cell r="BL122">
            <v>3.0700250120725463E-2</v>
          </cell>
          <cell r="BM122">
            <v>3.5622301683571972E-2</v>
          </cell>
          <cell r="BN122">
            <v>3.7758436073756771E-2</v>
          </cell>
          <cell r="BO122">
            <v>4.0029089825204457E-2</v>
          </cell>
          <cell r="BP122">
            <v>3.7802936933076875E-2</v>
          </cell>
        </row>
        <row r="123">
          <cell r="A123" t="str">
            <v>TRx</v>
          </cell>
          <cell r="AW123">
            <v>47</v>
          </cell>
          <cell r="AX123">
            <v>3318</v>
          </cell>
          <cell r="AY123">
            <v>18229</v>
          </cell>
          <cell r="AZ123">
            <v>21594</v>
          </cell>
          <cell r="BA123">
            <v>40781</v>
          </cell>
          <cell r="BB123">
            <v>56543</v>
          </cell>
          <cell r="BC123">
            <v>83661</v>
          </cell>
          <cell r="BD123">
            <v>180985</v>
          </cell>
          <cell r="BE123">
            <v>98689</v>
          </cell>
          <cell r="BF123">
            <v>109454</v>
          </cell>
          <cell r="BG123">
            <v>140945</v>
          </cell>
          <cell r="BH123">
            <v>349088</v>
          </cell>
          <cell r="BI123">
            <v>151978</v>
          </cell>
          <cell r="BJ123">
            <v>166382</v>
          </cell>
          <cell r="BK123">
            <v>188011</v>
          </cell>
          <cell r="BL123">
            <v>506371</v>
          </cell>
          <cell r="BM123">
            <v>202720</v>
          </cell>
          <cell r="BN123">
            <v>218171</v>
          </cell>
          <cell r="BO123">
            <v>227764</v>
          </cell>
          <cell r="BP123">
            <v>648655</v>
          </cell>
        </row>
        <row r="124">
          <cell r="A124" t="str">
            <v xml:space="preserve">  % Change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</row>
        <row r="125">
          <cell r="A125" t="str">
            <v>NRx</v>
          </cell>
          <cell r="AW125">
            <v>47</v>
          </cell>
          <cell r="AX125">
            <v>3242</v>
          </cell>
          <cell r="AY125">
            <v>16923</v>
          </cell>
          <cell r="AZ125">
            <v>20212</v>
          </cell>
          <cell r="BA125">
            <v>32083</v>
          </cell>
          <cell r="BB125">
            <v>36410</v>
          </cell>
          <cell r="BC125">
            <v>45574</v>
          </cell>
          <cell r="BD125">
            <v>114067</v>
          </cell>
          <cell r="BE125">
            <v>47674</v>
          </cell>
          <cell r="BF125">
            <v>50497</v>
          </cell>
          <cell r="BG125">
            <v>62600</v>
          </cell>
          <cell r="BH125">
            <v>160771</v>
          </cell>
          <cell r="BI125">
            <v>63102</v>
          </cell>
          <cell r="BJ125">
            <v>65504</v>
          </cell>
          <cell r="BK125">
            <v>71008</v>
          </cell>
          <cell r="BL125">
            <v>199614</v>
          </cell>
          <cell r="BM125">
            <v>73893</v>
          </cell>
          <cell r="BN125">
            <v>77090</v>
          </cell>
          <cell r="BO125">
            <v>80739</v>
          </cell>
          <cell r="BP125">
            <v>231722</v>
          </cell>
        </row>
        <row r="126">
          <cell r="A126" t="str">
            <v xml:space="preserve">  % Change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</row>
        <row r="127">
          <cell r="A127" t="str">
            <v>Total Market-31150</v>
          </cell>
          <cell r="Q127">
            <v>1157332</v>
          </cell>
          <cell r="R127">
            <v>1198024</v>
          </cell>
          <cell r="S127">
            <v>1132777</v>
          </cell>
          <cell r="T127">
            <v>3488133</v>
          </cell>
          <cell r="U127">
            <v>1258003</v>
          </cell>
          <cell r="V127">
            <v>1228807</v>
          </cell>
          <cell r="W127">
            <v>1299137</v>
          </cell>
          <cell r="X127">
            <v>3785947</v>
          </cell>
          <cell r="Y127">
            <v>1337998</v>
          </cell>
          <cell r="Z127">
            <v>1244241</v>
          </cell>
          <cell r="AA127">
            <v>1374329</v>
          </cell>
          <cell r="AB127">
            <v>3956568</v>
          </cell>
          <cell r="AC127">
            <v>1429230</v>
          </cell>
          <cell r="AD127">
            <v>1473698</v>
          </cell>
          <cell r="AE127">
            <v>1418671</v>
          </cell>
          <cell r="AF127">
            <v>4321599</v>
          </cell>
          <cell r="AG127">
            <v>1541743</v>
          </cell>
          <cell r="AH127">
            <v>1533417</v>
          </cell>
          <cell r="AI127">
            <v>1479921</v>
          </cell>
          <cell r="AJ127">
            <v>4555081</v>
          </cell>
          <cell r="AK127">
            <v>1578758</v>
          </cell>
          <cell r="AL127">
            <v>1532473</v>
          </cell>
          <cell r="AM127">
            <v>1666064</v>
          </cell>
          <cell r="AN127">
            <v>4777295</v>
          </cell>
          <cell r="AO127">
            <v>1664054</v>
          </cell>
          <cell r="AP127">
            <v>1546269</v>
          </cell>
          <cell r="AQ127">
            <v>1716587</v>
          </cell>
          <cell r="AR127">
            <v>4926910</v>
          </cell>
          <cell r="AS127">
            <v>1702731</v>
          </cell>
          <cell r="AT127">
            <v>1780893</v>
          </cell>
          <cell r="AU127">
            <v>1774285</v>
          </cell>
          <cell r="AV127">
            <v>5257909</v>
          </cell>
          <cell r="AW127">
            <v>1855132</v>
          </cell>
          <cell r="AX127">
            <v>1833897</v>
          </cell>
          <cell r="AY127">
            <v>1867464</v>
          </cell>
          <cell r="AZ127">
            <v>5556493</v>
          </cell>
          <cell r="BA127">
            <v>1980679</v>
          </cell>
          <cell r="BB127">
            <v>1885215</v>
          </cell>
          <cell r="BC127">
            <v>2136022</v>
          </cell>
          <cell r="BD127">
            <v>6001916</v>
          </cell>
          <cell r="BE127">
            <v>2099461</v>
          </cell>
          <cell r="BF127">
            <v>1985907</v>
          </cell>
          <cell r="BG127">
            <v>2236468</v>
          </cell>
          <cell r="BH127">
            <v>6321836</v>
          </cell>
          <cell r="BI127">
            <v>2176974</v>
          </cell>
          <cell r="BJ127">
            <v>2186752</v>
          </cell>
          <cell r="BK127">
            <v>2307703</v>
          </cell>
          <cell r="BL127">
            <v>6671429</v>
          </cell>
          <cell r="BM127">
            <v>2319331</v>
          </cell>
          <cell r="BN127">
            <v>2356352</v>
          </cell>
          <cell r="BO127">
            <v>2331924</v>
          </cell>
          <cell r="BP127">
            <v>7007607</v>
          </cell>
        </row>
        <row r="128">
          <cell r="A128" t="str">
            <v>New Market-31150</v>
          </cell>
          <cell r="Q128">
            <v>358777</v>
          </cell>
          <cell r="R128">
            <v>371428</v>
          </cell>
          <cell r="S128">
            <v>343579</v>
          </cell>
          <cell r="T128">
            <v>1073784</v>
          </cell>
          <cell r="U128">
            <v>395331</v>
          </cell>
          <cell r="V128">
            <v>383134</v>
          </cell>
          <cell r="W128">
            <v>396933</v>
          </cell>
          <cell r="X128">
            <v>1175398</v>
          </cell>
          <cell r="Y128">
            <v>439598</v>
          </cell>
          <cell r="Z128">
            <v>413235</v>
          </cell>
          <cell r="AA128">
            <v>448549</v>
          </cell>
          <cell r="AB128">
            <v>1301382</v>
          </cell>
          <cell r="AC128">
            <v>464579</v>
          </cell>
          <cell r="AD128">
            <v>469760</v>
          </cell>
          <cell r="AE128">
            <v>443926</v>
          </cell>
          <cell r="AF128">
            <v>1378265</v>
          </cell>
          <cell r="AG128">
            <v>483005</v>
          </cell>
          <cell r="AH128">
            <v>470818</v>
          </cell>
          <cell r="AI128">
            <v>446393</v>
          </cell>
          <cell r="AJ128">
            <v>1400216</v>
          </cell>
          <cell r="AK128">
            <v>488337</v>
          </cell>
          <cell r="AL128">
            <v>468527</v>
          </cell>
          <cell r="AM128">
            <v>508430</v>
          </cell>
          <cell r="AN128">
            <v>1465294</v>
          </cell>
          <cell r="AO128">
            <v>541961</v>
          </cell>
          <cell r="AP128">
            <v>506946</v>
          </cell>
          <cell r="AQ128">
            <v>553122</v>
          </cell>
          <cell r="AR128">
            <v>1602029</v>
          </cell>
          <cell r="AS128">
            <v>539717</v>
          </cell>
          <cell r="AT128">
            <v>560435</v>
          </cell>
          <cell r="AU128">
            <v>560547</v>
          </cell>
          <cell r="AV128">
            <v>1660699</v>
          </cell>
          <cell r="AW128">
            <v>581357</v>
          </cell>
          <cell r="AX128">
            <v>558173</v>
          </cell>
          <cell r="AY128">
            <v>581876</v>
          </cell>
          <cell r="AZ128">
            <v>1721406</v>
          </cell>
          <cell r="BA128">
            <v>634308</v>
          </cell>
          <cell r="BB128">
            <v>588621</v>
          </cell>
          <cell r="BC128">
            <v>667564</v>
          </cell>
          <cell r="BD128">
            <v>1890493</v>
          </cell>
          <cell r="BE128">
            <v>672261</v>
          </cell>
          <cell r="BF128">
            <v>647724</v>
          </cell>
          <cell r="BG128">
            <v>733429</v>
          </cell>
          <cell r="BH128">
            <v>2053414</v>
          </cell>
          <cell r="BI128">
            <v>705214</v>
          </cell>
          <cell r="BJ128">
            <v>697148</v>
          </cell>
          <cell r="BK128">
            <v>732228</v>
          </cell>
          <cell r="BL128">
            <v>2134590</v>
          </cell>
          <cell r="BM128">
            <v>718579</v>
          </cell>
          <cell r="BN128">
            <v>726273</v>
          </cell>
          <cell r="BO128">
            <v>724901</v>
          </cell>
          <cell r="BP128">
            <v>2169753</v>
          </cell>
        </row>
        <row r="129">
          <cell r="A129" t="str">
            <v>TRx Market Growth</v>
          </cell>
          <cell r="AG129">
            <v>0.33215274441560427</v>
          </cell>
          <cell r="AH129">
            <v>0.27995515949596994</v>
          </cell>
          <cell r="AI129">
            <v>0.30645396225382404</v>
          </cell>
          <cell r="AJ129">
            <v>0.30587939164016964</v>
          </cell>
          <cell r="AK129">
            <v>0.2549715700201034</v>
          </cell>
          <cell r="AL129">
            <v>0.24712261567520377</v>
          </cell>
          <cell r="AM129">
            <v>0.2824390345283061</v>
          </cell>
          <cell r="AN129">
            <v>0.26184941310588861</v>
          </cell>
          <cell r="AO129">
            <v>0.24368945245060147</v>
          </cell>
          <cell r="AP129">
            <v>0.24274075520739147</v>
          </cell>
          <cell r="AQ129">
            <v>0.24903643887307925</v>
          </cell>
          <cell r="AR129">
            <v>0.24524840720543661</v>
          </cell>
          <cell r="AS129">
            <v>0.19136248189584593</v>
          </cell>
          <cell r="AT129">
            <v>0.20845179948673342</v>
          </cell>
          <cell r="AU129">
            <v>0.25066699749272381</v>
          </cell>
          <cell r="AV129">
            <v>0.21665823228855796</v>
          </cell>
          <cell r="AW129">
            <v>0.20326928677477385</v>
          </cell>
          <cell r="AX129">
            <v>0.19595452509004407</v>
          </cell>
          <cell r="AY129">
            <v>0.26186735643321501</v>
          </cell>
          <cell r="AZ129">
            <v>0.21984504776095082</v>
          </cell>
          <cell r="BA129">
            <v>0.25458049935455596</v>
          </cell>
          <cell r="BB129">
            <v>0.23017828046562649</v>
          </cell>
          <cell r="BC129">
            <v>0.28207679897050775</v>
          </cell>
          <cell r="BD129">
            <v>0.25634192571319114</v>
          </cell>
          <cell r="BE129">
            <v>0.26165436938945486</v>
          </cell>
          <cell r="BF129">
            <v>0.28432180946523533</v>
          </cell>
          <cell r="BG129">
            <v>0.30285735590447782</v>
          </cell>
          <cell r="BH129">
            <v>0.28312390524689923</v>
          </cell>
          <cell r="BI129">
            <v>0.27851903794551225</v>
          </cell>
          <cell r="BJ129">
            <v>0.22789634189139951</v>
          </cell>
          <cell r="BK129">
            <v>0.30063828528111314</v>
          </cell>
          <cell r="BL129">
            <v>0.26883690836033858</v>
          </cell>
          <cell r="BM129">
            <v>0.25022424280320754</v>
          </cell>
          <cell r="BN129">
            <v>0.28488786447657644</v>
          </cell>
          <cell r="BO129">
            <v>0.24871162175013817</v>
          </cell>
          <cell r="BP129">
            <v>0.26115645246021191</v>
          </cell>
        </row>
        <row r="130">
          <cell r="A130" t="str">
            <v>NRx Market Growth</v>
          </cell>
          <cell r="AG130">
            <v>0.34625407983231926</v>
          </cell>
          <cell r="AH130">
            <v>0.2675888732136511</v>
          </cell>
          <cell r="AI130">
            <v>0.29924413308147479</v>
          </cell>
          <cell r="AJ130">
            <v>0.30400154965989445</v>
          </cell>
          <cell r="AK130">
            <v>0.23526108501483578</v>
          </cell>
          <cell r="AL130">
            <v>0.22288024555377484</v>
          </cell>
          <cell r="AM130">
            <v>0.28089627216683932</v>
          </cell>
          <cell r="AN130">
            <v>0.24663645845917714</v>
          </cell>
          <cell r="AO130">
            <v>0.23285592746099848</v>
          </cell>
          <cell r="AP130">
            <v>0.22677411158299754</v>
          </cell>
          <cell r="AQ130">
            <v>0.23313617910194884</v>
          </cell>
          <cell r="AR130">
            <v>0.23102132963265198</v>
          </cell>
          <cell r="AS130">
            <v>0.16173352648311701</v>
          </cell>
          <cell r="AT130">
            <v>0.19302409741144411</v>
          </cell>
          <cell r="AU130">
            <v>0.26270369385888648</v>
          </cell>
          <cell r="AV130">
            <v>0.204919953709918</v>
          </cell>
          <cell r="AW130">
            <v>0.20362522127100124</v>
          </cell>
          <cell r="AX130">
            <v>0.18553878568788784</v>
          </cell>
          <cell r="AY130">
            <v>0.30350610336631623</v>
          </cell>
          <cell r="AZ130">
            <v>0.22938603758277298</v>
          </cell>
          <cell r="BA130">
            <v>0.29891447914042968</v>
          </cell>
          <cell r="BB130">
            <v>0.2563224744785253</v>
          </cell>
          <cell r="BC130">
            <v>0.31299097220856353</v>
          </cell>
          <cell r="BD130">
            <v>0.2901799911826568</v>
          </cell>
          <cell r="BE130">
            <v>0.24042320388367422</v>
          </cell>
          <cell r="BF130">
            <v>0.27769821637807568</v>
          </cell>
          <cell r="BG130">
            <v>0.3259805250921135</v>
          </cell>
          <cell r="BH130">
            <v>0.28175832023015812</v>
          </cell>
          <cell r="BI130">
            <v>0.30663662623189558</v>
          </cell>
          <cell r="BJ130">
            <v>0.24394086736195986</v>
          </cell>
          <cell r="BK130">
            <v>0.30627405016885301</v>
          </cell>
          <cell r="BL130">
            <v>0.28535634693583845</v>
          </cell>
          <cell r="BM130">
            <v>0.23603740902749948</v>
          </cell>
          <cell r="BN130">
            <v>0.30116110954847342</v>
          </cell>
          <cell r="BO130">
            <v>0.24579979239563077</v>
          </cell>
          <cell r="BP130">
            <v>0.26045395449998421</v>
          </cell>
        </row>
        <row r="131">
          <cell r="A131" t="str">
            <v>TRx Market Share</v>
          </cell>
          <cell r="AW131">
            <v>2.5335124400851261E-5</v>
          </cell>
          <cell r="AX131">
            <v>1.8092619160181842E-3</v>
          </cell>
          <cell r="AY131">
            <v>9.7613662164304105E-3</v>
          </cell>
          <cell r="AZ131">
            <v>3.8862642317735304E-3</v>
          </cell>
          <cell r="BA131">
            <v>2.0589403936730789E-2</v>
          </cell>
          <cell r="BB131">
            <v>2.9992865535230728E-2</v>
          </cell>
          <cell r="BC131">
            <v>3.9166731428796148E-2</v>
          </cell>
          <cell r="BD131">
            <v>3.0154537317749867E-2</v>
          </cell>
          <cell r="BE131">
            <v>4.7006826990356097E-2</v>
          </cell>
          <cell r="BF131">
            <v>5.5115370457931814E-2</v>
          </cell>
          <cell r="BG131">
            <v>6.3021246000389899E-2</v>
          </cell>
          <cell r="BH131">
            <v>5.5219401452362891E-2</v>
          </cell>
          <cell r="BI131">
            <v>6.9811582499377578E-2</v>
          </cell>
          <cell r="BJ131">
            <v>7.6086360044486073E-2</v>
          </cell>
          <cell r="BK131">
            <v>8.1471055850774562E-2</v>
          </cell>
          <cell r="BL131">
            <v>7.5901429813612642E-2</v>
          </cell>
          <cell r="BM131">
            <v>8.7404514491463275E-2</v>
          </cell>
          <cell r="BN131">
            <v>9.2588458770166762E-2</v>
          </cell>
          <cell r="BO131">
            <v>9.7672136827786846E-2</v>
          </cell>
          <cell r="BP131">
            <v>9.2564408934462217E-2</v>
          </cell>
        </row>
        <row r="132">
          <cell r="A132" t="str">
            <v>NRx Market Share</v>
          </cell>
          <cell r="AW132">
            <v>8.0845332558135533E-5</v>
          </cell>
          <cell r="AX132">
            <v>5.8082350812382541E-3</v>
          </cell>
          <cell r="AY132">
            <v>2.9083516075589989E-2</v>
          </cell>
          <cell r="AZ132">
            <v>1.1741564744168429E-2</v>
          </cell>
          <cell r="BA132">
            <v>5.0579529187713225E-2</v>
          </cell>
          <cell r="BB132">
            <v>6.1856440731812151E-2</v>
          </cell>
          <cell r="BC132">
            <v>6.8269109778238496E-2</v>
          </cell>
          <cell r="BD132">
            <v>6.0337171309282817E-2</v>
          </cell>
          <cell r="BE132">
            <v>7.0915909148381362E-2</v>
          </cell>
          <cell r="BF132">
            <v>7.7960674608320832E-2</v>
          </cell>
          <cell r="BG132">
            <v>8.5352501741818229E-2</v>
          </cell>
          <cell r="BH132">
            <v>7.8294489080136781E-2</v>
          </cell>
          <cell r="BI132">
            <v>8.9479221909945061E-2</v>
          </cell>
          <cell r="BJ132">
            <v>9.3959962590439913E-2</v>
          </cell>
          <cell r="BK132">
            <v>9.6975259072310804E-2</v>
          </cell>
          <cell r="BL132">
            <v>9.3513976922968811E-2</v>
          </cell>
          <cell r="BM132">
            <v>0.10283211727590147</v>
          </cell>
          <cell r="BN132">
            <v>0.10614465910201812</v>
          </cell>
          <cell r="BO132">
            <v>0.11137934697289699</v>
          </cell>
          <cell r="BP132">
            <v>0.10679648789516595</v>
          </cell>
        </row>
        <row r="133">
          <cell r="A133" t="str">
            <v>Sales (IMS)</v>
          </cell>
          <cell r="AW133">
            <v>8.2833000000000004E-2</v>
          </cell>
          <cell r="AX133">
            <v>2.4865240000000002</v>
          </cell>
          <cell r="AY133">
            <v>1.596698</v>
          </cell>
          <cell r="AZ133">
            <v>4.1660550000000001</v>
          </cell>
          <cell r="BA133">
            <v>2.3822030000000001</v>
          </cell>
          <cell r="BB133">
            <v>3.2243140000000001</v>
          </cell>
          <cell r="BC133">
            <v>4.9566600000000003</v>
          </cell>
          <cell r="BD133">
            <v>10.563177000000001</v>
          </cell>
          <cell r="BE133">
            <v>5.0516040000000002</v>
          </cell>
          <cell r="BF133">
            <v>5.861383</v>
          </cell>
          <cell r="BG133">
            <v>8.4533559999999994</v>
          </cell>
          <cell r="BH133">
            <v>19.366343000000001</v>
          </cell>
          <cell r="BI133">
            <v>7.3799000000000001</v>
          </cell>
          <cell r="BJ133">
            <v>8.2324929999999998</v>
          </cell>
          <cell r="BK133">
            <v>10.951862</v>
          </cell>
          <cell r="BL133">
            <v>26.564254999999999</v>
          </cell>
          <cell r="BM133">
            <v>9.3172270000000008</v>
          </cell>
          <cell r="BN133">
            <v>9.9111239999999992</v>
          </cell>
        </row>
        <row r="134">
          <cell r="A134" t="str">
            <v xml:space="preserve">  % Change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0</v>
          </cell>
        </row>
        <row r="135">
          <cell r="A135" t="str">
            <v>Price Change (YoY)</v>
          </cell>
          <cell r="AB135">
            <v>0</v>
          </cell>
          <cell r="AF135">
            <v>0</v>
          </cell>
          <cell r="AJ135">
            <v>0</v>
          </cell>
          <cell r="AN135">
            <v>0</v>
          </cell>
          <cell r="AR135">
            <v>0</v>
          </cell>
        </row>
        <row r="136">
          <cell r="BC136">
            <v>6.8536206209722089E-2</v>
          </cell>
          <cell r="BD136">
            <v>6.3418452548640147E-2</v>
          </cell>
          <cell r="BE136">
            <v>7.3226262353208255E-2</v>
          </cell>
          <cell r="BF136">
            <v>7.7793319596970986E-2</v>
          </cell>
          <cell r="BG136">
            <v>8.2326643483754555E-2</v>
          </cell>
          <cell r="BH136">
            <v>7.7858462706578646E-2</v>
          </cell>
          <cell r="BI136">
            <v>8.6613654990010169E-2</v>
          </cell>
          <cell r="BJ136">
            <v>9.0018271573219288E-2</v>
          </cell>
          <cell r="BK136">
            <v>9.3770572462846161E-2</v>
          </cell>
          <cell r="BL136">
            <v>9.0194546088934582E-2</v>
          </cell>
          <cell r="BM136">
            <v>9.7811087581976361E-2</v>
          </cell>
          <cell r="BN136">
            <v>0.10111571799110187</v>
          </cell>
          <cell r="BO136">
            <v>0.10459243840292783</v>
          </cell>
        </row>
        <row r="137">
          <cell r="A137" t="str">
            <v>TRx BENICAR FRANCHISE</v>
          </cell>
          <cell r="AD137">
            <v>2772</v>
          </cell>
          <cell r="AE137">
            <v>12465</v>
          </cell>
          <cell r="AF137">
            <v>15237</v>
          </cell>
          <cell r="AG137">
            <v>25192</v>
          </cell>
          <cell r="AH137">
            <v>39471</v>
          </cell>
          <cell r="AI137">
            <v>51815</v>
          </cell>
          <cell r="AJ137">
            <v>116478</v>
          </cell>
          <cell r="AK137">
            <v>70583</v>
          </cell>
          <cell r="AL137">
            <v>84980</v>
          </cell>
          <cell r="AM137">
            <v>106363</v>
          </cell>
          <cell r="AN137">
            <v>261926</v>
          </cell>
          <cell r="AO137">
            <v>117227</v>
          </cell>
          <cell r="AP137">
            <v>120900</v>
          </cell>
          <cell r="AQ137">
            <v>145529</v>
          </cell>
          <cell r="AR137">
            <v>383656</v>
          </cell>
          <cell r="AS137">
            <v>160697</v>
          </cell>
          <cell r="AT137">
            <v>183200</v>
          </cell>
          <cell r="AU137">
            <v>195272</v>
          </cell>
          <cell r="AV137">
            <v>539169</v>
          </cell>
          <cell r="AW137">
            <v>217710</v>
          </cell>
          <cell r="AX137">
            <v>228236</v>
          </cell>
          <cell r="AY137">
            <v>254871</v>
          </cell>
          <cell r="AZ137">
            <v>700817</v>
          </cell>
          <cell r="BA137">
            <v>299310</v>
          </cell>
          <cell r="BB137">
            <v>307637</v>
          </cell>
          <cell r="BC137">
            <v>375231</v>
          </cell>
          <cell r="BD137">
            <v>982178</v>
          </cell>
          <cell r="BE137">
            <v>390614</v>
          </cell>
          <cell r="BF137">
            <v>390089</v>
          </cell>
          <cell r="BG137">
            <v>461298</v>
          </cell>
          <cell r="BH137">
            <v>1242001</v>
          </cell>
          <cell r="BI137">
            <v>468493</v>
          </cell>
          <cell r="BJ137">
            <v>486313</v>
          </cell>
          <cell r="BK137">
            <v>532866</v>
          </cell>
          <cell r="BL137">
            <v>1487672</v>
          </cell>
          <cell r="BM137">
            <v>556625</v>
          </cell>
          <cell r="BN137">
            <v>584254</v>
          </cell>
          <cell r="BO137">
            <v>595127</v>
          </cell>
          <cell r="BP137">
            <v>1736006</v>
          </cell>
        </row>
        <row r="138">
          <cell r="A138" t="str">
            <v xml:space="preserve">  % Change</v>
          </cell>
          <cell r="AV138">
            <v>0</v>
          </cell>
          <cell r="AW138">
            <v>7.6420292156240084</v>
          </cell>
          <cell r="AX138">
            <v>4.782371867953688</v>
          </cell>
          <cell r="AY138">
            <v>3.9188651934767922</v>
          </cell>
          <cell r="AZ138">
            <v>5.0167327735709746</v>
          </cell>
          <cell r="BA138">
            <v>3.2405395066800784</v>
          </cell>
          <cell r="BB138">
            <v>2.6201106142621793</v>
          </cell>
          <cell r="BC138">
            <v>2.5278339272115304</v>
          </cell>
          <cell r="BD138">
            <v>2.7498301046860565</v>
          </cell>
          <cell r="BE138">
            <v>2.3321163213252918</v>
          </cell>
          <cell r="BF138">
            <v>2.2265425971877586</v>
          </cell>
          <cell r="BG138">
            <v>2.1698012080066515</v>
          </cell>
          <cell r="BH138">
            <v>2.2372776654085951</v>
          </cell>
          <cell r="BI138">
            <v>1.9153811209916798</v>
          </cell>
          <cell r="BJ138">
            <v>1.6545469432314412</v>
          </cell>
          <cell r="BK138">
            <v>1.7288397722151667</v>
          </cell>
          <cell r="BL138">
            <v>1.7591942415086921</v>
          </cell>
          <cell r="BM138">
            <v>1.5567268384548254</v>
          </cell>
          <cell r="BN138">
            <v>1.5598678560787955</v>
          </cell>
          <cell r="BO138">
            <v>1.3350126142244507</v>
          </cell>
          <cell r="BP138">
            <v>1.4771174215237357</v>
          </cell>
        </row>
        <row r="139">
          <cell r="AW139">
            <v>4914807</v>
          </cell>
          <cell r="AX139">
            <v>4828960</v>
          </cell>
          <cell r="AY139">
            <v>4900687</v>
          </cell>
          <cell r="AZ139">
            <v>14644454</v>
          </cell>
          <cell r="BA139">
            <v>5151561</v>
          </cell>
          <cell r="BB139">
            <v>4860767</v>
          </cell>
          <cell r="BC139">
            <v>5474931</v>
          </cell>
          <cell r="BD139">
            <v>15487259</v>
          </cell>
          <cell r="BE139">
            <v>5334343</v>
          </cell>
          <cell r="BF139">
            <v>5014428</v>
          </cell>
          <cell r="BG139">
            <v>5603265</v>
          </cell>
          <cell r="BH139">
            <v>15952036</v>
          </cell>
          <cell r="BI139">
            <v>5408997</v>
          </cell>
          <cell r="BJ139">
            <v>5402381</v>
          </cell>
          <cell r="BK139">
            <v>5682657</v>
          </cell>
          <cell r="BL139">
            <v>16494035</v>
          </cell>
          <cell r="BM139">
            <v>5690817</v>
          </cell>
          <cell r="BN139">
            <v>5778073</v>
          </cell>
          <cell r="BO139">
            <v>5689962</v>
          </cell>
          <cell r="BP139">
            <v>17158852</v>
          </cell>
        </row>
        <row r="140">
          <cell r="A140" t="str">
            <v>Franchise Price Change (YoY)</v>
          </cell>
          <cell r="AB140">
            <v>0</v>
          </cell>
          <cell r="AF140">
            <v>0</v>
          </cell>
          <cell r="AJ140">
            <v>0</v>
          </cell>
          <cell r="AN140">
            <v>0</v>
          </cell>
          <cell r="AR140">
            <v>0</v>
          </cell>
          <cell r="AV140">
            <v>2.3956657919241398E-2</v>
          </cell>
          <cell r="AZ140">
            <v>2.3956657919241398E-2</v>
          </cell>
          <cell r="BD140">
            <v>2.3956657919241398E-2</v>
          </cell>
          <cell r="BH140">
            <v>0.11373840395098744</v>
          </cell>
          <cell r="BL140">
            <v>8.9781746031746046E-2</v>
          </cell>
          <cell r="BP140">
            <v>8.9781746031746046E-2</v>
          </cell>
        </row>
        <row r="141">
          <cell r="A141" t="str">
            <v xml:space="preserve">TRx + Franchise Price Change </v>
          </cell>
          <cell r="AZ141">
            <v>5.0406894314902164</v>
          </cell>
          <cell r="BD141">
            <v>2.7737867626052979</v>
          </cell>
          <cell r="BH141">
            <v>2.3510160693595825</v>
          </cell>
          <cell r="BL141">
            <v>1.8489759875404381</v>
          </cell>
          <cell r="BP141">
            <v>1.5668991675554818</v>
          </cell>
        </row>
        <row r="143">
          <cell r="A143" t="str">
            <v>TOTAL BENICAR FR. SALES (IMS)</v>
          </cell>
          <cell r="AA143">
            <v>0</v>
          </cell>
          <cell r="AB143">
            <v>0</v>
          </cell>
          <cell r="AC143">
            <v>9.2451000000000005E-2</v>
          </cell>
          <cell r="AD143">
            <v>2.147894</v>
          </cell>
          <cell r="AE143">
            <v>0.778833</v>
          </cell>
          <cell r="AF143">
            <v>3.0191780000000001</v>
          </cell>
          <cell r="AG143">
            <v>1.127338</v>
          </cell>
          <cell r="AH143">
            <v>1.4784790000000001</v>
          </cell>
          <cell r="AI143">
            <v>2.5725340000000001</v>
          </cell>
          <cell r="AJ143">
            <v>5.1783510000000001</v>
          </cell>
          <cell r="AK143">
            <v>2.7334529999999999</v>
          </cell>
          <cell r="AL143">
            <v>3.2626369999999998</v>
          </cell>
          <cell r="AM143">
            <v>4.8363120000000004</v>
          </cell>
          <cell r="AN143">
            <v>10.832402000000002</v>
          </cell>
          <cell r="AO143">
            <v>4.3792210000000003</v>
          </cell>
          <cell r="AP143">
            <v>4.7841279999999999</v>
          </cell>
          <cell r="AQ143">
            <v>6.7579079999999996</v>
          </cell>
          <cell r="AR143">
            <v>15.921257000000001</v>
          </cell>
          <cell r="AS143">
            <v>6.1555939999999998</v>
          </cell>
          <cell r="AT143">
            <v>6.6956959999999999</v>
          </cell>
          <cell r="AU143">
            <v>9.5983079999999994</v>
          </cell>
          <cell r="AV143">
            <v>22.449598000000002</v>
          </cell>
          <cell r="AW143">
            <v>8.4611820000000009</v>
          </cell>
          <cell r="AX143">
            <v>11.412965</v>
          </cell>
          <cell r="AY143">
            <v>13.142636</v>
          </cell>
          <cell r="AZ143">
            <v>33.016783000000004</v>
          </cell>
          <cell r="BA143">
            <v>12.254242</v>
          </cell>
          <cell r="BB143">
            <v>13.656330000000001</v>
          </cell>
          <cell r="BC143">
            <v>18.320945000000002</v>
          </cell>
          <cell r="BD143">
            <v>44.231517000000004</v>
          </cell>
          <cell r="BE143">
            <v>17.110030000000002</v>
          </cell>
          <cell r="BF143">
            <v>18.537309999999998</v>
          </cell>
          <cell r="BG143">
            <v>24.864622999999998</v>
          </cell>
          <cell r="BH143">
            <v>60.511962999999994</v>
          </cell>
          <cell r="BI143">
            <v>21.050422000000001</v>
          </cell>
          <cell r="BJ143">
            <v>22.67231</v>
          </cell>
          <cell r="BK143">
            <v>29.205877999999998</v>
          </cell>
          <cell r="BL143">
            <v>72.928609999999992</v>
          </cell>
          <cell r="BM143">
            <v>24.368045000000002</v>
          </cell>
          <cell r="BN143">
            <v>25.508306999999999</v>
          </cell>
        </row>
        <row r="144">
          <cell r="A144" t="str">
            <v xml:space="preserve">  % Change</v>
          </cell>
          <cell r="AV144">
            <v>6.4356656016968863</v>
          </cell>
          <cell r="AW144">
            <v>6.505452668143894</v>
          </cell>
          <cell r="AX144">
            <v>6.7193960820545975</v>
          </cell>
          <cell r="AY144">
            <v>4.1088288823393588</v>
          </cell>
          <cell r="AZ144">
            <v>5.3759260428657702</v>
          </cell>
          <cell r="BA144">
            <v>3.4830629976077878</v>
          </cell>
          <cell r="BB144">
            <v>3.1856725096907814</v>
          </cell>
          <cell r="BC144">
            <v>2.7882057650540331</v>
          </cell>
          <cell r="BD144">
            <v>3.0832602962851636</v>
          </cell>
          <cell r="BE144">
            <v>2.9070944352888337</v>
          </cell>
          <cell r="BF144">
            <v>2.8747520969338609</v>
          </cell>
          <cell r="BG144">
            <v>2.6793373037928303</v>
          </cell>
          <cell r="BH144">
            <v>2.8007026078405737</v>
          </cell>
          <cell r="BI144">
            <v>2.4197222883770442</v>
          </cell>
          <cell r="BJ144">
            <v>2.3861020572021192</v>
          </cell>
          <cell r="BK144">
            <v>2.0428152545219427</v>
          </cell>
          <cell r="BL144">
            <v>2.2485485931641174</v>
          </cell>
          <cell r="BM144">
            <v>1.8799811893893783</v>
          </cell>
          <cell r="BN144">
            <v>1.2350289341989571</v>
          </cell>
        </row>
        <row r="146">
          <cell r="A146" t="str">
            <v>TOTAL BENICAR FR. REPORTED SALES</v>
          </cell>
          <cell r="AF146">
            <v>3</v>
          </cell>
          <cell r="AJ146">
            <v>5.2</v>
          </cell>
          <cell r="AN146">
            <v>10.8</v>
          </cell>
          <cell r="AR146">
            <v>15.9</v>
          </cell>
          <cell r="AV146">
            <v>22.4</v>
          </cell>
          <cell r="AZ146">
            <v>34</v>
          </cell>
          <cell r="BD146">
            <v>37</v>
          </cell>
          <cell r="BH146">
            <v>55</v>
          </cell>
          <cell r="BL146">
            <v>66</v>
          </cell>
          <cell r="BP146">
            <v>77.422662589659197</v>
          </cell>
        </row>
        <row r="147">
          <cell r="A147" t="str">
            <v xml:space="preserve">  % Change</v>
          </cell>
          <cell r="AV147">
            <v>6.4666666666666659</v>
          </cell>
          <cell r="AZ147">
            <v>5.5384615384615383</v>
          </cell>
          <cell r="BD147">
            <v>2.4259259259259256</v>
          </cell>
          <cell r="BH147">
            <v>2.459119496855346</v>
          </cell>
          <cell r="BL147">
            <v>1.9464285714285716</v>
          </cell>
          <cell r="BP147">
            <v>1.2771371349899763</v>
          </cell>
        </row>
        <row r="149">
          <cell r="A149" t="str">
            <v>REPORTED SALES/TRx BENICAR FR.</v>
          </cell>
          <cell r="AV149">
            <v>41.545415259408458</v>
          </cell>
          <cell r="AZ149">
            <v>48.514804863466495</v>
          </cell>
          <cell r="BD149">
            <v>37.671379322281702</v>
          </cell>
          <cell r="BH149">
            <v>44.283378193737363</v>
          </cell>
          <cell r="BL149">
            <v>44.364618007195133</v>
          </cell>
          <cell r="BP149">
            <v>44.598153802267504</v>
          </cell>
        </row>
        <row r="150">
          <cell r="A150" t="str">
            <v>IMS SALES/REPORTED SALES</v>
          </cell>
          <cell r="AV150">
            <v>1.0022141964285716</v>
          </cell>
          <cell r="AZ150">
            <v>0.97108185294117655</v>
          </cell>
          <cell r="BD150">
            <v>1.1954464054054055</v>
          </cell>
          <cell r="BH150">
            <v>1.100217509090909</v>
          </cell>
          <cell r="BL150">
            <v>1.1049789393939393</v>
          </cell>
        </row>
        <row r="152">
          <cell r="A152" t="str">
            <v>LEVOTHROID</v>
          </cell>
        </row>
        <row r="153">
          <cell r="A153" t="str">
            <v>TRx</v>
          </cell>
          <cell r="D153">
            <v>419540</v>
          </cell>
          <cell r="E153">
            <v>444735</v>
          </cell>
          <cell r="F153">
            <v>438160</v>
          </cell>
          <cell r="G153">
            <v>444910</v>
          </cell>
          <cell r="H153">
            <v>1327805</v>
          </cell>
          <cell r="I153">
            <v>468823</v>
          </cell>
          <cell r="J153">
            <v>429334</v>
          </cell>
          <cell r="K153">
            <v>471734</v>
          </cell>
          <cell r="L153">
            <v>1369891</v>
          </cell>
          <cell r="M153">
            <v>462592</v>
          </cell>
          <cell r="N153">
            <v>504956</v>
          </cell>
          <cell r="O153">
            <v>508852</v>
          </cell>
          <cell r="P153">
            <v>1476400</v>
          </cell>
          <cell r="Q153">
            <v>537399</v>
          </cell>
          <cell r="R153">
            <v>553249</v>
          </cell>
          <cell r="S153">
            <v>528539</v>
          </cell>
          <cell r="T153">
            <v>1619187</v>
          </cell>
          <cell r="U153">
            <v>591731</v>
          </cell>
          <cell r="V153">
            <v>579829</v>
          </cell>
          <cell r="W153">
            <v>595180</v>
          </cell>
          <cell r="X153">
            <v>1766740</v>
          </cell>
          <cell r="Y153">
            <v>623715</v>
          </cell>
          <cell r="Z153">
            <v>572622</v>
          </cell>
          <cell r="AA153">
            <v>613725</v>
          </cell>
          <cell r="AB153">
            <v>1810062</v>
          </cell>
          <cell r="AC153">
            <v>635444</v>
          </cell>
          <cell r="AD153">
            <v>644567</v>
          </cell>
          <cell r="AE153">
            <v>619903</v>
          </cell>
          <cell r="AF153">
            <v>1899914</v>
          </cell>
          <cell r="AG153">
            <v>670158</v>
          </cell>
          <cell r="AH153">
            <v>664731</v>
          </cell>
          <cell r="AI153">
            <v>640610</v>
          </cell>
          <cell r="AJ153">
            <v>1975499</v>
          </cell>
          <cell r="AK153">
            <v>665551</v>
          </cell>
          <cell r="AL153">
            <v>627189</v>
          </cell>
          <cell r="AM153">
            <v>655983</v>
          </cell>
          <cell r="AN153">
            <v>1948723</v>
          </cell>
          <cell r="AO153">
            <v>636248</v>
          </cell>
          <cell r="AP153">
            <v>579873</v>
          </cell>
          <cell r="AQ153">
            <v>634302</v>
          </cell>
          <cell r="AR153">
            <v>1850423</v>
          </cell>
          <cell r="AS153">
            <v>624239</v>
          </cell>
          <cell r="AT153">
            <v>637333</v>
          </cell>
          <cell r="AU153">
            <v>619550</v>
          </cell>
          <cell r="AV153">
            <v>1881122</v>
          </cell>
          <cell r="AW153">
            <v>637607</v>
          </cell>
          <cell r="AX153">
            <v>623938</v>
          </cell>
          <cell r="AY153">
            <v>633589</v>
          </cell>
          <cell r="AZ153">
            <v>1895134</v>
          </cell>
          <cell r="BA153">
            <v>643133</v>
          </cell>
          <cell r="BB153">
            <v>574946</v>
          </cell>
          <cell r="BC153">
            <v>601934</v>
          </cell>
          <cell r="BD153">
            <v>1820013</v>
          </cell>
          <cell r="BE153">
            <v>549240</v>
          </cell>
          <cell r="BF153">
            <v>480989</v>
          </cell>
          <cell r="BG153">
            <v>503570</v>
          </cell>
          <cell r="BH153">
            <v>1533799</v>
          </cell>
          <cell r="BI153">
            <v>463634</v>
          </cell>
          <cell r="BJ153">
            <v>449420</v>
          </cell>
          <cell r="BK153">
            <v>464489</v>
          </cell>
          <cell r="BL153">
            <v>1377543</v>
          </cell>
          <cell r="BM153">
            <v>446214</v>
          </cell>
          <cell r="BN153">
            <v>445173</v>
          </cell>
          <cell r="BO153">
            <v>420357</v>
          </cell>
          <cell r="BP153">
            <v>1311744</v>
          </cell>
        </row>
        <row r="154">
          <cell r="A154" t="str">
            <v xml:space="preserve">  % Change</v>
          </cell>
          <cell r="S154">
            <v>0.25980597797587834</v>
          </cell>
          <cell r="U154">
            <v>0.33052491933398542</v>
          </cell>
          <cell r="V154">
            <v>0.32332709512506841</v>
          </cell>
          <cell r="W154">
            <v>0.33775370299611152</v>
          </cell>
          <cell r="X154">
            <v>0.33057188367267787</v>
          </cell>
          <cell r="Y154">
            <v>0.33038481473818471</v>
          </cell>
          <cell r="Z154">
            <v>0.33374482337760347</v>
          </cell>
          <cell r="AA154">
            <v>0.30099802007063303</v>
          </cell>
          <cell r="AB154">
            <v>0.32131826546783659</v>
          </cell>
          <cell r="AC154">
            <v>0.37365972606530162</v>
          </cell>
          <cell r="AD154">
            <v>0.27648151522112818</v>
          </cell>
          <cell r="AE154">
            <v>0.21823830897785612</v>
          </cell>
          <cell r="AF154">
            <v>0.28685586561907339</v>
          </cell>
          <cell r="AG154">
            <v>0.24703990889450855</v>
          </cell>
          <cell r="AH154">
            <v>0.20150420515897904</v>
          </cell>
          <cell r="AI154">
            <v>0.21203922510921625</v>
          </cell>
          <cell r="AJ154">
            <v>0.22005611458095942</v>
          </cell>
          <cell r="AK154">
            <v>0.12475263253066005</v>
          </cell>
          <cell r="AL154">
            <v>8.1679253711007815E-2</v>
          </cell>
          <cell r="AM154">
            <v>0.10215901071944611</v>
          </cell>
          <cell r="AN154">
            <v>0.10300496960503525</v>
          </cell>
          <cell r="AO154">
            <v>2.0094113497350463E-2</v>
          </cell>
          <cell r="AP154">
            <v>1.2662803734400763E-2</v>
          </cell>
          <cell r="AQ154">
            <v>3.352804594891845E-2</v>
          </cell>
          <cell r="AR154">
            <v>2.2298131224234297E-2</v>
          </cell>
          <cell r="AS154">
            <v>-1.7633339837971551E-2</v>
          </cell>
          <cell r="AT154">
            <v>-1.1223038101547234E-2</v>
          </cell>
          <cell r="AU154">
            <v>-5.6944392913083064E-4</v>
          </cell>
          <cell r="AV154">
            <v>-9.890974012507936E-3</v>
          </cell>
          <cell r="AW154">
            <v>-4.8572127766884798E-2</v>
          </cell>
          <cell r="AX154">
            <v>-6.1367681061963442E-2</v>
          </cell>
          <cell r="AY154">
            <v>-1.0959866377359129E-2</v>
          </cell>
          <cell r="AZ154">
            <v>-4.0680860886287418E-2</v>
          </cell>
          <cell r="BA154">
            <v>-3.3683369118219342E-2</v>
          </cell>
          <cell r="BB154">
            <v>-8.3297060375740029E-2</v>
          </cell>
          <cell r="BC154">
            <v>-8.2393903500547983E-2</v>
          </cell>
          <cell r="BD154">
            <v>-6.6048381427221803E-2</v>
          </cell>
          <cell r="BE154">
            <v>-0.13675170688159333</v>
          </cell>
          <cell r="BF154">
            <v>-0.17052699470401278</v>
          </cell>
          <cell r="BG154">
            <v>-0.20610371715681175</v>
          </cell>
          <cell r="BH154">
            <v>-0.17110898427008314</v>
          </cell>
          <cell r="BI154">
            <v>-0.25728126566907872</v>
          </cell>
          <cell r="BJ154">
            <v>-0.29484272742820472</v>
          </cell>
          <cell r="BK154">
            <v>-0.250280041965943</v>
          </cell>
          <cell r="BL154">
            <v>-0.26770140373670603</v>
          </cell>
          <cell r="BM154">
            <v>-0.30017393159108985</v>
          </cell>
          <cell r="BN154">
            <v>-0.28651083921799925</v>
          </cell>
          <cell r="BO154">
            <v>-0.3365462468571897</v>
          </cell>
          <cell r="BP154">
            <v>-0.30783575198376478</v>
          </cell>
        </row>
        <row r="155">
          <cell r="A155" t="str">
            <v>72120:THYROID HORMONE,SYNTH</v>
          </cell>
          <cell r="C155">
            <v>6196443</v>
          </cell>
          <cell r="D155">
            <v>5917306</v>
          </cell>
          <cell r="E155">
            <v>6233772</v>
          </cell>
          <cell r="F155">
            <v>6052562</v>
          </cell>
          <cell r="G155">
            <v>6200450</v>
          </cell>
          <cell r="H155">
            <v>18486784</v>
          </cell>
          <cell r="I155">
            <v>6412909</v>
          </cell>
          <cell r="J155">
            <v>5787084</v>
          </cell>
          <cell r="K155">
            <v>6428879</v>
          </cell>
          <cell r="L155">
            <v>18628872</v>
          </cell>
          <cell r="M155">
            <v>6195112</v>
          </cell>
          <cell r="N155">
            <v>6520548</v>
          </cell>
          <cell r="O155">
            <v>6302860</v>
          </cell>
          <cell r="P155">
            <v>19018520</v>
          </cell>
          <cell r="Q155">
            <v>6498146</v>
          </cell>
          <cell r="R155">
            <v>6590145</v>
          </cell>
          <cell r="S155">
            <v>6158087</v>
          </cell>
          <cell r="T155">
            <v>19246378</v>
          </cell>
          <cell r="U155">
            <v>6708728</v>
          </cell>
          <cell r="V155">
            <v>6403003</v>
          </cell>
          <cell r="W155">
            <v>6562322</v>
          </cell>
          <cell r="X155">
            <v>19674053</v>
          </cell>
          <cell r="Y155">
            <v>6706076</v>
          </cell>
          <cell r="Z155">
            <v>6108459</v>
          </cell>
          <cell r="AA155">
            <v>6597018</v>
          </cell>
          <cell r="AB155">
            <v>19411553</v>
          </cell>
          <cell r="AC155">
            <v>6782572</v>
          </cell>
          <cell r="AD155">
            <v>6854861</v>
          </cell>
          <cell r="AE155">
            <v>6499368</v>
          </cell>
          <cell r="AF155">
            <v>20136801</v>
          </cell>
          <cell r="AG155">
            <v>6957734</v>
          </cell>
          <cell r="AH155">
            <v>6836151</v>
          </cell>
          <cell r="AI155">
            <v>6577454</v>
          </cell>
          <cell r="AJ155">
            <v>20371339</v>
          </cell>
          <cell r="AK155">
            <v>6927080</v>
          </cell>
          <cell r="AL155">
            <v>6617065</v>
          </cell>
          <cell r="AM155">
            <v>7048721</v>
          </cell>
          <cell r="AN155">
            <v>20592866</v>
          </cell>
          <cell r="AO155">
            <v>7002637</v>
          </cell>
          <cell r="AP155">
            <v>7002637</v>
          </cell>
          <cell r="AQ155">
            <v>7008273</v>
          </cell>
          <cell r="AR155">
            <v>21013547</v>
          </cell>
          <cell r="AS155">
            <v>6897446</v>
          </cell>
          <cell r="AT155">
            <v>7101077</v>
          </cell>
          <cell r="AU155">
            <v>6978467</v>
          </cell>
          <cell r="AV155">
            <v>20976990</v>
          </cell>
          <cell r="AW155">
            <v>6978467</v>
          </cell>
          <cell r="AX155">
            <v>6978467</v>
          </cell>
          <cell r="AY155">
            <v>6978467</v>
          </cell>
          <cell r="AZ155">
            <v>20935401</v>
          </cell>
          <cell r="BD155">
            <v>0</v>
          </cell>
          <cell r="BH155">
            <v>0</v>
          </cell>
          <cell r="BL155">
            <v>0</v>
          </cell>
          <cell r="BP155">
            <v>0</v>
          </cell>
        </row>
        <row r="156">
          <cell r="A156" t="str">
            <v>TRx Market Share</v>
          </cell>
          <cell r="H156">
            <v>7.1824553151051046E-2</v>
          </cell>
          <cell r="L156">
            <v>7.3535907058677519E-2</v>
          </cell>
          <cell r="P156">
            <v>7.7629594731871879E-2</v>
          </cell>
          <cell r="T156">
            <v>8.4129439835380973E-2</v>
          </cell>
          <cell r="X156">
            <v>8.980051034730871E-2</v>
          </cell>
          <cell r="AB156">
            <v>9.3246635135272274E-2</v>
          </cell>
          <cell r="AC156">
            <v>9.3687763285078288E-2</v>
          </cell>
          <cell r="AD156">
            <v>9.4030644822703194E-2</v>
          </cell>
          <cell r="AE156">
            <v>9.5378966077932503E-2</v>
          </cell>
          <cell r="AF156">
            <v>9.4350338963969507E-2</v>
          </cell>
          <cell r="AG156">
            <v>9.6318427809973767E-2</v>
          </cell>
          <cell r="AH156">
            <v>9.7237612217752359E-2</v>
          </cell>
          <cell r="AI156">
            <v>9.7394827846762594E-2</v>
          </cell>
          <cell r="AJ156">
            <v>9.6974430595848413E-2</v>
          </cell>
          <cell r="AK156">
            <v>9.607958909093009E-2</v>
          </cell>
          <cell r="AL156">
            <v>9.4783563407643726E-2</v>
          </cell>
          <cell r="AM156">
            <v>9.3064117589559861E-2</v>
          </cell>
          <cell r="AN156">
            <v>9.4630975600967837E-2</v>
          </cell>
          <cell r="AO156">
            <v>9.0858343792488458E-2</v>
          </cell>
          <cell r="AP156">
            <v>8.2807805116843838E-2</v>
          </cell>
          <cell r="AQ156">
            <v>9.050760436986402E-2</v>
          </cell>
          <cell r="AR156">
            <v>8.8058574785113627E-2</v>
          </cell>
          <cell r="AS156">
            <v>9.0502919486430189E-2</v>
          </cell>
          <cell r="AT156">
            <v>8.975159683524063E-2</v>
          </cell>
          <cell r="AU156">
            <v>8.8780243569253819E-2</v>
          </cell>
          <cell r="AV156">
            <v>8.9675496818180295E-2</v>
          </cell>
          <cell r="AW156">
            <v>9.1367774612962985E-2</v>
          </cell>
          <cell r="AX156">
            <v>8.9409034964269371E-2</v>
          </cell>
          <cell r="AY156">
            <v>9.0792003458639262E-2</v>
          </cell>
          <cell r="AZ156">
            <v>9.0522937678623877E-2</v>
          </cell>
          <cell r="BD156" t="e">
            <v>#DIV/0!</v>
          </cell>
          <cell r="BH156" t="e">
            <v>#DIV/0!</v>
          </cell>
          <cell r="BL156" t="e">
            <v>#DIV/0!</v>
          </cell>
          <cell r="BP156" t="e">
            <v>#DIV/0!</v>
          </cell>
        </row>
        <row r="157">
          <cell r="A157" t="str">
            <v>NRx</v>
          </cell>
          <cell r="D157">
            <v>138674</v>
          </cell>
          <cell r="E157">
            <v>146097</v>
          </cell>
          <cell r="F157">
            <v>139245</v>
          </cell>
          <cell r="G157">
            <v>138320</v>
          </cell>
          <cell r="H157">
            <v>423662</v>
          </cell>
          <cell r="I157">
            <v>155247</v>
          </cell>
          <cell r="J157">
            <v>139878</v>
          </cell>
          <cell r="K157">
            <v>152422</v>
          </cell>
          <cell r="L157">
            <v>447547</v>
          </cell>
          <cell r="M157">
            <v>147865</v>
          </cell>
          <cell r="N157">
            <v>164413</v>
          </cell>
          <cell r="O157">
            <v>162027</v>
          </cell>
          <cell r="P157">
            <v>474305</v>
          </cell>
          <cell r="Q157">
            <v>166388</v>
          </cell>
          <cell r="R157">
            <v>169286</v>
          </cell>
          <cell r="S157">
            <v>155763</v>
          </cell>
          <cell r="T157">
            <v>491437</v>
          </cell>
          <cell r="U157">
            <v>178654</v>
          </cell>
          <cell r="V157">
            <v>170723</v>
          </cell>
          <cell r="W157">
            <v>167659</v>
          </cell>
          <cell r="X157">
            <v>517036</v>
          </cell>
          <cell r="Y157">
            <v>187698</v>
          </cell>
          <cell r="Z157">
            <v>171662</v>
          </cell>
          <cell r="AA157">
            <v>180546</v>
          </cell>
          <cell r="AB157">
            <v>539906</v>
          </cell>
          <cell r="AC157">
            <v>184456</v>
          </cell>
          <cell r="AD157">
            <v>185861</v>
          </cell>
          <cell r="AE157">
            <v>176859</v>
          </cell>
          <cell r="AF157">
            <v>547176</v>
          </cell>
          <cell r="AG157">
            <v>191445</v>
          </cell>
          <cell r="AH157">
            <v>184641</v>
          </cell>
          <cell r="AI157">
            <v>173778</v>
          </cell>
          <cell r="AJ157">
            <v>549864</v>
          </cell>
          <cell r="AK157">
            <v>184459</v>
          </cell>
          <cell r="AL157">
            <v>172718</v>
          </cell>
          <cell r="AM157">
            <v>179312</v>
          </cell>
          <cell r="AN157">
            <v>536489</v>
          </cell>
          <cell r="AO157">
            <v>183946</v>
          </cell>
          <cell r="AP157">
            <v>165789</v>
          </cell>
          <cell r="AQ157">
            <v>177424</v>
          </cell>
          <cell r="AR157">
            <v>527159</v>
          </cell>
          <cell r="AS157">
            <v>174817</v>
          </cell>
          <cell r="AT157">
            <v>176227</v>
          </cell>
          <cell r="AU157">
            <v>172555</v>
          </cell>
          <cell r="AV157">
            <v>523599</v>
          </cell>
          <cell r="AW157">
            <v>177497</v>
          </cell>
          <cell r="AX157">
            <v>169453</v>
          </cell>
          <cell r="AY157">
            <v>173394</v>
          </cell>
          <cell r="AZ157">
            <v>520344</v>
          </cell>
          <cell r="BA157">
            <v>176203</v>
          </cell>
          <cell r="BB157">
            <v>150241</v>
          </cell>
          <cell r="BC157">
            <v>165548</v>
          </cell>
          <cell r="BD157">
            <v>491992</v>
          </cell>
          <cell r="BE157">
            <v>173336</v>
          </cell>
          <cell r="BF157">
            <v>154950</v>
          </cell>
          <cell r="BG157">
            <v>160004</v>
          </cell>
          <cell r="BH157">
            <v>488290</v>
          </cell>
          <cell r="BI157">
            <v>143089</v>
          </cell>
          <cell r="BJ157">
            <v>134714</v>
          </cell>
          <cell r="BK157">
            <v>138762</v>
          </cell>
          <cell r="BL157">
            <v>416565</v>
          </cell>
          <cell r="BM157">
            <v>126866</v>
          </cell>
          <cell r="BN157">
            <v>124811</v>
          </cell>
          <cell r="BO157">
            <v>119190</v>
          </cell>
          <cell r="BP157">
            <v>370867</v>
          </cell>
        </row>
        <row r="158">
          <cell r="A158" t="str">
            <v xml:space="preserve">  % Change</v>
          </cell>
          <cell r="S158">
            <v>0.12323146372066862</v>
          </cell>
          <cell r="U158">
            <v>0.2228450960663122</v>
          </cell>
          <cell r="V158">
            <v>0.22606197709073927</v>
          </cell>
          <cell r="W158">
            <v>0.21210960092539044</v>
          </cell>
          <cell r="X158">
            <v>0.22039739226081179</v>
          </cell>
          <cell r="Y158">
            <v>0.20902819378152238</v>
          </cell>
          <cell r="Z158">
            <v>0.22722658316532973</v>
          </cell>
          <cell r="AA158">
            <v>0.18451404652871628</v>
          </cell>
          <cell r="AB158">
            <v>0.20636715250018445</v>
          </cell>
          <cell r="AC158">
            <v>0.24746221215297748</v>
          </cell>
          <cell r="AD158">
            <v>0.13045197155942656</v>
          </cell>
          <cell r="AE158">
            <v>9.1540298839082324E-2</v>
          </cell>
          <cell r="AF158">
            <v>0.15363742739376551</v>
          </cell>
          <cell r="AG158">
            <v>0.15059379282159768</v>
          </cell>
          <cell r="AH158">
            <v>9.070448826246702E-2</v>
          </cell>
          <cell r="AI158">
            <v>0.11565647811097635</v>
          </cell>
          <cell r="AJ158">
            <v>0.11889011205912459</v>
          </cell>
          <cell r="AK158">
            <v>3.2492975248245237E-2</v>
          </cell>
          <cell r="AL158">
            <v>1.1685595965394313E-2</v>
          </cell>
          <cell r="AM158">
            <v>6.9504172158965538E-2</v>
          </cell>
          <cell r="AN158">
            <v>3.7624072598426483E-2</v>
          </cell>
          <cell r="AO158">
            <v>-1.998955769374211E-2</v>
          </cell>
          <cell r="AP158">
            <v>-3.4212580536169934E-2</v>
          </cell>
          <cell r="AQ158">
            <v>-1.7291992068503292E-2</v>
          </cell>
          <cell r="AR158">
            <v>-2.360966538619691E-2</v>
          </cell>
          <cell r="AS158">
            <v>-5.2256364661491084E-2</v>
          </cell>
          <cell r="AT158">
            <v>-5.1834435411409641E-2</v>
          </cell>
          <cell r="AU158">
            <v>-2.4335770302896687E-2</v>
          </cell>
          <cell r="AV158">
            <v>-4.3088512654063771E-2</v>
          </cell>
          <cell r="AW158">
            <v>-7.2856433962756872E-2</v>
          </cell>
          <cell r="AX158">
            <v>-8.2256920185657556E-2</v>
          </cell>
          <cell r="AY158">
            <v>-2.2097158443531439E-3</v>
          </cell>
          <cell r="AZ158">
            <v>-5.3686002356946427E-2</v>
          </cell>
          <cell r="BA158">
            <v>-4.4757913682715422E-2</v>
          </cell>
          <cell r="BB158">
            <v>-0.13013698630136983</v>
          </cell>
          <cell r="BC158">
            <v>-7.6760060676362984E-2</v>
          </cell>
          <cell r="BD158">
            <v>-8.2941122744361939E-2</v>
          </cell>
          <cell r="BE158">
            <v>-5.7679971295923838E-2</v>
          </cell>
          <cell r="BF158">
            <v>-6.5378282033186741E-2</v>
          </cell>
          <cell r="BG158">
            <v>-9.8182883939038734E-2</v>
          </cell>
          <cell r="BH158">
            <v>-7.3732972404910058E-2</v>
          </cell>
          <cell r="BI158">
            <v>-0.18149264659615483</v>
          </cell>
          <cell r="BJ158">
            <v>-0.23556549223444767</v>
          </cell>
          <cell r="BK158">
            <v>-0.19583900785256869</v>
          </cell>
          <cell r="BL158">
            <v>-0.20441979453742276</v>
          </cell>
          <cell r="BM158">
            <v>-0.28524989154746272</v>
          </cell>
          <cell r="BN158">
            <v>-0.26344768165804089</v>
          </cell>
          <cell r="BO158">
            <v>-0.31260597252500089</v>
          </cell>
          <cell r="BP158">
            <v>-0.28726573190043514</v>
          </cell>
        </row>
        <row r="159">
          <cell r="A159" t="str">
            <v>Price Change (YoY)</v>
          </cell>
          <cell r="H159">
            <v>0</v>
          </cell>
          <cell r="L159">
            <v>0</v>
          </cell>
          <cell r="N159">
            <v>0.2</v>
          </cell>
          <cell r="P159">
            <v>0.2</v>
          </cell>
          <cell r="T159">
            <v>0.2</v>
          </cell>
          <cell r="X159">
            <v>0.2</v>
          </cell>
          <cell r="AB159">
            <v>0.2</v>
          </cell>
          <cell r="AE159">
            <v>0.04</v>
          </cell>
          <cell r="AF159">
            <v>0.04</v>
          </cell>
          <cell r="AJ159">
            <v>0.04</v>
          </cell>
          <cell r="AN159">
            <v>0.04</v>
          </cell>
          <cell r="AR159">
            <v>0.04</v>
          </cell>
          <cell r="AV159">
            <v>0</v>
          </cell>
          <cell r="AZ159">
            <v>0</v>
          </cell>
        </row>
        <row r="160">
          <cell r="A160" t="str">
            <v>Sales (IMS)</v>
          </cell>
          <cell r="C160">
            <v>1.133459</v>
          </cell>
          <cell r="D160">
            <v>1.461611</v>
          </cell>
          <cell r="E160">
            <v>1.1977899999999999</v>
          </cell>
          <cell r="F160">
            <v>1.149853</v>
          </cell>
          <cell r="G160">
            <v>1.5587709999999999</v>
          </cell>
          <cell r="H160">
            <v>3.9064139999999998</v>
          </cell>
          <cell r="I160">
            <v>1.3940220000000001</v>
          </cell>
          <cell r="J160">
            <v>1.3266020000000001</v>
          </cell>
          <cell r="K160">
            <v>1.7297659999999999</v>
          </cell>
          <cell r="L160">
            <v>4.4503900000000005</v>
          </cell>
          <cell r="M160">
            <v>1.4793289999999999</v>
          </cell>
          <cell r="N160">
            <v>1.5723290000000001</v>
          </cell>
          <cell r="O160">
            <v>2.378482</v>
          </cell>
          <cell r="P160">
            <v>5.4301399999999997</v>
          </cell>
          <cell r="Q160">
            <v>2.0600010000000002</v>
          </cell>
          <cell r="R160">
            <v>2.7424149999999998</v>
          </cell>
          <cell r="S160">
            <v>3.7250999999999999</v>
          </cell>
          <cell r="T160">
            <v>8.5275160000000003</v>
          </cell>
          <cell r="U160">
            <v>3.1823670000000002</v>
          </cell>
          <cell r="V160">
            <v>3.829002</v>
          </cell>
          <cell r="W160">
            <v>3.8414459999999999</v>
          </cell>
          <cell r="X160">
            <v>10.852815</v>
          </cell>
          <cell r="Y160">
            <v>3.1480009999999998</v>
          </cell>
          <cell r="Z160">
            <v>3.1265869999999998</v>
          </cell>
          <cell r="AA160">
            <v>3.973036</v>
          </cell>
          <cell r="AB160">
            <v>10.247623999999998</v>
          </cell>
          <cell r="AC160">
            <v>3.1394479999999998</v>
          </cell>
          <cell r="AD160">
            <v>3.2578019999999999</v>
          </cell>
          <cell r="AE160">
            <v>4.464639</v>
          </cell>
          <cell r="AF160">
            <v>10.861889</v>
          </cell>
          <cell r="AG160">
            <v>3.7543530000000001</v>
          </cell>
          <cell r="AH160">
            <v>3.626125</v>
          </cell>
          <cell r="AI160">
            <v>4.611739</v>
          </cell>
          <cell r="AJ160">
            <v>11.992217</v>
          </cell>
          <cell r="AK160">
            <v>3.435413</v>
          </cell>
          <cell r="AL160">
            <v>3.636009</v>
          </cell>
          <cell r="AM160">
            <v>4.5572549999999996</v>
          </cell>
          <cell r="AN160">
            <v>11.628677</v>
          </cell>
          <cell r="AO160">
            <v>3.7709130000000002</v>
          </cell>
          <cell r="AP160">
            <v>3.7326350000000001</v>
          </cell>
          <cell r="AQ160">
            <v>4.3554899999999996</v>
          </cell>
          <cell r="AR160">
            <v>11.859038</v>
          </cell>
          <cell r="AS160">
            <v>3.9461119999999998</v>
          </cell>
          <cell r="AT160">
            <v>3.5683310000000001</v>
          </cell>
          <cell r="AU160">
            <v>4.7826139999999997</v>
          </cell>
          <cell r="AV160">
            <v>12.297056999999999</v>
          </cell>
          <cell r="AW160">
            <v>3.8580719999999999</v>
          </cell>
          <cell r="AX160">
            <v>4.2947420000000003</v>
          </cell>
          <cell r="AY160">
            <v>4.657146</v>
          </cell>
          <cell r="AZ160">
            <v>12.80996</v>
          </cell>
          <cell r="BA160">
            <v>3.2949109999999999</v>
          </cell>
          <cell r="BB160">
            <v>2.74552</v>
          </cell>
          <cell r="BC160">
            <v>3.687767</v>
          </cell>
          <cell r="BD160">
            <v>9.728197999999999</v>
          </cell>
          <cell r="BE160">
            <v>3.5103309999999999</v>
          </cell>
          <cell r="BF160">
            <v>3.2985549999999999</v>
          </cell>
          <cell r="BG160">
            <v>3.625826</v>
          </cell>
          <cell r="BH160">
            <v>10.434712000000001</v>
          </cell>
          <cell r="BI160">
            <v>3.2648950000000001</v>
          </cell>
          <cell r="BJ160">
            <v>2.938558</v>
          </cell>
          <cell r="BK160">
            <v>3.7514280000000002</v>
          </cell>
          <cell r="BL160">
            <v>9.9548810000000003</v>
          </cell>
          <cell r="BM160">
            <v>2.7105700000000001</v>
          </cell>
          <cell r="BN160">
            <v>2.6759650000000001</v>
          </cell>
        </row>
        <row r="161">
          <cell r="A161" t="str">
            <v xml:space="preserve">  % Change</v>
          </cell>
          <cell r="S161">
            <v>1.5486261392395102</v>
          </cell>
          <cell r="U161">
            <v>1.6568655607410316</v>
          </cell>
          <cell r="V161">
            <v>2.3299926164474938</v>
          </cell>
          <cell r="W161">
            <v>1.4644068949191382</v>
          </cell>
          <cell r="X161">
            <v>1.778203999883269</v>
          </cell>
          <cell r="Y161">
            <v>1.2582147197103057</v>
          </cell>
          <cell r="Z161">
            <v>1.3568387504315536</v>
          </cell>
          <cell r="AA161">
            <v>1.2968632751481994</v>
          </cell>
          <cell r="AB161">
            <v>1.3026350499619128</v>
          </cell>
          <cell r="AC161">
            <v>1.1222108131456898</v>
          </cell>
          <cell r="AD161">
            <v>1.0719594944823885</v>
          </cell>
          <cell r="AE161">
            <v>0.87709597970470243</v>
          </cell>
          <cell r="AF161">
            <v>1.0002963091191019</v>
          </cell>
          <cell r="AG161">
            <v>0.82250057160166423</v>
          </cell>
          <cell r="AH161">
            <v>0.32223788157518118</v>
          </cell>
          <cell r="AI161">
            <v>0.23801750288582868</v>
          </cell>
          <cell r="AJ161">
            <v>0.40629662846718784</v>
          </cell>
          <cell r="AK161">
            <v>7.9515027650802095E-2</v>
          </cell>
          <cell r="AL161">
            <v>-5.0402950951710102E-2</v>
          </cell>
          <cell r="AM161">
            <v>0.18633842568657721</v>
          </cell>
          <cell r="AN161">
            <v>7.1489470704144464E-2</v>
          </cell>
          <cell r="AO161">
            <v>0.19787541363551031</v>
          </cell>
          <cell r="AP161">
            <v>0.19383692185760393</v>
          </cell>
          <cell r="AQ161">
            <v>9.6262404871236829E-2</v>
          </cell>
          <cell r="AR161">
            <v>0.15724757270563416</v>
          </cell>
          <cell r="AS161">
            <v>0.25694453292425923</v>
          </cell>
          <cell r="AT161">
            <v>9.5318561410423497E-2</v>
          </cell>
          <cell r="AU161">
            <v>7.1220763873629966E-2</v>
          </cell>
          <cell r="AV161">
            <v>0.13212876692074449</v>
          </cell>
          <cell r="AW161">
            <v>2.7626331354563494E-2</v>
          </cell>
          <cell r="AX161">
            <v>0.18438884484125628</v>
          </cell>
          <cell r="AY161">
            <v>9.8459604934277856E-3</v>
          </cell>
          <cell r="AZ161">
            <v>6.8189476558004225E-2</v>
          </cell>
          <cell r="BA161">
            <v>-4.0898139466783223E-2</v>
          </cell>
          <cell r="BB161">
            <v>-0.24490835968777858</v>
          </cell>
          <cell r="BC161">
            <v>-0.19079204477256584</v>
          </cell>
          <cell r="BD161">
            <v>-0.16343037131395088</v>
          </cell>
          <cell r="BE161">
            <v>-6.9103158837130474E-2</v>
          </cell>
          <cell r="BF161">
            <v>-0.11629318162638469</v>
          </cell>
          <cell r="BG161">
            <v>-0.16752741941779214</v>
          </cell>
          <cell r="BH161">
            <v>-0.12010468302740906</v>
          </cell>
          <cell r="BI161">
            <v>-0.17262992028609425</v>
          </cell>
          <cell r="BJ161">
            <v>-0.1764895128843148</v>
          </cell>
          <cell r="BK161">
            <v>-0.21561137904919769</v>
          </cell>
          <cell r="BL161">
            <v>-0.19046638557502005</v>
          </cell>
          <cell r="BM161">
            <v>-0.2974288712082096</v>
          </cell>
          <cell r="BN161">
            <v>-0.37692066252175338</v>
          </cell>
        </row>
        <row r="163">
          <cell r="A163" t="str">
            <v>CERVIDIL</v>
          </cell>
        </row>
        <row r="164">
          <cell r="A164" t="str">
            <v>TRx</v>
          </cell>
          <cell r="Y164">
            <v>4</v>
          </cell>
          <cell r="AB164">
            <v>4</v>
          </cell>
          <cell r="AF164">
            <v>0</v>
          </cell>
          <cell r="AG164">
            <v>3</v>
          </cell>
          <cell r="AH164">
            <v>4</v>
          </cell>
          <cell r="AI164">
            <v>3</v>
          </cell>
          <cell r="AJ164">
            <v>10</v>
          </cell>
          <cell r="AL164">
            <v>2</v>
          </cell>
          <cell r="AM164">
            <v>21</v>
          </cell>
          <cell r="AN164">
            <v>23</v>
          </cell>
          <cell r="AO164">
            <v>4</v>
          </cell>
          <cell r="AR164">
            <v>4</v>
          </cell>
          <cell r="AS164">
            <v>6</v>
          </cell>
          <cell r="AT164">
            <v>4</v>
          </cell>
          <cell r="AV164">
            <v>10</v>
          </cell>
          <cell r="AW164">
            <v>2</v>
          </cell>
          <cell r="AX164">
            <v>6</v>
          </cell>
          <cell r="AY164">
            <v>11</v>
          </cell>
          <cell r="AZ164">
            <v>19</v>
          </cell>
          <cell r="BA164">
            <v>2</v>
          </cell>
          <cell r="BB164">
            <v>0</v>
          </cell>
          <cell r="BC164">
            <v>2</v>
          </cell>
          <cell r="BD164">
            <v>4</v>
          </cell>
          <cell r="BE164">
            <v>6</v>
          </cell>
          <cell r="BF164">
            <v>0</v>
          </cell>
          <cell r="BG164">
            <v>2</v>
          </cell>
          <cell r="BH164">
            <v>8</v>
          </cell>
          <cell r="BI164">
            <v>0</v>
          </cell>
          <cell r="BJ164">
            <v>0</v>
          </cell>
          <cell r="BK164">
            <v>1</v>
          </cell>
        </row>
        <row r="165">
          <cell r="A165" t="str">
            <v xml:space="preserve">  % Change</v>
          </cell>
          <cell r="AV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</row>
        <row r="166">
          <cell r="A166" t="str">
            <v>NRx</v>
          </cell>
          <cell r="Y166">
            <v>4</v>
          </cell>
          <cell r="AB166">
            <v>4</v>
          </cell>
          <cell r="AF166">
            <v>0</v>
          </cell>
          <cell r="AG166">
            <v>3</v>
          </cell>
          <cell r="AH166">
            <v>4</v>
          </cell>
          <cell r="AI166">
            <v>3</v>
          </cell>
          <cell r="AJ166">
            <v>10</v>
          </cell>
          <cell r="AL166">
            <v>2</v>
          </cell>
          <cell r="AM166">
            <v>18</v>
          </cell>
          <cell r="AN166">
            <v>20</v>
          </cell>
          <cell r="AO166">
            <v>4</v>
          </cell>
          <cell r="AR166">
            <v>4</v>
          </cell>
          <cell r="AS166">
            <v>6</v>
          </cell>
          <cell r="AT166">
            <v>4</v>
          </cell>
          <cell r="AV166">
            <v>10</v>
          </cell>
          <cell r="AW166">
            <v>2</v>
          </cell>
          <cell r="AX166">
            <v>6</v>
          </cell>
          <cell r="AY166">
            <v>11</v>
          </cell>
          <cell r="AZ166">
            <v>19</v>
          </cell>
          <cell r="BA166">
            <v>2</v>
          </cell>
          <cell r="BB166">
            <v>0</v>
          </cell>
          <cell r="BC166">
            <v>2</v>
          </cell>
          <cell r="BD166">
            <v>4</v>
          </cell>
          <cell r="BE166">
            <v>6</v>
          </cell>
          <cell r="BF166">
            <v>0</v>
          </cell>
          <cell r="BG166">
            <v>2</v>
          </cell>
          <cell r="BH166">
            <v>8</v>
          </cell>
          <cell r="BI166">
            <v>0</v>
          </cell>
          <cell r="BJ166">
            <v>0</v>
          </cell>
          <cell r="BK166">
            <v>1</v>
          </cell>
        </row>
        <row r="167">
          <cell r="A167" t="str">
            <v xml:space="preserve">  % Change</v>
          </cell>
          <cell r="AV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</row>
        <row r="168">
          <cell r="A168" t="str">
            <v>Sales (IMS)</v>
          </cell>
          <cell r="U168">
            <v>3.29772</v>
          </cell>
          <cell r="V168">
            <v>2.8705769999999999</v>
          </cell>
          <cell r="W168">
            <v>3.639751</v>
          </cell>
          <cell r="X168">
            <v>9.8080479999999994</v>
          </cell>
          <cell r="Y168">
            <v>2.931702</v>
          </cell>
          <cell r="Z168">
            <v>3.1244559999999999</v>
          </cell>
          <cell r="AA168">
            <v>3.780049</v>
          </cell>
          <cell r="AB168">
            <v>9.8362069999999999</v>
          </cell>
          <cell r="AC168">
            <v>3.070214</v>
          </cell>
          <cell r="AD168">
            <v>3.1331250000000002</v>
          </cell>
          <cell r="AE168">
            <v>4.0043870000000004</v>
          </cell>
          <cell r="AF168">
            <v>10.207726000000001</v>
          </cell>
          <cell r="AG168">
            <v>3.300567</v>
          </cell>
          <cell r="AH168">
            <v>3.4295580000000001</v>
          </cell>
          <cell r="AI168">
            <v>4.1513739999999997</v>
          </cell>
          <cell r="AJ168">
            <v>10.881499</v>
          </cell>
          <cell r="AK168">
            <v>3.2197779999999998</v>
          </cell>
          <cell r="AL168">
            <v>3.2182170000000001</v>
          </cell>
          <cell r="AM168">
            <v>3.7194370000000001</v>
          </cell>
          <cell r="AN168">
            <v>10.157432</v>
          </cell>
          <cell r="AO168">
            <v>3.1348500000000001</v>
          </cell>
          <cell r="AP168">
            <v>3.2591480000000002</v>
          </cell>
          <cell r="AQ168">
            <v>4.1979680000000004</v>
          </cell>
          <cell r="AR168">
            <v>10.591966000000001</v>
          </cell>
          <cell r="AS168">
            <v>3.430809</v>
          </cell>
          <cell r="AT168">
            <v>3.3395290000000002</v>
          </cell>
          <cell r="AU168">
            <v>4.412642</v>
          </cell>
          <cell r="AV168">
            <v>11.182980000000001</v>
          </cell>
          <cell r="AW168">
            <v>3.4566780000000001</v>
          </cell>
          <cell r="AX168">
            <v>3.7282920000000002</v>
          </cell>
          <cell r="AY168">
            <v>4.4927109999999999</v>
          </cell>
          <cell r="AZ168">
            <v>11.677681</v>
          </cell>
          <cell r="BA168">
            <v>3.4679199999999999</v>
          </cell>
          <cell r="BB168">
            <v>3.3461259999999999</v>
          </cell>
          <cell r="BC168">
            <v>4.0267499999999998</v>
          </cell>
          <cell r="BD168">
            <v>10.840795999999999</v>
          </cell>
          <cell r="BE168">
            <v>3.2010209999999999</v>
          </cell>
          <cell r="BF168">
            <v>3.3701669999999999</v>
          </cell>
          <cell r="BG168">
            <v>4.2016340000000003</v>
          </cell>
          <cell r="BH168">
            <v>10.772822000000001</v>
          </cell>
          <cell r="BI168">
            <v>3.3228059999999999</v>
          </cell>
        </row>
        <row r="169">
          <cell r="A169" t="str">
            <v xml:space="preserve">  % Change</v>
          </cell>
          <cell r="AV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</row>
        <row r="171">
          <cell r="A171" t="str">
            <v>THYROID</v>
          </cell>
        </row>
        <row r="172">
          <cell r="A172" t="str">
            <v>TRx</v>
          </cell>
          <cell r="D172">
            <v>161057</v>
          </cell>
          <cell r="E172">
            <v>169611</v>
          </cell>
          <cell r="F172">
            <v>165980</v>
          </cell>
          <cell r="G172">
            <v>168252</v>
          </cell>
          <cell r="H172">
            <v>503843</v>
          </cell>
          <cell r="I172">
            <v>173569</v>
          </cell>
          <cell r="J172">
            <v>155183</v>
          </cell>
          <cell r="K172">
            <v>172844</v>
          </cell>
          <cell r="L172">
            <v>501596</v>
          </cell>
          <cell r="M172">
            <v>167763</v>
          </cell>
          <cell r="N172">
            <v>177297</v>
          </cell>
          <cell r="O172">
            <v>174789</v>
          </cell>
          <cell r="P172">
            <v>519849</v>
          </cell>
          <cell r="Q172">
            <v>177760</v>
          </cell>
          <cell r="R172">
            <v>182345</v>
          </cell>
          <cell r="S172">
            <v>169485</v>
          </cell>
          <cell r="T172">
            <v>529590</v>
          </cell>
          <cell r="U172">
            <v>185501</v>
          </cell>
          <cell r="V172">
            <v>176130</v>
          </cell>
          <cell r="W172">
            <v>179458</v>
          </cell>
          <cell r="X172">
            <v>541089</v>
          </cell>
          <cell r="Y172">
            <v>181604</v>
          </cell>
          <cell r="Z172">
            <v>165791</v>
          </cell>
          <cell r="AA172">
            <v>179892</v>
          </cell>
          <cell r="AB172">
            <v>527287</v>
          </cell>
          <cell r="AC172">
            <v>187285</v>
          </cell>
          <cell r="AD172">
            <v>190869</v>
          </cell>
          <cell r="AE172">
            <v>181540</v>
          </cell>
          <cell r="AF172">
            <v>559694</v>
          </cell>
          <cell r="AG172">
            <v>194520</v>
          </cell>
          <cell r="AH172">
            <v>191735</v>
          </cell>
          <cell r="AI172">
            <v>185847</v>
          </cell>
          <cell r="AJ172">
            <v>572102</v>
          </cell>
          <cell r="AK172">
            <v>196470</v>
          </cell>
          <cell r="AL172">
            <v>189168</v>
          </cell>
          <cell r="AM172">
            <v>204186</v>
          </cell>
          <cell r="AN172">
            <v>589824</v>
          </cell>
          <cell r="AO172">
            <v>201237</v>
          </cell>
          <cell r="AP172">
            <v>183191</v>
          </cell>
          <cell r="AQ172">
            <v>202076</v>
          </cell>
          <cell r="AR172">
            <v>586504</v>
          </cell>
          <cell r="AS172">
            <v>201686</v>
          </cell>
          <cell r="AT172">
            <v>208442</v>
          </cell>
          <cell r="AU172">
            <v>205606</v>
          </cell>
          <cell r="AV172">
            <v>615734</v>
          </cell>
          <cell r="AW172">
            <v>213784</v>
          </cell>
          <cell r="AX172">
            <v>206068</v>
          </cell>
          <cell r="AY172">
            <v>210779</v>
          </cell>
          <cell r="AZ172">
            <v>630631</v>
          </cell>
          <cell r="BA172">
            <v>218516</v>
          </cell>
          <cell r="BB172">
            <v>202871</v>
          </cell>
          <cell r="BC172">
            <v>225929</v>
          </cell>
          <cell r="BD172">
            <v>647316</v>
          </cell>
          <cell r="BE172">
            <v>216880</v>
          </cell>
          <cell r="BF172">
            <v>204110</v>
          </cell>
          <cell r="BG172">
            <v>228270</v>
          </cell>
          <cell r="BH172">
            <v>649260</v>
          </cell>
          <cell r="BI172">
            <v>215373</v>
          </cell>
          <cell r="BJ172">
            <v>209121</v>
          </cell>
          <cell r="BK172">
            <v>219069</v>
          </cell>
          <cell r="BL172">
            <v>643563</v>
          </cell>
          <cell r="BM172">
            <v>214719</v>
          </cell>
          <cell r="BN172">
            <v>217793</v>
          </cell>
          <cell r="BO172">
            <v>211102</v>
          </cell>
          <cell r="BP172">
            <v>643614</v>
          </cell>
        </row>
        <row r="173">
          <cell r="A173" t="str">
            <v xml:space="preserve">  % Change</v>
          </cell>
          <cell r="S173">
            <v>5.2329299564750409E-2</v>
          </cell>
          <cell r="U173">
            <v>9.3684961470659411E-2</v>
          </cell>
          <cell r="V173">
            <v>6.115194601759244E-2</v>
          </cell>
          <cell r="W173">
            <v>6.6602477236526125E-2</v>
          </cell>
          <cell r="X173">
            <v>7.3923821507890342E-2</v>
          </cell>
          <cell r="Y173">
            <v>4.6292828788550899E-2</v>
          </cell>
          <cell r="Z173">
            <v>6.8358003131786305E-2</v>
          </cell>
          <cell r="AA173">
            <v>4.077665409270792E-2</v>
          </cell>
          <cell r="AB173">
            <v>5.1218510514437821E-2</v>
          </cell>
          <cell r="AC173">
            <v>0.11636654089399934</v>
          </cell>
          <cell r="AD173">
            <v>7.6549518604375644E-2</v>
          </cell>
          <cell r="AE173">
            <v>3.8623712018490908E-2</v>
          </cell>
          <cell r="AF173">
            <v>7.6647257184297768E-2</v>
          </cell>
          <cell r="AG173">
            <v>9.4284428442844348E-2</v>
          </cell>
          <cell r="AH173">
            <v>5.1495790945734754E-2</v>
          </cell>
          <cell r="AI173">
            <v>9.6539516771395606E-2</v>
          </cell>
          <cell r="AJ173">
            <v>8.0273419060027607E-2</v>
          </cell>
          <cell r="AK173">
            <v>5.913175670212012E-2</v>
          </cell>
          <cell r="AL173">
            <v>7.4024867995230892E-2</v>
          </cell>
          <cell r="AM173">
            <v>0.13779268686823665</v>
          </cell>
          <cell r="AN173">
            <v>9.0068362136358271E-2</v>
          </cell>
          <cell r="AO173">
            <v>0.10810885222792455</v>
          </cell>
          <cell r="AP173">
            <v>0.10495141473300729</v>
          </cell>
          <cell r="AQ173">
            <v>0.12331843550574795</v>
          </cell>
          <cell r="AR173">
            <v>0.11230506346638558</v>
          </cell>
          <cell r="AS173">
            <v>7.6893504551886149E-2</v>
          </cell>
          <cell r="AT173">
            <v>9.206838197926337E-2</v>
          </cell>
          <cell r="AU173">
            <v>0.13256582571334152</v>
          </cell>
          <cell r="AV173">
            <v>0.10012614035526557</v>
          </cell>
          <cell r="AW173">
            <v>9.903351840427721E-2</v>
          </cell>
          <cell r="AX173">
            <v>7.4754218061386712E-2</v>
          </cell>
          <cell r="AY173">
            <v>0.13415336271233858</v>
          </cell>
          <cell r="AZ173">
            <v>0.10230518334143213</v>
          </cell>
          <cell r="BA173">
            <v>0.11221051560034612</v>
          </cell>
          <cell r="BB173">
            <v>7.2438255941808416E-2</v>
          </cell>
          <cell r="BC173">
            <v>0.1064862429353628</v>
          </cell>
          <cell r="BD173">
            <v>9.747314453125E-2</v>
          </cell>
          <cell r="BE173">
            <v>7.7734213887108217E-2</v>
          </cell>
          <cell r="BF173">
            <v>0.11419229110600404</v>
          </cell>
          <cell r="BG173">
            <v>0.12962449771373152</v>
          </cell>
          <cell r="BH173">
            <v>0.1070001227613111</v>
          </cell>
          <cell r="BI173">
            <v>6.7862915621312414E-2</v>
          </cell>
          <cell r="BJ173">
            <v>3.2575008875370681E-3</v>
          </cell>
          <cell r="BK173">
            <v>6.5479606626265729E-2</v>
          </cell>
          <cell r="BL173">
            <v>4.5196464707162542E-2</v>
          </cell>
          <cell r="BM173">
            <v>4.3735733263481347E-3</v>
          </cell>
          <cell r="BN173">
            <v>5.6898693635110797E-2</v>
          </cell>
          <cell r="BO173">
            <v>1.5324107240284324E-3</v>
          </cell>
          <cell r="BP173">
            <v>2.0587316513143161E-2</v>
          </cell>
        </row>
        <row r="174">
          <cell r="A174" t="str">
            <v>NRx</v>
          </cell>
          <cell r="D174">
            <v>53033</v>
          </cell>
          <cell r="E174">
            <v>56134</v>
          </cell>
          <cell r="F174">
            <v>54646</v>
          </cell>
          <cell r="G174">
            <v>53816</v>
          </cell>
          <cell r="H174">
            <v>164596</v>
          </cell>
          <cell r="I174">
            <v>58085</v>
          </cell>
          <cell r="J174">
            <v>52332</v>
          </cell>
          <cell r="K174">
            <v>57655</v>
          </cell>
          <cell r="L174">
            <v>168072</v>
          </cell>
          <cell r="M174">
            <v>55932</v>
          </cell>
          <cell r="N174">
            <v>58745</v>
          </cell>
          <cell r="O174">
            <v>58628</v>
          </cell>
          <cell r="P174">
            <v>173305</v>
          </cell>
          <cell r="Q174">
            <v>58639</v>
          </cell>
          <cell r="R174">
            <v>60725</v>
          </cell>
          <cell r="S174">
            <v>54709</v>
          </cell>
          <cell r="T174">
            <v>174073</v>
          </cell>
          <cell r="U174">
            <v>61174</v>
          </cell>
          <cell r="V174">
            <v>57763</v>
          </cell>
          <cell r="W174">
            <v>56637</v>
          </cell>
          <cell r="X174">
            <v>175574</v>
          </cell>
          <cell r="Y174">
            <v>60912</v>
          </cell>
          <cell r="Z174">
            <v>55010</v>
          </cell>
          <cell r="AA174">
            <v>58713</v>
          </cell>
          <cell r="AB174">
            <v>174635</v>
          </cell>
          <cell r="AC174">
            <v>61964</v>
          </cell>
          <cell r="AD174">
            <v>63937</v>
          </cell>
          <cell r="AE174">
            <v>59216</v>
          </cell>
          <cell r="AF174">
            <v>185117</v>
          </cell>
          <cell r="AG174">
            <v>62792</v>
          </cell>
          <cell r="AH174">
            <v>62325</v>
          </cell>
          <cell r="AI174">
            <v>59514</v>
          </cell>
          <cell r="AJ174">
            <v>184631</v>
          </cell>
          <cell r="AK174">
            <v>64075</v>
          </cell>
          <cell r="AL174">
            <v>59885</v>
          </cell>
          <cell r="AM174">
            <v>64048</v>
          </cell>
          <cell r="AN174">
            <v>188008</v>
          </cell>
          <cell r="AO174">
            <v>66265</v>
          </cell>
          <cell r="AP174">
            <v>59925</v>
          </cell>
          <cell r="AQ174">
            <v>64990</v>
          </cell>
          <cell r="AR174">
            <v>191180</v>
          </cell>
          <cell r="AS174">
            <v>65238</v>
          </cell>
          <cell r="AT174">
            <v>67336</v>
          </cell>
          <cell r="AU174">
            <v>66283</v>
          </cell>
          <cell r="AV174">
            <v>198857</v>
          </cell>
          <cell r="AW174">
            <v>68496</v>
          </cell>
          <cell r="AX174">
            <v>65497</v>
          </cell>
          <cell r="AY174">
            <v>67055</v>
          </cell>
          <cell r="AZ174">
            <v>201048</v>
          </cell>
          <cell r="BA174">
            <v>69952</v>
          </cell>
          <cell r="BB174">
            <v>63566</v>
          </cell>
          <cell r="BC174">
            <v>70602</v>
          </cell>
          <cell r="BD174">
            <v>204120</v>
          </cell>
          <cell r="BE174">
            <v>69432</v>
          </cell>
          <cell r="BF174">
            <v>66258</v>
          </cell>
          <cell r="BG174">
            <v>78522</v>
          </cell>
          <cell r="BH174">
            <v>214212</v>
          </cell>
          <cell r="BI174">
            <v>77609</v>
          </cell>
          <cell r="BJ174">
            <v>75504</v>
          </cell>
          <cell r="BK174">
            <v>76802</v>
          </cell>
          <cell r="BL174">
            <v>229915</v>
          </cell>
          <cell r="BM174">
            <v>74296</v>
          </cell>
          <cell r="BN174">
            <v>72393</v>
          </cell>
          <cell r="BO174">
            <v>69492</v>
          </cell>
          <cell r="BP174">
            <v>216181</v>
          </cell>
        </row>
        <row r="175">
          <cell r="A175" t="str">
            <v xml:space="preserve">  % Change</v>
          </cell>
          <cell r="S175">
            <v>3.1602964192106731E-2</v>
          </cell>
          <cell r="U175">
            <v>8.9785156945879407E-2</v>
          </cell>
          <cell r="V175">
            <v>5.7039856531127642E-2</v>
          </cell>
          <cell r="W175">
            <v>5.2419354838709742E-2</v>
          </cell>
          <cell r="X175">
            <v>6.6696639043476225E-2</v>
          </cell>
          <cell r="Y175">
            <v>4.8670052509253603E-2</v>
          </cell>
          <cell r="Z175">
            <v>5.1173278300084002E-2</v>
          </cell>
          <cell r="AA175">
            <v>1.8350533344896336E-2</v>
          </cell>
          <cell r="AB175">
            <v>3.9048741015755173E-2</v>
          </cell>
          <cell r="AC175">
            <v>0.10784524064935996</v>
          </cell>
          <cell r="AD175">
            <v>8.8381989956592077E-2</v>
          </cell>
          <cell r="AE175">
            <v>1.0029337517909465E-2</v>
          </cell>
          <cell r="AF175">
            <v>6.8157294942442492E-2</v>
          </cell>
          <cell r="AG175">
            <v>7.0823172291478276E-2</v>
          </cell>
          <cell r="AH175">
            <v>2.6348291477974461E-2</v>
          </cell>
          <cell r="AI175">
            <v>8.7828328063024319E-2</v>
          </cell>
          <cell r="AJ175">
            <v>6.0652714665686336E-2</v>
          </cell>
          <cell r="AK175">
            <v>4.742210743126174E-2</v>
          </cell>
          <cell r="AL175">
            <v>3.6736319096999814E-2</v>
          </cell>
          <cell r="AM175">
            <v>0.13085085721348233</v>
          </cell>
          <cell r="AN175">
            <v>7.0819141786369277E-2</v>
          </cell>
          <cell r="AO175">
            <v>8.7880877331231844E-2</v>
          </cell>
          <cell r="AP175">
            <v>8.9347391383384878E-2</v>
          </cell>
          <cell r="AQ175">
            <v>0.10690988367141863</v>
          </cell>
          <cell r="AR175">
            <v>9.4740458670942163E-2</v>
          </cell>
          <cell r="AS175">
            <v>5.2837131237492674E-2</v>
          </cell>
          <cell r="AT175">
            <v>5.3161706054397406E-2</v>
          </cell>
          <cell r="AU175">
            <v>0.11934274520399901</v>
          </cell>
          <cell r="AV175">
            <v>7.4223329029748708E-2</v>
          </cell>
          <cell r="AW175">
            <v>9.0839597400942829E-2</v>
          </cell>
          <cell r="AX175">
            <v>5.0894504612916114E-2</v>
          </cell>
          <cell r="AY175">
            <v>0.12670968175555331</v>
          </cell>
          <cell r="AZ175">
            <v>8.8917895694655913E-2</v>
          </cell>
          <cell r="BA175">
            <v>9.1720639875146226E-2</v>
          </cell>
          <cell r="BB175">
            <v>6.146781330884199E-2</v>
          </cell>
          <cell r="BC175">
            <v>0.10232950287284526</v>
          </cell>
          <cell r="BD175">
            <v>8.5698480915705755E-2</v>
          </cell>
          <cell r="BE175">
            <v>4.7792952539047695E-2</v>
          </cell>
          <cell r="BF175">
            <v>0.10568210262828526</v>
          </cell>
          <cell r="BG175">
            <v>0.20821664871518686</v>
          </cell>
          <cell r="BH175">
            <v>0.12047285280887121</v>
          </cell>
          <cell r="BI175">
            <v>0.18962874398356777</v>
          </cell>
          <cell r="BJ175">
            <v>0.12130212664844953</v>
          </cell>
          <cell r="BK175">
            <v>0.15869830876695379</v>
          </cell>
          <cell r="BL175">
            <v>0.15618258346449965</v>
          </cell>
          <cell r="BM175">
            <v>8.4676477458537791E-2</v>
          </cell>
          <cell r="BN175">
            <v>0.10528726506557562</v>
          </cell>
          <cell r="BO175">
            <v>3.6343300275892831E-2</v>
          </cell>
          <cell r="BP175">
            <v>7.5270582149536525E-2</v>
          </cell>
        </row>
        <row r="176">
          <cell r="A176" t="str">
            <v>Sales (IMS)</v>
          </cell>
          <cell r="C176">
            <v>1.2138949999999999</v>
          </cell>
          <cell r="D176">
            <v>1.4877039999999999</v>
          </cell>
          <cell r="E176">
            <v>1.205227</v>
          </cell>
          <cell r="F176">
            <v>1.1787879999999999</v>
          </cell>
          <cell r="G176">
            <v>1.497482</v>
          </cell>
          <cell r="H176">
            <v>3.8814969999999995</v>
          </cell>
          <cell r="I176">
            <v>1.2088190000000001</v>
          </cell>
          <cell r="J176">
            <v>1.212828</v>
          </cell>
          <cell r="K176">
            <v>1.5120979999999999</v>
          </cell>
          <cell r="L176">
            <v>3.933745</v>
          </cell>
          <cell r="M176">
            <v>1.2380119999999999</v>
          </cell>
          <cell r="N176">
            <v>1.3822939999999999</v>
          </cell>
          <cell r="O176">
            <v>1.7376510000000001</v>
          </cell>
          <cell r="P176">
            <v>4.3579569999999999</v>
          </cell>
          <cell r="Q176">
            <v>1.397178</v>
          </cell>
          <cell r="R176">
            <v>1.5952759999999999</v>
          </cell>
          <cell r="S176">
            <v>1.92605</v>
          </cell>
          <cell r="T176">
            <v>4.9185040000000004</v>
          </cell>
          <cell r="U176">
            <v>1.5620069999999999</v>
          </cell>
          <cell r="V176">
            <v>1.899683</v>
          </cell>
          <cell r="W176">
            <v>1.8473489999999999</v>
          </cell>
          <cell r="X176">
            <v>5.3090390000000003</v>
          </cell>
          <cell r="Y176">
            <v>1.6394120000000001</v>
          </cell>
          <cell r="Z176">
            <v>1.528902</v>
          </cell>
          <cell r="AA176">
            <v>1.9435359999999999</v>
          </cell>
          <cell r="AB176">
            <v>5.1118500000000004</v>
          </cell>
          <cell r="AC176">
            <v>1.520664</v>
          </cell>
          <cell r="AD176">
            <v>1.5544530000000001</v>
          </cell>
          <cell r="AE176">
            <v>2.0091730000000001</v>
          </cell>
          <cell r="AF176">
            <v>5.0842900000000002</v>
          </cell>
          <cell r="AG176">
            <v>1.659354</v>
          </cell>
          <cell r="AH176">
            <v>1.631297</v>
          </cell>
          <cell r="AI176">
            <v>2.030872</v>
          </cell>
          <cell r="AJ176">
            <v>5.321523</v>
          </cell>
          <cell r="AK176">
            <v>1.635027</v>
          </cell>
          <cell r="AL176">
            <v>1.6039079999999999</v>
          </cell>
          <cell r="AM176">
            <v>2.0249450000000002</v>
          </cell>
          <cell r="AN176">
            <v>5.2638800000000003</v>
          </cell>
          <cell r="AO176">
            <v>1.652288</v>
          </cell>
          <cell r="AP176">
            <v>1.639176</v>
          </cell>
          <cell r="AQ176">
            <v>2.1349260000000001</v>
          </cell>
          <cell r="AR176">
            <v>5.4263899999999996</v>
          </cell>
          <cell r="AS176">
            <v>1.747695</v>
          </cell>
          <cell r="AT176">
            <v>1.780187</v>
          </cell>
          <cell r="AU176">
            <v>2.2683740000000001</v>
          </cell>
          <cell r="AV176">
            <v>5.7962560000000005</v>
          </cell>
          <cell r="AW176">
            <v>1.749546</v>
          </cell>
          <cell r="AX176">
            <v>1.8482700000000001</v>
          </cell>
          <cell r="AY176">
            <v>2.2962210000000001</v>
          </cell>
          <cell r="AZ176">
            <v>5.8940370000000009</v>
          </cell>
          <cell r="BA176">
            <v>1.8402369999999999</v>
          </cell>
          <cell r="BB176">
            <v>1.805947</v>
          </cell>
          <cell r="BC176">
            <v>2.2623570000000002</v>
          </cell>
          <cell r="BD176">
            <v>5.9085410000000005</v>
          </cell>
          <cell r="BE176">
            <v>1.867774</v>
          </cell>
          <cell r="BF176">
            <v>1.660728</v>
          </cell>
          <cell r="BG176">
            <v>1.9043639999999999</v>
          </cell>
          <cell r="BH176">
            <v>5.4328659999999998</v>
          </cell>
          <cell r="BI176">
            <v>1.5659449999999999</v>
          </cell>
          <cell r="BJ176">
            <v>1.8281080000000001</v>
          </cell>
          <cell r="BK176">
            <v>2.1776499999999999</v>
          </cell>
          <cell r="BL176">
            <v>5.5717030000000003</v>
          </cell>
          <cell r="BM176">
            <v>1.988931</v>
          </cell>
          <cell r="BN176">
            <v>2.0454490000000001</v>
          </cell>
        </row>
        <row r="177">
          <cell r="A177" t="str">
            <v xml:space="preserve">  % Change</v>
          </cell>
          <cell r="S177">
            <v>0.29464597796335834</v>
          </cell>
          <cell r="U177">
            <v>0.29602722142799642</v>
          </cell>
          <cell r="V177">
            <v>0.61155610678086303</v>
          </cell>
          <cell r="W177">
            <v>0.23363686508418802</v>
          </cell>
          <cell r="X177">
            <v>0.36778129675225846</v>
          </cell>
          <cell r="Y177">
            <v>0.35620965587072995</v>
          </cell>
          <cell r="Z177">
            <v>0.26060908884029721</v>
          </cell>
          <cell r="AA177">
            <v>0.28532409936393011</v>
          </cell>
          <cell r="AB177">
            <v>0.29948687573800559</v>
          </cell>
          <cell r="AC177">
            <v>0.22831119569115654</v>
          </cell>
          <cell r="AD177">
            <v>0.1245458636151211</v>
          </cell>
          <cell r="AE177">
            <v>0.15625807483781262</v>
          </cell>
          <cell r="AF177">
            <v>0.16666823467969061</v>
          </cell>
          <cell r="AG177">
            <v>0.18764681379180037</v>
          </cell>
          <cell r="AH177">
            <v>2.2579791835394047E-2</v>
          </cell>
          <cell r="AI177">
            <v>5.4423301575763805E-2</v>
          </cell>
          <cell r="AJ177">
            <v>8.1939345784815876E-2</v>
          </cell>
          <cell r="AK177">
            <v>4.674754978690876E-2</v>
          </cell>
          <cell r="AL177">
            <v>-0.15569702945175601</v>
          </cell>
          <cell r="AM177">
            <v>9.613559755086909E-2</v>
          </cell>
          <cell r="AN177">
            <v>-8.5060591945170794E-3</v>
          </cell>
          <cell r="AO177">
            <v>7.8540354712541838E-3</v>
          </cell>
          <cell r="AP177">
            <v>7.2126271010175991E-2</v>
          </cell>
          <cell r="AQ177">
            <v>9.8475150447431936E-2</v>
          </cell>
          <cell r="AR177">
            <v>6.1531539462229778E-2</v>
          </cell>
          <cell r="AS177">
            <v>0.14929728066160575</v>
          </cell>
          <cell r="AT177">
            <v>0.14521764247616353</v>
          </cell>
          <cell r="AU177">
            <v>0.1290088011336008</v>
          </cell>
          <cell r="AV177">
            <v>0.140032531582581</v>
          </cell>
          <cell r="AW177">
            <v>5.435368221609127E-2</v>
          </cell>
          <cell r="AX177">
            <v>0.1330064359831471</v>
          </cell>
          <cell r="AY177">
            <v>0.13065766823315306</v>
          </cell>
          <cell r="AZ177">
            <v>0.10758461440456069</v>
          </cell>
          <cell r="BA177">
            <v>0.12550863074432406</v>
          </cell>
          <cell r="BB177">
            <v>0.12596670133199672</v>
          </cell>
          <cell r="BC177">
            <v>0.11724367822335902</v>
          </cell>
          <cell r="BD177">
            <v>0.12246878728238486</v>
          </cell>
          <cell r="BE177">
            <v>0.13041673122361241</v>
          </cell>
          <cell r="BF177">
            <v>1.314806951785541E-2</v>
          </cell>
          <cell r="BG177">
            <v>-0.10799531224969861</v>
          </cell>
          <cell r="BH177">
            <v>1.1934269376141504E-3</v>
          </cell>
          <cell r="BI177">
            <v>-0.1039941179668078</v>
          </cell>
          <cell r="BJ177">
            <v>2.6919082096431568E-2</v>
          </cell>
          <cell r="BK177">
            <v>-3.9995168345255294E-2</v>
          </cell>
          <cell r="BL177">
            <v>-3.8741042493637301E-2</v>
          </cell>
          <cell r="BM177">
            <v>0.13682692538521413</v>
          </cell>
          <cell r="BN177">
            <v>0.10668300627072891</v>
          </cell>
        </row>
        <row r="179">
          <cell r="A179" t="str">
            <v>THYROLAR</v>
          </cell>
        </row>
        <row r="180">
          <cell r="A180" t="str">
            <v>TRx</v>
          </cell>
          <cell r="D180">
            <v>19824</v>
          </cell>
          <cell r="E180">
            <v>20878</v>
          </cell>
          <cell r="F180">
            <v>20114</v>
          </cell>
          <cell r="G180">
            <v>20505</v>
          </cell>
          <cell r="H180">
            <v>61497</v>
          </cell>
          <cell r="I180">
            <v>21362</v>
          </cell>
          <cell r="J180">
            <v>19324</v>
          </cell>
          <cell r="K180">
            <v>20807</v>
          </cell>
          <cell r="L180">
            <v>61493</v>
          </cell>
          <cell r="M180">
            <v>20394</v>
          </cell>
          <cell r="N180">
            <v>20821</v>
          </cell>
          <cell r="O180">
            <v>20798</v>
          </cell>
          <cell r="P180">
            <v>62013</v>
          </cell>
          <cell r="Q180">
            <v>21512</v>
          </cell>
          <cell r="R180">
            <v>21648</v>
          </cell>
          <cell r="S180">
            <v>19912</v>
          </cell>
          <cell r="T180">
            <v>63072</v>
          </cell>
          <cell r="U180">
            <v>21847</v>
          </cell>
          <cell r="V180">
            <v>20654</v>
          </cell>
          <cell r="W180">
            <v>21340</v>
          </cell>
          <cell r="X180">
            <v>63841</v>
          </cell>
          <cell r="Y180">
            <v>21349</v>
          </cell>
          <cell r="Z180">
            <v>19716</v>
          </cell>
          <cell r="AA180">
            <v>21038</v>
          </cell>
          <cell r="AB180">
            <v>62103</v>
          </cell>
          <cell r="AC180">
            <v>21426</v>
          </cell>
          <cell r="AD180">
            <v>21568</v>
          </cell>
          <cell r="AE180">
            <v>20407</v>
          </cell>
          <cell r="AF180">
            <v>63401</v>
          </cell>
          <cell r="AG180">
            <v>22123</v>
          </cell>
          <cell r="AH180">
            <v>21053</v>
          </cell>
          <cell r="AI180">
            <v>20770</v>
          </cell>
          <cell r="AJ180">
            <v>63946</v>
          </cell>
          <cell r="AK180">
            <v>22062</v>
          </cell>
          <cell r="AL180">
            <v>20747</v>
          </cell>
          <cell r="AM180">
            <v>21766</v>
          </cell>
          <cell r="AN180">
            <v>64575</v>
          </cell>
          <cell r="AO180">
            <v>21616</v>
          </cell>
          <cell r="AP180">
            <v>19523</v>
          </cell>
          <cell r="AQ180">
            <v>21186</v>
          </cell>
          <cell r="AR180">
            <v>62325</v>
          </cell>
          <cell r="AS180">
            <v>20899</v>
          </cell>
          <cell r="AT180">
            <v>21891</v>
          </cell>
          <cell r="AU180">
            <v>21237</v>
          </cell>
          <cell r="AV180">
            <v>64027</v>
          </cell>
          <cell r="AW180">
            <v>21771</v>
          </cell>
          <cell r="AX180">
            <v>21035</v>
          </cell>
          <cell r="AY180">
            <v>21726</v>
          </cell>
          <cell r="AZ180">
            <v>64532</v>
          </cell>
          <cell r="BA180">
            <v>21787</v>
          </cell>
          <cell r="BB180">
            <v>20148</v>
          </cell>
          <cell r="BC180">
            <v>21817</v>
          </cell>
          <cell r="BD180">
            <v>63752</v>
          </cell>
          <cell r="BE180">
            <v>19020</v>
          </cell>
          <cell r="BF180">
            <v>13900</v>
          </cell>
          <cell r="BG180">
            <v>11370</v>
          </cell>
          <cell r="BH180">
            <v>44290</v>
          </cell>
          <cell r="BI180">
            <v>7646</v>
          </cell>
          <cell r="BJ180">
            <v>5723</v>
          </cell>
          <cell r="BK180">
            <v>4669</v>
          </cell>
          <cell r="BL180">
            <v>18038</v>
          </cell>
          <cell r="BM180">
            <v>3520</v>
          </cell>
          <cell r="BN180">
            <v>2708</v>
          </cell>
          <cell r="BO180">
            <v>2032</v>
          </cell>
          <cell r="BP180">
            <v>8260</v>
          </cell>
        </row>
        <row r="181">
          <cell r="A181" t="str">
            <v xml:space="preserve">  % Change</v>
          </cell>
          <cell r="S181">
            <v>4.4390637610975947E-3</v>
          </cell>
          <cell r="U181">
            <v>4.6412491617971119E-2</v>
          </cell>
          <cell r="V181">
            <v>2.6846972258128599E-2</v>
          </cell>
          <cell r="W181">
            <v>4.0721775176786101E-2</v>
          </cell>
          <cell r="X181">
            <v>3.8115680439696265E-2</v>
          </cell>
          <cell r="Y181">
            <v>-6.0855725119368653E-4</v>
          </cell>
          <cell r="Z181">
            <v>2.0285655143862602E-2</v>
          </cell>
          <cell r="AA181">
            <v>1.1102032969673603E-2</v>
          </cell>
          <cell r="AB181">
            <v>9.9198282731367549E-3</v>
          </cell>
          <cell r="AC181">
            <v>5.0603118564283678E-2</v>
          </cell>
          <cell r="AD181">
            <v>3.5877239325680765E-2</v>
          </cell>
          <cell r="AE181">
            <v>-1.879988460428883E-2</v>
          </cell>
          <cell r="AF181">
            <v>2.2382403689549024E-2</v>
          </cell>
          <cell r="AG181">
            <v>2.8402751952398608E-2</v>
          </cell>
          <cell r="AH181">
            <v>-2.7485218033998504E-2</v>
          </cell>
          <cell r="AI181">
            <v>4.3089594214543947E-2</v>
          </cell>
          <cell r="AJ181">
            <v>1.3857179096905092E-2</v>
          </cell>
          <cell r="AK181">
            <v>9.8411681237697834E-3</v>
          </cell>
          <cell r="AL181">
            <v>4.5027597559794685E-3</v>
          </cell>
          <cell r="AM181">
            <v>1.9962511715089004E-2</v>
          </cell>
          <cell r="AN181">
            <v>1.1497313638570761E-2</v>
          </cell>
          <cell r="AO181">
            <v>1.250644058269712E-2</v>
          </cell>
          <cell r="AP181">
            <v>-9.7890038547372438E-3</v>
          </cell>
          <cell r="AQ181">
            <v>7.0348892480274205E-3</v>
          </cell>
          <cell r="AR181">
            <v>3.5747065359161834E-3</v>
          </cell>
          <cell r="AS181">
            <v>-2.4596284887519859E-2</v>
          </cell>
          <cell r="AT181">
            <v>1.4975890207715059E-2</v>
          </cell>
          <cell r="AU181">
            <v>4.0672318322144463E-2</v>
          </cell>
          <cell r="AV181">
            <v>9.8736612987175842E-3</v>
          </cell>
          <cell r="AW181">
            <v>-1.5911042806129316E-2</v>
          </cell>
          <cell r="AX181">
            <v>-8.54985037761824E-4</v>
          </cell>
          <cell r="AY181">
            <v>4.6027924891670624E-2</v>
          </cell>
          <cell r="AZ181">
            <v>9.163982109905211E-3</v>
          </cell>
          <cell r="BA181">
            <v>-1.2464871725138216E-2</v>
          </cell>
          <cell r="BB181">
            <v>-2.8871644093121929E-2</v>
          </cell>
          <cell r="BC181">
            <v>2.3431039235504159E-3</v>
          </cell>
          <cell r="BD181">
            <v>-1.2744870305845923E-2</v>
          </cell>
          <cell r="BE181">
            <v>-0.12009622501850481</v>
          </cell>
          <cell r="BF181">
            <v>-0.28801925933514316</v>
          </cell>
          <cell r="BG181">
            <v>-0.46332483715661288</v>
          </cell>
          <cell r="BH181">
            <v>-0.28937023666265549</v>
          </cell>
          <cell r="BI181">
            <v>-0.63414517441025886</v>
          </cell>
          <cell r="BJ181">
            <v>-0.7385683614270705</v>
          </cell>
          <cell r="BK181">
            <v>-0.78014785515844987</v>
          </cell>
          <cell r="BL181">
            <v>-0.71827510269105221</v>
          </cell>
          <cell r="BM181">
            <v>-0.838317027238069</v>
          </cell>
          <cell r="BN181">
            <v>-0.87126218207748996</v>
          </cell>
          <cell r="BO181">
            <v>-0.90647150879131</v>
          </cell>
          <cell r="BP181">
            <v>-0.87200148763404206</v>
          </cell>
        </row>
        <row r="182">
          <cell r="A182" t="str">
            <v>NRx</v>
          </cell>
          <cell r="D182">
            <v>6389</v>
          </cell>
          <cell r="E182">
            <v>6842</v>
          </cell>
          <cell r="F182">
            <v>6328</v>
          </cell>
          <cell r="G182">
            <v>6510</v>
          </cell>
          <cell r="H182">
            <v>19680</v>
          </cell>
          <cell r="I182">
            <v>6969</v>
          </cell>
          <cell r="J182">
            <v>6428</v>
          </cell>
          <cell r="K182">
            <v>6987</v>
          </cell>
          <cell r="L182">
            <v>20384</v>
          </cell>
          <cell r="M182">
            <v>6862</v>
          </cell>
          <cell r="N182">
            <v>6573</v>
          </cell>
          <cell r="O182">
            <v>6933</v>
          </cell>
          <cell r="P182">
            <v>20368</v>
          </cell>
          <cell r="Q182">
            <v>7065</v>
          </cell>
          <cell r="R182">
            <v>7066</v>
          </cell>
          <cell r="S182">
            <v>6242</v>
          </cell>
          <cell r="T182">
            <v>20373</v>
          </cell>
          <cell r="U182">
            <v>6711</v>
          </cell>
          <cell r="V182">
            <v>6710</v>
          </cell>
          <cell r="W182">
            <v>6628</v>
          </cell>
          <cell r="X182">
            <v>20049</v>
          </cell>
          <cell r="Y182">
            <v>6856</v>
          </cell>
          <cell r="Z182">
            <v>6641</v>
          </cell>
          <cell r="AA182">
            <v>6667</v>
          </cell>
          <cell r="AB182">
            <v>20164</v>
          </cell>
          <cell r="AC182">
            <v>6930</v>
          </cell>
          <cell r="AD182">
            <v>6781</v>
          </cell>
          <cell r="AE182">
            <v>6238</v>
          </cell>
          <cell r="AF182">
            <v>19949</v>
          </cell>
          <cell r="AG182">
            <v>6812</v>
          </cell>
          <cell r="AH182">
            <v>6516</v>
          </cell>
          <cell r="AI182">
            <v>6612</v>
          </cell>
          <cell r="AJ182">
            <v>19940</v>
          </cell>
          <cell r="AK182">
            <v>6894</v>
          </cell>
          <cell r="AL182">
            <v>6180</v>
          </cell>
          <cell r="AM182">
            <v>6517</v>
          </cell>
          <cell r="AN182">
            <v>19591</v>
          </cell>
          <cell r="AO182">
            <v>6767</v>
          </cell>
          <cell r="AP182">
            <v>6290</v>
          </cell>
          <cell r="AQ182">
            <v>6651</v>
          </cell>
          <cell r="AR182">
            <v>19708</v>
          </cell>
          <cell r="AS182">
            <v>6547</v>
          </cell>
          <cell r="AT182">
            <v>6805</v>
          </cell>
          <cell r="AU182">
            <v>6451</v>
          </cell>
          <cell r="AV182">
            <v>19803</v>
          </cell>
          <cell r="AW182">
            <v>6436</v>
          </cell>
          <cell r="AX182">
            <v>6767</v>
          </cell>
          <cell r="AY182">
            <v>6826</v>
          </cell>
          <cell r="AZ182">
            <v>20029</v>
          </cell>
          <cell r="BA182">
            <v>6742</v>
          </cell>
          <cell r="BB182">
            <v>6416</v>
          </cell>
          <cell r="BC182">
            <v>7736</v>
          </cell>
          <cell r="BD182">
            <v>20894</v>
          </cell>
          <cell r="BE182">
            <v>7542</v>
          </cell>
          <cell r="BF182">
            <v>5586</v>
          </cell>
          <cell r="BG182">
            <v>4599</v>
          </cell>
          <cell r="BH182">
            <v>17727</v>
          </cell>
          <cell r="BI182">
            <v>3004</v>
          </cell>
          <cell r="BJ182">
            <v>2264</v>
          </cell>
          <cell r="BK182">
            <v>1811</v>
          </cell>
          <cell r="BL182">
            <v>7079</v>
          </cell>
          <cell r="BM182">
            <v>1368</v>
          </cell>
          <cell r="BN182">
            <v>955</v>
          </cell>
          <cell r="BO182">
            <v>853</v>
          </cell>
          <cell r="BP182">
            <v>3176</v>
          </cell>
        </row>
        <row r="183">
          <cell r="A183" t="str">
            <v xml:space="preserve">  % Change</v>
          </cell>
          <cell r="S183">
            <v>-2.3008295507904175E-2</v>
          </cell>
          <cell r="U183">
            <v>-1.9146448406898608E-2</v>
          </cell>
          <cell r="V183">
            <v>6.0366624525916457E-2</v>
          </cell>
          <cell r="W183">
            <v>1.8125960061443847E-2</v>
          </cell>
          <cell r="X183">
            <v>1.8749999999999999E-2</v>
          </cell>
          <cell r="Y183">
            <v>-1.6214664944755319E-2</v>
          </cell>
          <cell r="Z183">
            <v>3.3136278780335982E-2</v>
          </cell>
          <cell r="AA183">
            <v>-4.5799341634463975E-2</v>
          </cell>
          <cell r="AB183">
            <v>-1.0792778649921453E-2</v>
          </cell>
          <cell r="AC183">
            <v>9.9096473331390378E-3</v>
          </cell>
          <cell r="AD183">
            <v>3.1644606724478885E-2</v>
          </cell>
          <cell r="AE183">
            <v>-0.10024520409635074</v>
          </cell>
          <cell r="AF183">
            <v>-2.057148468185388E-2</v>
          </cell>
          <cell r="AG183">
            <v>-3.5810332625619279E-2</v>
          </cell>
          <cell r="AH183">
            <v>-7.783753184262665E-2</v>
          </cell>
          <cell r="AI183">
            <v>5.9275873117590416E-2</v>
          </cell>
          <cell r="AJ183">
            <v>-2.1253619987237959E-2</v>
          </cell>
          <cell r="AK183">
            <v>2.7268663388466674E-2</v>
          </cell>
          <cell r="AL183">
            <v>-7.8986587183308532E-2</v>
          </cell>
          <cell r="AM183">
            <v>-1.6747133373566703E-2</v>
          </cell>
          <cell r="AN183">
            <v>-2.2844032121302815E-2</v>
          </cell>
          <cell r="AO183">
            <v>-1.2981330221703669E-2</v>
          </cell>
          <cell r="AP183">
            <v>-5.2853485920795085E-2</v>
          </cell>
          <cell r="AQ183">
            <v>-2.3998800059996661E-3</v>
          </cell>
          <cell r="AR183">
            <v>-2.2614560603055001E-2</v>
          </cell>
          <cell r="AS183">
            <v>-5.5266955266955242E-2</v>
          </cell>
          <cell r="AT183">
            <v>3.5393009880548831E-3</v>
          </cell>
          <cell r="AU183">
            <v>3.4145559474190401E-2</v>
          </cell>
          <cell r="AV183">
            <v>-7.318662589603453E-3</v>
          </cell>
          <cell r="AW183">
            <v>-5.5196711685261302E-2</v>
          </cell>
          <cell r="AX183">
            <v>3.8520564763658616E-2</v>
          </cell>
          <cell r="AY183">
            <v>3.2365396249243839E-2</v>
          </cell>
          <cell r="AZ183">
            <v>4.4633901705115608E-3</v>
          </cell>
          <cell r="BA183">
            <v>-2.2048157818392755E-2</v>
          </cell>
          <cell r="BB183">
            <v>3.818770226537227E-2</v>
          </cell>
          <cell r="BC183">
            <v>0.1870492557925425</v>
          </cell>
          <cell r="BD183">
            <v>6.6510132203562833E-2</v>
          </cell>
          <cell r="BE183">
            <v>0.11452637801093535</v>
          </cell>
          <cell r="BF183">
            <v>-0.11192368839427658</v>
          </cell>
          <cell r="BG183">
            <v>-0.30852503382949936</v>
          </cell>
          <cell r="BH183">
            <v>-0.10051755632230563</v>
          </cell>
          <cell r="BI183">
            <v>-0.5411638918588666</v>
          </cell>
          <cell r="BJ183">
            <v>-0.66730345334313013</v>
          </cell>
          <cell r="BK183">
            <v>-0.71926833049139671</v>
          </cell>
          <cell r="BL183">
            <v>-0.64252890976114729</v>
          </cell>
          <cell r="BM183">
            <v>-0.78744561839651961</v>
          </cell>
          <cell r="BN183">
            <v>-0.85887394709620213</v>
          </cell>
          <cell r="BO183">
            <v>-0.87503662467037802</v>
          </cell>
          <cell r="BP183">
            <v>-0.84142992660642069</v>
          </cell>
        </row>
        <row r="184">
          <cell r="A184" t="str">
            <v>Sales (IMS)</v>
          </cell>
          <cell r="C184">
            <v>0.60505600000000004</v>
          </cell>
          <cell r="D184">
            <v>0.71249799999999996</v>
          </cell>
          <cell r="E184">
            <v>0.57160200000000005</v>
          </cell>
          <cell r="F184">
            <v>0.57112700000000005</v>
          </cell>
          <cell r="G184">
            <v>0.73809199999999997</v>
          </cell>
          <cell r="H184">
            <v>1.8808210000000001</v>
          </cell>
          <cell r="I184">
            <v>0.57384100000000005</v>
          </cell>
          <cell r="J184">
            <v>0.57972800000000002</v>
          </cell>
          <cell r="K184">
            <v>0.71924399999999999</v>
          </cell>
          <cell r="L184">
            <v>1.8728130000000001</v>
          </cell>
          <cell r="M184">
            <v>0.561249</v>
          </cell>
          <cell r="N184">
            <v>0.61237900000000001</v>
          </cell>
          <cell r="O184">
            <v>0.75999099999999997</v>
          </cell>
          <cell r="P184">
            <v>1.9336190000000002</v>
          </cell>
          <cell r="Q184">
            <v>0.62380199999999997</v>
          </cell>
          <cell r="R184">
            <v>0.60071600000000003</v>
          </cell>
          <cell r="S184">
            <v>0.74528099999999997</v>
          </cell>
          <cell r="T184">
            <v>1.9697990000000001</v>
          </cell>
          <cell r="U184">
            <v>0.613479</v>
          </cell>
          <cell r="V184">
            <v>0.74861500000000003</v>
          </cell>
          <cell r="W184">
            <v>0.75563999999999998</v>
          </cell>
          <cell r="X184">
            <v>2.117734</v>
          </cell>
          <cell r="Y184">
            <v>0.58097299999999996</v>
          </cell>
          <cell r="Z184">
            <v>0.58213000000000004</v>
          </cell>
          <cell r="AA184">
            <v>0.74142600000000003</v>
          </cell>
          <cell r="AB184">
            <v>1.9045289999999999</v>
          </cell>
          <cell r="AC184">
            <v>0.58219799999999999</v>
          </cell>
          <cell r="AD184">
            <v>0.60515699999999994</v>
          </cell>
          <cell r="AE184">
            <v>0.77562600000000004</v>
          </cell>
          <cell r="AF184">
            <v>1.9629810000000001</v>
          </cell>
          <cell r="AG184">
            <v>0.61299099999999995</v>
          </cell>
          <cell r="AH184">
            <v>0.59431699999999998</v>
          </cell>
          <cell r="AI184">
            <v>0.75044</v>
          </cell>
          <cell r="AJ184">
            <v>1.957748</v>
          </cell>
          <cell r="AK184">
            <v>0.59631800000000001</v>
          </cell>
          <cell r="AL184">
            <v>0.57995200000000002</v>
          </cell>
          <cell r="AM184">
            <v>0.72168500000000002</v>
          </cell>
          <cell r="AN184">
            <v>1.8979550000000001</v>
          </cell>
          <cell r="AO184">
            <v>0.59538999999999997</v>
          </cell>
          <cell r="AP184">
            <v>0.58503700000000003</v>
          </cell>
          <cell r="AQ184">
            <v>0.74223899999999998</v>
          </cell>
          <cell r="AR184">
            <v>1.922666</v>
          </cell>
          <cell r="AS184">
            <v>0.59726000000000001</v>
          </cell>
          <cell r="AT184">
            <v>0.60910900000000001</v>
          </cell>
          <cell r="AU184">
            <v>0.77627400000000002</v>
          </cell>
          <cell r="AV184">
            <v>1.9826429999999999</v>
          </cell>
          <cell r="AW184">
            <v>0.59958</v>
          </cell>
          <cell r="AX184">
            <v>0.48903000000000002</v>
          </cell>
          <cell r="AY184">
            <v>0.88576999999999995</v>
          </cell>
          <cell r="AZ184">
            <v>1.97438</v>
          </cell>
          <cell r="BA184">
            <v>0.57418800000000003</v>
          </cell>
          <cell r="BB184">
            <v>0.42682399999999998</v>
          </cell>
          <cell r="BC184">
            <v>0.36575200000000002</v>
          </cell>
          <cell r="BD184">
            <v>1.3667639999999999</v>
          </cell>
          <cell r="BE184">
            <v>0.17188000000000001</v>
          </cell>
          <cell r="BF184">
            <v>0.108971</v>
          </cell>
          <cell r="BG184">
            <v>0.115912</v>
          </cell>
          <cell r="BH184">
            <v>0.39676299999999998</v>
          </cell>
          <cell r="BI184">
            <v>8.3904000000000006E-2</v>
          </cell>
          <cell r="BJ184">
            <v>4.8592000000000003E-2</v>
          </cell>
          <cell r="BK184">
            <v>5.4348E-2</v>
          </cell>
          <cell r="BL184">
            <v>0.18684400000000001</v>
          </cell>
          <cell r="BM184">
            <v>1.7472999999999999E-2</v>
          </cell>
          <cell r="BN184">
            <v>5.4440000000000001E-3</v>
          </cell>
        </row>
        <row r="185">
          <cell r="A185" t="str">
            <v xml:space="preserve">  % Change</v>
          </cell>
          <cell r="U185">
            <v>7.3262514826750058E-2</v>
          </cell>
          <cell r="V185">
            <v>0.31076800781612479</v>
          </cell>
          <cell r="W185">
            <v>2.3774813979829057E-2</v>
          </cell>
          <cell r="X185">
            <v>0.12596254508004745</v>
          </cell>
          <cell r="Y185">
            <v>1.2428529854088266E-2</v>
          </cell>
          <cell r="Z185">
            <v>4.1433223856706114E-3</v>
          </cell>
          <cell r="AA185">
            <v>3.0840716085222875E-2</v>
          </cell>
          <cell r="AB185">
            <v>1.6934952929096525E-2</v>
          </cell>
          <cell r="AC185">
            <v>3.7325678976710908E-2</v>
          </cell>
          <cell r="AD185">
            <v>-1.1793350196528718E-2</v>
          </cell>
          <cell r="AE185">
            <v>2.0572612044090111E-2</v>
          </cell>
          <cell r="AF185">
            <v>1.5184997665000033E-2</v>
          </cell>
          <cell r="AG185">
            <v>-1.7330819715230206E-2</v>
          </cell>
          <cell r="AH185">
            <v>-1.0652288269331955E-2</v>
          </cell>
          <cell r="AI185">
            <v>6.9222212829791463E-3</v>
          </cell>
          <cell r="AJ185">
            <v>-6.117883093655796E-3</v>
          </cell>
          <cell r="AK185">
            <v>-2.7973247658028999E-2</v>
          </cell>
          <cell r="AL185">
            <v>-0.2253000540999045</v>
          </cell>
          <cell r="AM185">
            <v>-4.4935418982584241E-2</v>
          </cell>
          <cell r="AN185">
            <v>-0.10378026702125953</v>
          </cell>
          <cell r="AO185">
            <v>2.4815266802415969E-2</v>
          </cell>
          <cell r="AP185">
            <v>4.9937299228695053E-3</v>
          </cell>
          <cell r="AQ185">
            <v>1.0965355949210664E-3</v>
          </cell>
          <cell r="AR185">
            <v>9.5230894357607454E-3</v>
          </cell>
          <cell r="AS185">
            <v>2.5870923637662857E-2</v>
          </cell>
          <cell r="AT185">
            <v>6.5305367036985196E-3</v>
          </cell>
          <cell r="AU185">
            <v>8.3545420086483801E-4</v>
          </cell>
          <cell r="AV185">
            <v>1.0016398528564396E-2</v>
          </cell>
          <cell r="AW185">
            <v>-2.1877972107257615E-2</v>
          </cell>
          <cell r="AX185">
            <v>-0.17715629874292671</v>
          </cell>
          <cell r="AY185">
            <v>0.18033420393369215</v>
          </cell>
          <cell r="AZ185">
            <v>8.4954754135875277E-3</v>
          </cell>
          <cell r="BA185">
            <v>-3.7111071609443269E-2</v>
          </cell>
          <cell r="BB185">
            <v>-0.26403564432918591</v>
          </cell>
          <cell r="BC185">
            <v>-0.49319717051067991</v>
          </cell>
          <cell r="BD185">
            <v>-0.27987544488673344</v>
          </cell>
          <cell r="BE185">
            <v>-0.71131527234249825</v>
          </cell>
          <cell r="BF185">
            <v>-0.81373656708891917</v>
          </cell>
          <cell r="BG185">
            <v>-0.84383466780915584</v>
          </cell>
          <cell r="BH185">
            <v>-0.79363914481246356</v>
          </cell>
          <cell r="BI185">
            <v>-0.85951846766902185</v>
          </cell>
          <cell r="BJ185">
            <v>-0.92022445900487437</v>
          </cell>
          <cell r="BK185">
            <v>-0.92998863803244736</v>
          </cell>
          <cell r="BL185">
            <v>-0.90576013936951838</v>
          </cell>
          <cell r="BM185">
            <v>-0.97085793388705433</v>
          </cell>
          <cell r="BN185">
            <v>-0.98886775862421528</v>
          </cell>
        </row>
        <row r="186">
          <cell r="A186" t="str">
            <v>Product</v>
          </cell>
          <cell r="C186">
            <v>36739</v>
          </cell>
          <cell r="D186">
            <v>36770</v>
          </cell>
          <cell r="E186">
            <v>36800</v>
          </cell>
          <cell r="F186">
            <v>36831</v>
          </cell>
          <cell r="G186">
            <v>36861</v>
          </cell>
          <cell r="H186" t="str">
            <v>Q3:00</v>
          </cell>
          <cell r="I186">
            <v>36892</v>
          </cell>
          <cell r="J186">
            <v>36923</v>
          </cell>
          <cell r="K186">
            <v>36951</v>
          </cell>
          <cell r="L186" t="str">
            <v>Q4:00</v>
          </cell>
          <cell r="M186">
            <v>36982</v>
          </cell>
          <cell r="N186">
            <v>37012</v>
          </cell>
          <cell r="O186">
            <v>37043</v>
          </cell>
          <cell r="P186" t="str">
            <v>Q1:01</v>
          </cell>
          <cell r="Q186">
            <v>37073</v>
          </cell>
          <cell r="R186">
            <v>37104</v>
          </cell>
          <cell r="S186">
            <v>37135</v>
          </cell>
          <cell r="T186" t="str">
            <v>Q2:01</v>
          </cell>
          <cell r="U186">
            <v>37165</v>
          </cell>
          <cell r="V186">
            <v>37196</v>
          </cell>
          <cell r="W186">
            <v>37226</v>
          </cell>
          <cell r="X186" t="str">
            <v>Q3:01</v>
          </cell>
          <cell r="Y186">
            <v>37257</v>
          </cell>
          <cell r="Z186">
            <v>37288</v>
          </cell>
          <cell r="AA186">
            <v>37316</v>
          </cell>
          <cell r="AB186" t="str">
            <v>Q4:01</v>
          </cell>
          <cell r="AC186">
            <v>37347</v>
          </cell>
          <cell r="AD186">
            <v>37377</v>
          </cell>
          <cell r="AE186">
            <v>37408</v>
          </cell>
          <cell r="AF186" t="str">
            <v>Q1:02</v>
          </cell>
          <cell r="AG186">
            <v>37438</v>
          </cell>
          <cell r="AH186">
            <v>37469</v>
          </cell>
          <cell r="AI186">
            <v>37500</v>
          </cell>
          <cell r="AJ186" t="str">
            <v>Q2:02</v>
          </cell>
          <cell r="AK186">
            <v>37530</v>
          </cell>
          <cell r="AL186">
            <v>37561</v>
          </cell>
          <cell r="AM186">
            <v>37591</v>
          </cell>
          <cell r="AN186" t="str">
            <v>Q3:02</v>
          </cell>
          <cell r="AO186">
            <v>37622</v>
          </cell>
          <cell r="AP186">
            <v>37653</v>
          </cell>
          <cell r="AQ186">
            <v>37681</v>
          </cell>
          <cell r="AR186" t="str">
            <v>Q4:02</v>
          </cell>
          <cell r="AS186">
            <v>37712</v>
          </cell>
          <cell r="AT186">
            <v>37742</v>
          </cell>
          <cell r="AU186">
            <v>37773</v>
          </cell>
          <cell r="AV186" t="str">
            <v>Q1:F04</v>
          </cell>
          <cell r="AW186">
            <v>37803</v>
          </cell>
          <cell r="AX186">
            <v>37834</v>
          </cell>
          <cell r="AY186">
            <v>37865</v>
          </cell>
          <cell r="AZ186" t="str">
            <v>Q2:F04</v>
          </cell>
          <cell r="BA186">
            <v>37895</v>
          </cell>
          <cell r="BB186">
            <v>37926</v>
          </cell>
          <cell r="BC186">
            <v>37956</v>
          </cell>
          <cell r="BD186" t="str">
            <v>Q3:F04</v>
          </cell>
          <cell r="BE186">
            <v>37987</v>
          </cell>
          <cell r="BF186">
            <v>38018</v>
          </cell>
          <cell r="BG186">
            <v>38047</v>
          </cell>
          <cell r="BH186" t="str">
            <v>Q4:F04</v>
          </cell>
          <cell r="BI186">
            <v>38078</v>
          </cell>
          <cell r="BJ186">
            <v>38108</v>
          </cell>
          <cell r="BK186">
            <v>38139</v>
          </cell>
          <cell r="BL186" t="str">
            <v>Q1:F05</v>
          </cell>
          <cell r="BM186">
            <v>38169</v>
          </cell>
          <cell r="BN186">
            <v>38200</v>
          </cell>
          <cell r="BO186">
            <v>38231</v>
          </cell>
          <cell r="BP186" t="str">
            <v>Q2:F05E</v>
          </cell>
        </row>
        <row r="187">
          <cell r="A187" t="str">
            <v>AEROBID</v>
          </cell>
        </row>
        <row r="188">
          <cell r="A188" t="str">
            <v>TRx</v>
          </cell>
          <cell r="D188">
            <v>71190</v>
          </cell>
          <cell r="E188">
            <v>74957</v>
          </cell>
          <cell r="F188">
            <v>72022</v>
          </cell>
          <cell r="G188">
            <v>73003</v>
          </cell>
          <cell r="H188">
            <v>219982</v>
          </cell>
          <cell r="I188">
            <v>71965</v>
          </cell>
          <cell r="J188">
            <v>62202</v>
          </cell>
          <cell r="K188">
            <v>66475</v>
          </cell>
          <cell r="L188">
            <v>200642</v>
          </cell>
          <cell r="M188">
            <v>62254</v>
          </cell>
          <cell r="N188">
            <v>60946</v>
          </cell>
          <cell r="O188">
            <v>55545</v>
          </cell>
          <cell r="P188">
            <v>178745</v>
          </cell>
          <cell r="Q188">
            <v>52623</v>
          </cell>
          <cell r="R188">
            <v>52854</v>
          </cell>
          <cell r="S188">
            <v>49325</v>
          </cell>
          <cell r="T188">
            <v>154802</v>
          </cell>
          <cell r="U188">
            <v>53570</v>
          </cell>
          <cell r="V188">
            <v>50141</v>
          </cell>
          <cell r="W188">
            <v>50801</v>
          </cell>
          <cell r="X188">
            <v>154512</v>
          </cell>
          <cell r="Y188">
            <v>48991</v>
          </cell>
          <cell r="Z188">
            <v>43413</v>
          </cell>
          <cell r="AA188">
            <v>44828</v>
          </cell>
          <cell r="AB188">
            <v>137232</v>
          </cell>
          <cell r="AC188">
            <v>42792</v>
          </cell>
          <cell r="AD188">
            <v>42339</v>
          </cell>
          <cell r="AE188">
            <v>37202</v>
          </cell>
          <cell r="AF188">
            <v>122333</v>
          </cell>
          <cell r="AG188">
            <v>37711</v>
          </cell>
          <cell r="AH188">
            <v>37464</v>
          </cell>
          <cell r="AI188">
            <v>36096</v>
          </cell>
          <cell r="AJ188">
            <v>111271</v>
          </cell>
          <cell r="AK188">
            <v>39153</v>
          </cell>
          <cell r="AL188">
            <v>37301</v>
          </cell>
          <cell r="AM188">
            <v>39281</v>
          </cell>
          <cell r="AN188">
            <v>115735</v>
          </cell>
          <cell r="AO188">
            <v>37475</v>
          </cell>
          <cell r="AP188">
            <v>33827</v>
          </cell>
          <cell r="AQ188">
            <v>36361</v>
          </cell>
          <cell r="AR188">
            <v>107663</v>
          </cell>
          <cell r="AS188">
            <v>33659</v>
          </cell>
          <cell r="AT188">
            <v>33770</v>
          </cell>
          <cell r="AU188">
            <v>30739</v>
          </cell>
          <cell r="AV188">
            <v>98168</v>
          </cell>
          <cell r="AW188">
            <v>30107</v>
          </cell>
          <cell r="AX188">
            <v>28800</v>
          </cell>
          <cell r="AY188">
            <v>29472</v>
          </cell>
          <cell r="AZ188">
            <v>88379</v>
          </cell>
          <cell r="BA188">
            <v>31216</v>
          </cell>
          <cell r="BB188">
            <v>28282</v>
          </cell>
          <cell r="BC188">
            <v>32616</v>
          </cell>
          <cell r="BD188">
            <v>92114</v>
          </cell>
          <cell r="BE188">
            <v>28916</v>
          </cell>
          <cell r="BF188">
            <v>25329</v>
          </cell>
          <cell r="BG188">
            <v>27343</v>
          </cell>
          <cell r="BH188">
            <v>81588</v>
          </cell>
          <cell r="BI188">
            <v>24897</v>
          </cell>
          <cell r="BJ188">
            <v>23033</v>
          </cell>
          <cell r="BK188">
            <v>22728</v>
          </cell>
          <cell r="BL188">
            <v>70658</v>
          </cell>
          <cell r="BM188">
            <v>21694</v>
          </cell>
          <cell r="BN188">
            <v>21277</v>
          </cell>
          <cell r="BO188">
            <v>20899</v>
          </cell>
          <cell r="BP188">
            <v>63870</v>
          </cell>
        </row>
        <row r="189">
          <cell r="A189" t="str">
            <v xml:space="preserve">  % Change</v>
          </cell>
          <cell r="S189">
            <v>-0.30713583368450625</v>
          </cell>
          <cell r="U189">
            <v>-0.28532358552236614</v>
          </cell>
          <cell r="V189">
            <v>-0.30380994696065089</v>
          </cell>
          <cell r="W189">
            <v>-0.30412448803473835</v>
          </cell>
          <cell r="X189">
            <v>-0.29761525943031708</v>
          </cell>
          <cell r="Y189">
            <v>-0.31923851872437992</v>
          </cell>
          <cell r="Z189">
            <v>-0.30206424230732132</v>
          </cell>
          <cell r="AA189">
            <v>-0.32564121850319672</v>
          </cell>
          <cell r="AB189">
            <v>-0.31603552596166307</v>
          </cell>
          <cell r="AC189">
            <v>-0.31262248208950427</v>
          </cell>
          <cell r="AD189">
            <v>-0.30530305516358747</v>
          </cell>
          <cell r="AE189">
            <v>-0.33023674498154654</v>
          </cell>
          <cell r="AF189">
            <v>-0.31560043637584267</v>
          </cell>
          <cell r="AG189">
            <v>-0.28337418999296882</v>
          </cell>
          <cell r="AH189">
            <v>-0.29117947553638324</v>
          </cell>
          <cell r="AI189">
            <v>-0.26820070957932085</v>
          </cell>
          <cell r="AJ189">
            <v>-0.28120437720442892</v>
          </cell>
          <cell r="AK189">
            <v>-0.26912450998693294</v>
          </cell>
          <cell r="AL189">
            <v>-0.25607786043357728</v>
          </cell>
          <cell r="AM189">
            <v>-0.22676718962225151</v>
          </cell>
          <cell r="AN189">
            <v>-0.25096432639536093</v>
          </cell>
          <cell r="AO189">
            <v>-0.23506358310710129</v>
          </cell>
          <cell r="AP189">
            <v>-0.22080943496187777</v>
          </cell>
          <cell r="AQ189">
            <v>-0.18887748728473275</v>
          </cell>
          <cell r="AR189">
            <v>-0.21546723796199141</v>
          </cell>
          <cell r="AS189">
            <v>-0.21342774350345861</v>
          </cell>
          <cell r="AT189">
            <v>-0.20239023122889066</v>
          </cell>
          <cell r="AU189">
            <v>-0.17372721896672227</v>
          </cell>
          <cell r="AV189">
            <v>-0.19753459818691599</v>
          </cell>
          <cell r="AW189">
            <v>-0.2016387791360611</v>
          </cell>
          <cell r="AX189">
            <v>-0.23126201153106984</v>
          </cell>
          <cell r="AY189">
            <v>-0.18351063829787229</v>
          </cell>
          <cell r="AZ189">
            <v>-0.20573195172147285</v>
          </cell>
          <cell r="BA189">
            <v>-0.20271754399407449</v>
          </cell>
          <cell r="BB189">
            <v>-0.2417897643494813</v>
          </cell>
          <cell r="BC189">
            <v>-0.16967490644331862</v>
          </cell>
          <cell r="BD189">
            <v>-0.20409556313993171</v>
          </cell>
          <cell r="BE189">
            <v>-0.22839226150767178</v>
          </cell>
          <cell r="BF189">
            <v>-0.25121944009223396</v>
          </cell>
          <cell r="BG189">
            <v>-0.24801298094111823</v>
          </cell>
          <cell r="BH189">
            <v>-0.24219091052636466</v>
          </cell>
          <cell r="BI189">
            <v>-0.26031670578448562</v>
          </cell>
          <cell r="BJ189">
            <v>-0.31794492152798337</v>
          </cell>
          <cell r="BK189">
            <v>-0.26061355281564136</v>
          </cell>
          <cell r="BL189">
            <v>-0.28023388476896749</v>
          </cell>
          <cell r="BM189">
            <v>-0.2794366758561132</v>
          </cell>
          <cell r="BN189">
            <v>-0.26121527777777775</v>
          </cell>
          <cell r="BO189">
            <v>-0.29088626492942449</v>
          </cell>
          <cell r="BP189">
            <v>-0.27731700969687367</v>
          </cell>
        </row>
        <row r="190">
          <cell r="A190" t="str">
            <v>28410:STEROID,INHALED BRONCHIAL</v>
          </cell>
          <cell r="C190">
            <v>1435187</v>
          </cell>
          <cell r="D190">
            <v>1468749</v>
          </cell>
          <cell r="E190">
            <v>1621453</v>
          </cell>
          <cell r="F190">
            <v>1636066</v>
          </cell>
          <cell r="G190">
            <v>1703532</v>
          </cell>
          <cell r="H190">
            <v>4961051</v>
          </cell>
          <cell r="I190">
            <v>1739686</v>
          </cell>
          <cell r="J190">
            <v>1568574</v>
          </cell>
          <cell r="K190">
            <v>1738772</v>
          </cell>
          <cell r="L190">
            <v>5047032</v>
          </cell>
          <cell r="M190">
            <v>1600329</v>
          </cell>
          <cell r="N190">
            <v>1597858</v>
          </cell>
          <cell r="O190">
            <v>1389052</v>
          </cell>
          <cell r="P190">
            <v>4587239</v>
          </cell>
          <cell r="Q190">
            <v>1301786</v>
          </cell>
          <cell r="R190">
            <v>1331535</v>
          </cell>
          <cell r="S190">
            <v>1287659</v>
          </cell>
          <cell r="T190">
            <v>3920980</v>
          </cell>
          <cell r="U190">
            <v>1469604</v>
          </cell>
          <cell r="V190">
            <v>1393058</v>
          </cell>
          <cell r="W190">
            <v>1416322</v>
          </cell>
          <cell r="X190">
            <v>4278984</v>
          </cell>
          <cell r="Y190">
            <v>1421006</v>
          </cell>
          <cell r="Z190">
            <v>1292830</v>
          </cell>
          <cell r="AA190">
            <v>1339411</v>
          </cell>
          <cell r="AB190">
            <v>4053247</v>
          </cell>
          <cell r="AC190">
            <v>1294354</v>
          </cell>
          <cell r="AD190">
            <v>1275020</v>
          </cell>
          <cell r="AE190">
            <v>1117958</v>
          </cell>
          <cell r="AF190">
            <v>3687332</v>
          </cell>
          <cell r="AG190">
            <v>1114486</v>
          </cell>
          <cell r="AH190">
            <v>1102297</v>
          </cell>
          <cell r="AI190">
            <v>1135826</v>
          </cell>
          <cell r="AJ190">
            <v>3352609</v>
          </cell>
          <cell r="AK190">
            <v>1267794</v>
          </cell>
          <cell r="AL190">
            <v>1244908</v>
          </cell>
          <cell r="AM190">
            <v>1293624</v>
          </cell>
          <cell r="AN190">
            <v>3806326</v>
          </cell>
          <cell r="AO190">
            <v>1248060</v>
          </cell>
          <cell r="AP190">
            <v>1144140</v>
          </cell>
          <cell r="AQ190">
            <v>1205045</v>
          </cell>
          <cell r="AR190">
            <v>3597245</v>
          </cell>
          <cell r="AS190">
            <v>1135989</v>
          </cell>
          <cell r="AT190">
            <v>1129209</v>
          </cell>
          <cell r="AU190">
            <v>1129209</v>
          </cell>
          <cell r="AV190">
            <v>3394407</v>
          </cell>
          <cell r="AW190">
            <v>1129209</v>
          </cell>
          <cell r="AX190">
            <v>1129209</v>
          </cell>
          <cell r="AY190">
            <v>1129209</v>
          </cell>
          <cell r="AZ190">
            <v>3387627</v>
          </cell>
          <cell r="BD190">
            <v>0</v>
          </cell>
          <cell r="BH190">
            <v>0</v>
          </cell>
          <cell r="BL190">
            <v>0</v>
          </cell>
          <cell r="BP190">
            <v>0</v>
          </cell>
        </row>
        <row r="191">
          <cell r="A191" t="str">
            <v>TRx Market Share</v>
          </cell>
          <cell r="H191">
            <v>4.4341813861619242E-2</v>
          </cell>
          <cell r="L191">
            <v>3.9754453706653731E-2</v>
          </cell>
          <cell r="P191">
            <v>3.8965704642814555E-2</v>
          </cell>
          <cell r="T191">
            <v>3.948043601344562E-2</v>
          </cell>
          <cell r="X191">
            <v>3.6109506368801565E-2</v>
          </cell>
          <cell r="AB191">
            <v>3.3857300085585705E-2</v>
          </cell>
          <cell r="AC191">
            <v>3.3060507403693269E-2</v>
          </cell>
          <cell r="AD191">
            <v>3.320653793665982E-2</v>
          </cell>
          <cell r="AE191">
            <v>3.3276742060077392E-2</v>
          </cell>
          <cell r="AF191">
            <v>3.317656234914567E-2</v>
          </cell>
          <cell r="AG191">
            <v>3.3837123122228543E-2</v>
          </cell>
          <cell r="AH191">
            <v>3.3987210343491815E-2</v>
          </cell>
          <cell r="AI191">
            <v>3.1779515524384898E-2</v>
          </cell>
          <cell r="AJ191">
            <v>3.3189375796581114E-2</v>
          </cell>
          <cell r="AK191">
            <v>3.0882777485932256E-2</v>
          </cell>
          <cell r="AL191">
            <v>2.9962856693024707E-2</v>
          </cell>
          <cell r="AM191">
            <v>3.0365082898894887E-2</v>
          </cell>
          <cell r="AN191">
            <v>3.0405961023832431E-2</v>
          </cell>
          <cell r="AO191">
            <v>3.0026601285194621E-2</v>
          </cell>
          <cell r="AP191">
            <v>2.9565437796073908E-2</v>
          </cell>
          <cell r="AQ191">
            <v>3.017397690542677E-2</v>
          </cell>
          <cell r="AR191">
            <v>2.9929293111811955E-2</v>
          </cell>
          <cell r="AS191">
            <v>2.9629688315643901E-2</v>
          </cell>
          <cell r="AT191">
            <v>2.9905889875124977E-2</v>
          </cell>
          <cell r="AU191">
            <v>2.7221710064301647E-2</v>
          </cell>
          <cell r="AV191">
            <v>2.8920515424343634E-2</v>
          </cell>
          <cell r="AW191">
            <v>2.6662026250233572E-2</v>
          </cell>
          <cell r="AX191">
            <v>2.550457886892506E-2</v>
          </cell>
          <cell r="AY191">
            <v>2.6099685709199981E-2</v>
          </cell>
          <cell r="AZ191">
            <v>2.6088763609452871E-2</v>
          </cell>
          <cell r="BD191" t="e">
            <v>#DIV/0!</v>
          </cell>
          <cell r="BH191" t="e">
            <v>#DIV/0!</v>
          </cell>
          <cell r="BL191" t="e">
            <v>#DIV/0!</v>
          </cell>
          <cell r="BP191" t="e">
            <v>#DIV/0!</v>
          </cell>
        </row>
        <row r="192">
          <cell r="A192" t="str">
            <v>NRx</v>
          </cell>
          <cell r="D192">
            <v>28403</v>
          </cell>
          <cell r="E192">
            <v>30590</v>
          </cell>
          <cell r="F192">
            <v>29203</v>
          </cell>
          <cell r="G192">
            <v>28429</v>
          </cell>
          <cell r="H192">
            <v>88222</v>
          </cell>
          <cell r="I192">
            <v>29726</v>
          </cell>
          <cell r="J192">
            <v>25402</v>
          </cell>
          <cell r="K192">
            <v>26379</v>
          </cell>
          <cell r="L192">
            <v>81507</v>
          </cell>
          <cell r="M192">
            <v>24910</v>
          </cell>
          <cell r="N192">
            <v>23908</v>
          </cell>
          <cell r="O192">
            <v>21236</v>
          </cell>
          <cell r="P192">
            <v>70054</v>
          </cell>
          <cell r="Q192">
            <v>18839</v>
          </cell>
          <cell r="R192">
            <v>19413</v>
          </cell>
          <cell r="S192">
            <v>18792</v>
          </cell>
          <cell r="T192">
            <v>57044</v>
          </cell>
          <cell r="U192">
            <v>21234</v>
          </cell>
          <cell r="V192">
            <v>19912</v>
          </cell>
          <cell r="W192">
            <v>19391</v>
          </cell>
          <cell r="X192">
            <v>60537</v>
          </cell>
          <cell r="Y192">
            <v>20148</v>
          </cell>
          <cell r="Z192">
            <v>17849</v>
          </cell>
          <cell r="AA192">
            <v>18272</v>
          </cell>
          <cell r="AB192">
            <v>56269</v>
          </cell>
          <cell r="AC192">
            <v>17451</v>
          </cell>
          <cell r="AD192">
            <v>17169</v>
          </cell>
          <cell r="AE192">
            <v>14272</v>
          </cell>
          <cell r="AF192">
            <v>48892</v>
          </cell>
          <cell r="AG192">
            <v>14500</v>
          </cell>
          <cell r="AH192">
            <v>14328</v>
          </cell>
          <cell r="AI192">
            <v>14413</v>
          </cell>
          <cell r="AJ192">
            <v>43241</v>
          </cell>
          <cell r="AK192">
            <v>16291</v>
          </cell>
          <cell r="AL192">
            <v>15545</v>
          </cell>
          <cell r="AM192">
            <v>16120</v>
          </cell>
          <cell r="AN192">
            <v>47956</v>
          </cell>
          <cell r="AO192">
            <v>16162</v>
          </cell>
          <cell r="AP192">
            <v>14575</v>
          </cell>
          <cell r="AQ192">
            <v>15234</v>
          </cell>
          <cell r="AR192">
            <v>45971</v>
          </cell>
          <cell r="AS192">
            <v>14012</v>
          </cell>
          <cell r="AT192">
            <v>13879</v>
          </cell>
          <cell r="AU192">
            <v>12141</v>
          </cell>
          <cell r="AV192">
            <v>40032</v>
          </cell>
          <cell r="AW192">
            <v>11736</v>
          </cell>
          <cell r="AX192">
            <v>11252</v>
          </cell>
          <cell r="AY192">
            <v>12289</v>
          </cell>
          <cell r="AZ192">
            <v>35277</v>
          </cell>
          <cell r="BA192">
            <v>13723</v>
          </cell>
          <cell r="BB192">
            <v>12226</v>
          </cell>
          <cell r="BC192">
            <v>14385</v>
          </cell>
          <cell r="BD192">
            <v>40334</v>
          </cell>
          <cell r="BE192">
            <v>12519</v>
          </cell>
          <cell r="BF192">
            <v>10811</v>
          </cell>
          <cell r="BG192">
            <v>11369</v>
          </cell>
          <cell r="BH192">
            <v>34699</v>
          </cell>
          <cell r="BI192">
            <v>10229</v>
          </cell>
          <cell r="BJ192">
            <v>9242</v>
          </cell>
          <cell r="BK192">
            <v>8817</v>
          </cell>
          <cell r="BL192">
            <v>28288</v>
          </cell>
          <cell r="BM192">
            <v>8181</v>
          </cell>
          <cell r="BN192">
            <v>8105</v>
          </cell>
          <cell r="BO192">
            <v>8149</v>
          </cell>
          <cell r="BP192">
            <v>24435</v>
          </cell>
        </row>
        <row r="193">
          <cell r="A193" t="str">
            <v xml:space="preserve">  % Change</v>
          </cell>
          <cell r="S193">
            <v>-0.33837974861810372</v>
          </cell>
          <cell r="U193">
            <v>-0.30585158548545277</v>
          </cell>
          <cell r="V193">
            <v>-0.31815224463240077</v>
          </cell>
          <cell r="W193">
            <v>-0.3179148053044426</v>
          </cell>
          <cell r="X193">
            <v>-0.31381061413252931</v>
          </cell>
          <cell r="Y193">
            <v>-0.32220951355715532</v>
          </cell>
          <cell r="Z193">
            <v>-0.29733879222108495</v>
          </cell>
          <cell r="AA193">
            <v>-0.30732779862769632</v>
          </cell>
          <cell r="AB193">
            <v>-0.30964211662801966</v>
          </cell>
          <cell r="AC193">
            <v>-0.29943797671617822</v>
          </cell>
          <cell r="AD193">
            <v>-0.28187217667726283</v>
          </cell>
          <cell r="AE193">
            <v>-0.32793369749482015</v>
          </cell>
          <cell r="AF193">
            <v>-0.30208125160590404</v>
          </cell>
          <cell r="AG193">
            <v>-0.23032008068368814</v>
          </cell>
          <cell r="AH193">
            <v>-0.26193787668057489</v>
          </cell>
          <cell r="AI193">
            <v>-0.23302469135802473</v>
          </cell>
          <cell r="AJ193">
            <v>-0.24197111002033522</v>
          </cell>
          <cell r="AK193">
            <v>-0.2327870396533861</v>
          </cell>
          <cell r="AL193">
            <v>-0.21931498593812782</v>
          </cell>
          <cell r="AM193">
            <v>-0.16868650404826979</v>
          </cell>
          <cell r="AN193">
            <v>-0.20782331466706316</v>
          </cell>
          <cell r="AO193">
            <v>-0.19783601350009927</v>
          </cell>
          <cell r="AP193">
            <v>-0.18342764300521042</v>
          </cell>
          <cell r="AQ193">
            <v>-0.16626532399299476</v>
          </cell>
          <cell r="AR193">
            <v>-0.18301373758197226</v>
          </cell>
          <cell r="AS193">
            <v>-0.19706607071228011</v>
          </cell>
          <cell r="AT193">
            <v>-0.19162443939658691</v>
          </cell>
          <cell r="AU193">
            <v>-0.14931334080717484</v>
          </cell>
          <cell r="AV193">
            <v>-0.1812157408164935</v>
          </cell>
          <cell r="AW193">
            <v>-0.19062068965517243</v>
          </cell>
          <cell r="AX193">
            <v>-0.21468453378001118</v>
          </cell>
          <cell r="AY193">
            <v>-0.14736696038298758</v>
          </cell>
          <cell r="AZ193">
            <v>-0.18417705418468588</v>
          </cell>
          <cell r="BA193">
            <v>-0.15763304892271801</v>
          </cell>
          <cell r="BB193">
            <v>-0.21350916693470567</v>
          </cell>
          <cell r="BC193">
            <v>-0.10763027295285355</v>
          </cell>
          <cell r="BD193">
            <v>-0.15893735924597552</v>
          </cell>
          <cell r="BE193">
            <v>-0.22540527162479895</v>
          </cell>
          <cell r="BF193">
            <v>-0.25825042881646654</v>
          </cell>
          <cell r="BG193">
            <v>-0.25370880924248396</v>
          </cell>
          <cell r="BH193">
            <v>-0.2451980596462987</v>
          </cell>
          <cell r="BI193">
            <v>-0.26998287182415071</v>
          </cell>
          <cell r="BJ193">
            <v>-0.33410188053894374</v>
          </cell>
          <cell r="BK193">
            <v>-0.27378304917222629</v>
          </cell>
          <cell r="BL193">
            <v>-0.29336530775379699</v>
          </cell>
          <cell r="BM193">
            <v>-0.30291411042944782</v>
          </cell>
          <cell r="BN193">
            <v>-0.27968361180234624</v>
          </cell>
          <cell r="BO193">
            <v>-0.33688664659451539</v>
          </cell>
          <cell r="BP193">
            <v>-0.30733905944383022</v>
          </cell>
        </row>
        <row r="194">
          <cell r="A194" t="str">
            <v>Price Change (YoY)</v>
          </cell>
          <cell r="H194">
            <v>0</v>
          </cell>
          <cell r="L194">
            <v>0</v>
          </cell>
          <cell r="P194">
            <v>0</v>
          </cell>
          <cell r="T194">
            <v>0</v>
          </cell>
          <cell r="X194">
            <v>0</v>
          </cell>
          <cell r="AA194">
            <v>0.06</v>
          </cell>
          <cell r="AB194">
            <v>0.06</v>
          </cell>
          <cell r="AF194">
            <v>0.06</v>
          </cell>
          <cell r="AJ194">
            <v>0.06</v>
          </cell>
          <cell r="AN194">
            <v>0.06</v>
          </cell>
          <cell r="AR194">
            <v>0</v>
          </cell>
          <cell r="AV194">
            <v>0</v>
          </cell>
          <cell r="AZ194">
            <v>0</v>
          </cell>
        </row>
        <row r="195">
          <cell r="A195" t="str">
            <v>Sales (IMS)</v>
          </cell>
          <cell r="C195">
            <v>5.4547489999999996</v>
          </cell>
          <cell r="D195">
            <v>7.2909220000000001</v>
          </cell>
          <cell r="E195">
            <v>5.9941300000000002</v>
          </cell>
          <cell r="F195">
            <v>5.7714939999999997</v>
          </cell>
          <cell r="G195">
            <v>7.3964259999999999</v>
          </cell>
          <cell r="H195">
            <v>19.162050000000001</v>
          </cell>
          <cell r="I195">
            <v>5.5270760000000001</v>
          </cell>
          <cell r="J195">
            <v>5.4760479999999996</v>
          </cell>
          <cell r="K195">
            <v>6.4878349999999996</v>
          </cell>
          <cell r="L195">
            <v>17.490959</v>
          </cell>
          <cell r="M195">
            <v>5.0148320000000002</v>
          </cell>
          <cell r="N195">
            <v>5.3142889999999996</v>
          </cell>
          <cell r="O195">
            <v>5.6674350000000002</v>
          </cell>
          <cell r="P195">
            <v>15.996556</v>
          </cell>
          <cell r="Q195">
            <v>4.5290330000000001</v>
          </cell>
          <cell r="R195">
            <v>4.3320340000000002</v>
          </cell>
          <cell r="S195">
            <v>5.279782</v>
          </cell>
          <cell r="T195">
            <v>14.140849000000001</v>
          </cell>
          <cell r="U195">
            <v>4.3777359999999996</v>
          </cell>
          <cell r="V195">
            <v>5.2372909999999999</v>
          </cell>
          <cell r="W195">
            <v>5.3170820000000001</v>
          </cell>
          <cell r="X195">
            <v>14.932109000000001</v>
          </cell>
          <cell r="Y195">
            <v>3.914812</v>
          </cell>
          <cell r="Z195">
            <v>3.9650110000000001</v>
          </cell>
          <cell r="AA195">
            <v>5.2808299999999999</v>
          </cell>
          <cell r="AB195">
            <v>13.160653</v>
          </cell>
          <cell r="AC195">
            <v>4.0411720000000004</v>
          </cell>
          <cell r="AD195">
            <v>3.7046250000000001</v>
          </cell>
          <cell r="AE195">
            <v>4.3156080000000001</v>
          </cell>
          <cell r="AF195">
            <v>12.061405000000001</v>
          </cell>
          <cell r="AG195">
            <v>3.5535380000000001</v>
          </cell>
          <cell r="AH195">
            <v>3.462609</v>
          </cell>
          <cell r="AI195">
            <v>4.3448289999999998</v>
          </cell>
          <cell r="AJ195">
            <v>11.360975999999999</v>
          </cell>
          <cell r="AK195">
            <v>3.6265290000000001</v>
          </cell>
          <cell r="AL195">
            <v>3.4967250000000001</v>
          </cell>
          <cell r="AM195">
            <v>4.5151139999999996</v>
          </cell>
          <cell r="AN195">
            <v>11.638368</v>
          </cell>
          <cell r="AO195">
            <v>3.6383540000000001</v>
          </cell>
          <cell r="AP195">
            <v>3.4385300000000001</v>
          </cell>
          <cell r="AQ195">
            <v>4.3612609999999998</v>
          </cell>
          <cell r="AR195">
            <v>11.438145</v>
          </cell>
          <cell r="AS195">
            <v>3.5963639999999999</v>
          </cell>
          <cell r="AT195">
            <v>3.4949919999999999</v>
          </cell>
          <cell r="AU195">
            <v>4.3980880000000004</v>
          </cell>
          <cell r="AV195">
            <v>11.489444000000001</v>
          </cell>
          <cell r="AW195">
            <v>3.1306099999999999</v>
          </cell>
          <cell r="AX195">
            <v>3.2899569999999998</v>
          </cell>
          <cell r="AY195">
            <v>4.0771240000000004</v>
          </cell>
          <cell r="AZ195">
            <v>10.497691</v>
          </cell>
          <cell r="BA195">
            <v>3.1530960000000001</v>
          </cell>
          <cell r="BB195">
            <v>3.2500990000000001</v>
          </cell>
          <cell r="BC195">
            <v>4.1625519999999998</v>
          </cell>
          <cell r="BD195">
            <v>10.565747</v>
          </cell>
          <cell r="BE195">
            <v>3.2431269999999999</v>
          </cell>
          <cell r="BF195">
            <v>3.2098930000000001</v>
          </cell>
          <cell r="BG195">
            <v>4.0539370000000003</v>
          </cell>
          <cell r="BH195">
            <v>10.506957</v>
          </cell>
          <cell r="BI195">
            <v>3.0913140000000001</v>
          </cell>
          <cell r="BJ195">
            <v>3.0291570000000001</v>
          </cell>
          <cell r="BK195">
            <v>3.536308</v>
          </cell>
          <cell r="BL195">
            <v>9.6567790000000002</v>
          </cell>
          <cell r="BM195">
            <v>2.7233160000000001</v>
          </cell>
          <cell r="BN195">
            <v>2.6787100000000001</v>
          </cell>
        </row>
        <row r="196">
          <cell r="A196" t="str">
            <v xml:space="preserve">  % Change</v>
          </cell>
          <cell r="S196">
            <v>-0.27584165624045909</v>
          </cell>
          <cell r="U196">
            <v>-0.26966282012568976</v>
          </cell>
          <cell r="V196">
            <v>-9.2558876436499737E-2</v>
          </cell>
          <cell r="W196">
            <v>-0.28112820975968666</v>
          </cell>
          <cell r="X196">
            <v>-0.22074574484462783</v>
          </cell>
          <cell r="Y196">
            <v>-0.2917028823196931</v>
          </cell>
          <cell r="Z196">
            <v>-0.27593567477859937</v>
          </cell>
          <cell r="AA196">
            <v>-0.18604126029715606</v>
          </cell>
          <cell r="AB196">
            <v>-0.24757396092461259</v>
          </cell>
          <cell r="AC196">
            <v>-0.19415605547703285</v>
          </cell>
          <cell r="AD196">
            <v>-0.30289357616795021</v>
          </cell>
          <cell r="AE196">
            <v>-0.23852536464908725</v>
          </cell>
          <cell r="AF196">
            <v>-0.24599988897610203</v>
          </cell>
          <cell r="AG196">
            <v>-0.21538703736537135</v>
          </cell>
          <cell r="AH196">
            <v>-0.20069671660010058</v>
          </cell>
          <cell r="AI196">
            <v>-0.17708174314772851</v>
          </cell>
          <cell r="AJ196">
            <v>-0.19658458979372473</v>
          </cell>
          <cell r="AK196">
            <v>-0.1715971451910302</v>
          </cell>
          <cell r="AL196">
            <v>-0.33234089914041431</v>
          </cell>
          <cell r="AM196">
            <v>-0.1508285935782071</v>
          </cell>
          <cell r="AN196">
            <v>-0.22058109808868931</v>
          </cell>
          <cell r="AO196">
            <v>-7.0618461371835917E-2</v>
          </cell>
          <cell r="AP196">
            <v>-0.13278172494351215</v>
          </cell>
          <cell r="AQ196">
            <v>-0.17413342220825134</v>
          </cell>
          <cell r="AR196">
            <v>-0.13088317122258286</v>
          </cell>
          <cell r="AS196">
            <v>-0.11006905917392296</v>
          </cell>
          <cell r="AT196">
            <v>-5.6586834025036281E-2</v>
          </cell>
          <cell r="AU196">
            <v>1.9112023149461255E-2</v>
          </cell>
          <cell r="AV196">
            <v>-4.7420760682524099E-2</v>
          </cell>
          <cell r="AW196">
            <v>-0.11901603416088424</v>
          </cell>
          <cell r="AX196">
            <v>-4.9861823844390196E-2</v>
          </cell>
          <cell r="AY196">
            <v>-6.1614622807940056E-2</v>
          </cell>
          <cell r="AZ196">
            <v>-7.5986869437977833E-2</v>
          </cell>
          <cell r="BA196">
            <v>-0.13054714301195436</v>
          </cell>
          <cell r="BB196">
            <v>-7.0530567888524298E-2</v>
          </cell>
          <cell r="BC196">
            <v>-7.8084850127815075E-2</v>
          </cell>
          <cell r="BD196">
            <v>-9.2162492198218815E-2</v>
          </cell>
          <cell r="BE196">
            <v>-0.10862796748199877</v>
          </cell>
          <cell r="BF196">
            <v>-6.6492658199870269E-2</v>
          </cell>
          <cell r="BG196">
            <v>-7.0466775549548499E-2</v>
          </cell>
          <cell r="BH196">
            <v>-8.1410753229653965E-2</v>
          </cell>
          <cell r="BI196">
            <v>-0.14043350450621794</v>
          </cell>
          <cell r="BJ196">
            <v>-0.1332864281234406</v>
          </cell>
          <cell r="BK196">
            <v>-0.19594423758687873</v>
          </cell>
          <cell r="BL196">
            <v>-0.15950858892736675</v>
          </cell>
          <cell r="BM196">
            <v>-0.13010052354014068</v>
          </cell>
          <cell r="BN196">
            <v>-0.18579178998388113</v>
          </cell>
        </row>
        <row r="198">
          <cell r="A198" t="str">
            <v>AEROBID-M</v>
          </cell>
        </row>
        <row r="199">
          <cell r="A199" t="str">
            <v>TRx</v>
          </cell>
          <cell r="D199">
            <v>31388</v>
          </cell>
          <cell r="E199">
            <v>33495</v>
          </cell>
          <cell r="F199">
            <v>32099</v>
          </cell>
          <cell r="G199">
            <v>32791</v>
          </cell>
          <cell r="H199">
            <v>98385</v>
          </cell>
          <cell r="I199">
            <v>31223</v>
          </cell>
          <cell r="J199">
            <v>27595</v>
          </cell>
          <cell r="K199">
            <v>29481</v>
          </cell>
          <cell r="L199">
            <v>88299</v>
          </cell>
          <cell r="M199">
            <v>26944</v>
          </cell>
          <cell r="N199">
            <v>26775</v>
          </cell>
          <cell r="O199">
            <v>24533</v>
          </cell>
          <cell r="P199">
            <v>78252</v>
          </cell>
          <cell r="Q199">
            <v>23251</v>
          </cell>
          <cell r="R199">
            <v>23001</v>
          </cell>
          <cell r="S199">
            <v>20883</v>
          </cell>
          <cell r="T199">
            <v>67135</v>
          </cell>
          <cell r="U199">
            <v>22670</v>
          </cell>
          <cell r="V199">
            <v>21104</v>
          </cell>
          <cell r="W199">
            <v>21353</v>
          </cell>
          <cell r="X199">
            <v>65127</v>
          </cell>
          <cell r="Y199">
            <v>20263</v>
          </cell>
          <cell r="Z199">
            <v>18213</v>
          </cell>
          <cell r="AA199">
            <v>18523</v>
          </cell>
          <cell r="AB199">
            <v>56999</v>
          </cell>
          <cell r="AC199">
            <v>17937</v>
          </cell>
          <cell r="AD199">
            <v>17655</v>
          </cell>
          <cell r="AE199">
            <v>15938</v>
          </cell>
          <cell r="AF199">
            <v>51530</v>
          </cell>
          <cell r="AG199">
            <v>16206</v>
          </cell>
          <cell r="AH199">
            <v>15631</v>
          </cell>
          <cell r="AI199">
            <v>15053</v>
          </cell>
          <cell r="AJ199">
            <v>46890</v>
          </cell>
          <cell r="AK199">
            <v>15907</v>
          </cell>
          <cell r="AL199">
            <v>14978</v>
          </cell>
          <cell r="AM199">
            <v>15896</v>
          </cell>
          <cell r="AN199">
            <v>46781</v>
          </cell>
          <cell r="AO199">
            <v>14644</v>
          </cell>
          <cell r="AP199">
            <v>13105</v>
          </cell>
          <cell r="AQ199">
            <v>14036</v>
          </cell>
          <cell r="AR199">
            <v>41785</v>
          </cell>
          <cell r="AS199">
            <v>13234</v>
          </cell>
          <cell r="AT199">
            <v>12887</v>
          </cell>
          <cell r="AU199">
            <v>12066</v>
          </cell>
          <cell r="AV199">
            <v>38187</v>
          </cell>
          <cell r="AW199">
            <v>11662</v>
          </cell>
          <cell r="AX199">
            <v>11070</v>
          </cell>
          <cell r="AY199">
            <v>11109</v>
          </cell>
          <cell r="AZ199">
            <v>33841</v>
          </cell>
          <cell r="BA199">
            <v>11685</v>
          </cell>
          <cell r="BB199">
            <v>11027</v>
          </cell>
          <cell r="BC199">
            <v>12343</v>
          </cell>
          <cell r="BD199">
            <v>35055</v>
          </cell>
          <cell r="BE199">
            <v>10847</v>
          </cell>
          <cell r="BF199">
            <v>9758</v>
          </cell>
          <cell r="BG199">
            <v>10214</v>
          </cell>
          <cell r="BH199">
            <v>30819</v>
          </cell>
          <cell r="BI199">
            <v>9283</v>
          </cell>
          <cell r="BJ199">
            <v>8732</v>
          </cell>
          <cell r="BK199">
            <v>8985</v>
          </cell>
          <cell r="BL199">
            <v>27000</v>
          </cell>
          <cell r="BM199">
            <v>8362</v>
          </cell>
          <cell r="BN199">
            <v>8329</v>
          </cell>
          <cell r="BO199">
            <v>8202</v>
          </cell>
          <cell r="BP199">
            <v>24893</v>
          </cell>
        </row>
        <row r="200">
          <cell r="A200" t="str">
            <v xml:space="preserve">  % Change</v>
          </cell>
          <cell r="S200">
            <v>-0.33468204409328406</v>
          </cell>
          <cell r="U200">
            <v>-0.32318256456187489</v>
          </cell>
          <cell r="V200">
            <v>-0.34253403532820337</v>
          </cell>
          <cell r="W200">
            <v>-0.34881522368942697</v>
          </cell>
          <cell r="X200">
            <v>-0.33803933526452201</v>
          </cell>
          <cell r="Y200">
            <v>-0.35102328411747752</v>
          </cell>
          <cell r="Z200">
            <v>-0.33998912846530172</v>
          </cell>
          <cell r="AA200">
            <v>-0.37169702520267289</v>
          </cell>
          <cell r="AB200">
            <v>-0.35447740065006395</v>
          </cell>
          <cell r="AC200">
            <v>-0.33428592636579568</v>
          </cell>
          <cell r="AD200">
            <v>-0.34061624649859945</v>
          </cell>
          <cell r="AE200">
            <v>-0.35034443402763626</v>
          </cell>
          <cell r="AF200">
            <v>-0.34148647957879674</v>
          </cell>
          <cell r="AG200">
            <v>-0.30299772052814933</v>
          </cell>
          <cell r="AH200">
            <v>-0.32042085126733622</v>
          </cell>
          <cell r="AI200">
            <v>-0.27917444811569214</v>
          </cell>
          <cell r="AJ200">
            <v>-0.30155656512996198</v>
          </cell>
          <cell r="AK200">
            <v>-0.29832377591530657</v>
          </cell>
          <cell r="AL200">
            <v>-0.29027672479150868</v>
          </cell>
          <cell r="AM200">
            <v>-0.25556127944551121</v>
          </cell>
          <cell r="AN200">
            <v>-0.28169576366176852</v>
          </cell>
          <cell r="AO200">
            <v>-0.2773034595074767</v>
          </cell>
          <cell r="AP200">
            <v>-0.28045901279305985</v>
          </cell>
          <cell r="AQ200">
            <v>-0.24223937807050688</v>
          </cell>
          <cell r="AR200">
            <v>-0.2669169634554992</v>
          </cell>
          <cell r="AS200">
            <v>-0.26219546189440823</v>
          </cell>
          <cell r="AT200">
            <v>-0.27006513735485693</v>
          </cell>
          <cell r="AU200">
            <v>-0.24294139791692815</v>
          </cell>
          <cell r="AV200">
            <v>-0.2589365418202989</v>
          </cell>
          <cell r="AW200">
            <v>-0.28038997902011598</v>
          </cell>
          <cell r="AX200">
            <v>-0.29179195189047402</v>
          </cell>
          <cell r="AY200">
            <v>-0.26200757324121438</v>
          </cell>
          <cell r="AZ200">
            <v>-0.27828961399018981</v>
          </cell>
          <cell r="BA200">
            <v>-0.26541774061733825</v>
          </cell>
          <cell r="BB200">
            <v>-0.26378688743490453</v>
          </cell>
          <cell r="BC200">
            <v>-0.22351534977352794</v>
          </cell>
          <cell r="BD200">
            <v>-0.25065731814198067</v>
          </cell>
          <cell r="BE200">
            <v>-0.25928708003277789</v>
          </cell>
          <cell r="BF200">
            <v>-0.2553987027851965</v>
          </cell>
          <cell r="BG200">
            <v>-0.27229980051296665</v>
          </cell>
          <cell r="BH200">
            <v>-0.26243867416537037</v>
          </cell>
          <cell r="BI200">
            <v>-0.29854919147649994</v>
          </cell>
          <cell r="BJ200">
            <v>-0.32241794056025452</v>
          </cell>
          <cell r="BK200">
            <v>-0.25534559920437594</v>
          </cell>
          <cell r="BL200">
            <v>-0.29295309922224844</v>
          </cell>
          <cell r="BM200">
            <v>-0.28297033098953872</v>
          </cell>
          <cell r="BN200">
            <v>-0.247606142728094</v>
          </cell>
          <cell r="BO200">
            <v>-0.2616797191466379</v>
          </cell>
          <cell r="BP200">
            <v>-0.2644129901598653</v>
          </cell>
        </row>
        <row r="201">
          <cell r="A201" t="str">
            <v>NRx</v>
          </cell>
          <cell r="D201">
            <v>10749</v>
          </cell>
          <cell r="E201">
            <v>11556</v>
          </cell>
          <cell r="F201">
            <v>10814</v>
          </cell>
          <cell r="G201">
            <v>11058</v>
          </cell>
          <cell r="H201">
            <v>33428</v>
          </cell>
          <cell r="I201">
            <v>10918</v>
          </cell>
          <cell r="J201">
            <v>9889</v>
          </cell>
          <cell r="K201">
            <v>9996</v>
          </cell>
          <cell r="L201">
            <v>30803</v>
          </cell>
          <cell r="M201">
            <v>9185</v>
          </cell>
          <cell r="N201">
            <v>8694</v>
          </cell>
          <cell r="O201">
            <v>7663</v>
          </cell>
          <cell r="P201">
            <v>25542</v>
          </cell>
          <cell r="Q201">
            <v>7139</v>
          </cell>
          <cell r="R201">
            <v>7158</v>
          </cell>
          <cell r="S201">
            <v>6269</v>
          </cell>
          <cell r="T201">
            <v>20566</v>
          </cell>
          <cell r="U201">
            <v>7695</v>
          </cell>
          <cell r="V201">
            <v>7109</v>
          </cell>
          <cell r="W201">
            <v>6851</v>
          </cell>
          <cell r="X201">
            <v>21655</v>
          </cell>
          <cell r="Y201">
            <v>7489</v>
          </cell>
          <cell r="Z201">
            <v>6631</v>
          </cell>
          <cell r="AA201">
            <v>6657</v>
          </cell>
          <cell r="AB201">
            <v>20777</v>
          </cell>
          <cell r="AC201">
            <v>6360</v>
          </cell>
          <cell r="AD201">
            <v>5999</v>
          </cell>
          <cell r="AE201">
            <v>5268</v>
          </cell>
          <cell r="AF201">
            <v>17627</v>
          </cell>
          <cell r="AG201">
            <v>5383</v>
          </cell>
          <cell r="AH201">
            <v>5029</v>
          </cell>
          <cell r="AI201">
            <v>5002</v>
          </cell>
          <cell r="AJ201">
            <v>15414</v>
          </cell>
          <cell r="AK201">
            <v>5681</v>
          </cell>
          <cell r="AL201">
            <v>5223</v>
          </cell>
          <cell r="AM201">
            <v>5500</v>
          </cell>
          <cell r="AN201">
            <v>16404</v>
          </cell>
          <cell r="AO201">
            <v>5429</v>
          </cell>
          <cell r="AP201">
            <v>5429</v>
          </cell>
          <cell r="AQ201">
            <v>5076</v>
          </cell>
          <cell r="AR201">
            <v>15934</v>
          </cell>
          <cell r="AS201">
            <v>4711</v>
          </cell>
          <cell r="AT201">
            <v>4413</v>
          </cell>
          <cell r="AU201">
            <v>4218</v>
          </cell>
          <cell r="AV201">
            <v>13342</v>
          </cell>
          <cell r="AW201">
            <v>3996</v>
          </cell>
          <cell r="AX201">
            <v>3700</v>
          </cell>
          <cell r="AY201">
            <v>3884</v>
          </cell>
          <cell r="AZ201">
            <v>11580</v>
          </cell>
          <cell r="BA201">
            <v>4261</v>
          </cell>
          <cell r="BB201">
            <v>3991</v>
          </cell>
          <cell r="BC201">
            <v>4673</v>
          </cell>
          <cell r="BD201">
            <v>12925</v>
          </cell>
          <cell r="BE201">
            <v>4205</v>
          </cell>
          <cell r="BF201">
            <v>3443</v>
          </cell>
          <cell r="BG201">
            <v>3622</v>
          </cell>
          <cell r="BH201">
            <v>11270</v>
          </cell>
          <cell r="BI201">
            <v>3178</v>
          </cell>
          <cell r="BJ201">
            <v>3037</v>
          </cell>
          <cell r="BK201">
            <v>3140</v>
          </cell>
          <cell r="BL201">
            <v>9355</v>
          </cell>
          <cell r="BM201">
            <v>2783</v>
          </cell>
          <cell r="BN201">
            <v>2784</v>
          </cell>
          <cell r="BO201">
            <v>2779</v>
          </cell>
          <cell r="BP201">
            <v>8346</v>
          </cell>
        </row>
        <row r="202">
          <cell r="A202" t="str">
            <v xml:space="preserve">  % Change</v>
          </cell>
          <cell r="S202">
            <v>-0.41678295655409803</v>
          </cell>
          <cell r="U202">
            <v>-0.33411214953271029</v>
          </cell>
          <cell r="V202">
            <v>-0.34261142962825963</v>
          </cell>
          <cell r="W202">
            <v>-0.38044854404051365</v>
          </cell>
          <cell r="X202">
            <v>-0.3521897810218978</v>
          </cell>
          <cell r="Y202">
            <v>-0.31406851071624842</v>
          </cell>
          <cell r="Z202">
            <v>-0.32945697239356864</v>
          </cell>
          <cell r="AA202">
            <v>-0.33403361344537819</v>
          </cell>
          <cell r="AB202">
            <v>-0.3254877771645619</v>
          </cell>
          <cell r="AC202">
            <v>-0.30756668481219385</v>
          </cell>
          <cell r="AD202">
            <v>-0.30998389694041872</v>
          </cell>
          <cell r="AE202">
            <v>-0.31254078037322197</v>
          </cell>
          <cell r="AF202">
            <v>-0.30988176337013551</v>
          </cell>
          <cell r="AG202">
            <v>-0.24597282532567588</v>
          </cell>
          <cell r="AH202">
            <v>-0.29742944956691808</v>
          </cell>
          <cell r="AI202">
            <v>-0.20210559897910352</v>
          </cell>
          <cell r="AJ202">
            <v>-0.25051055139550715</v>
          </cell>
          <cell r="AK202">
            <v>-0.2617283950617284</v>
          </cell>
          <cell r="AL202">
            <v>-0.26529751019834014</v>
          </cell>
          <cell r="AM202">
            <v>-0.19719748941760329</v>
          </cell>
          <cell r="AN202">
            <v>-0.24248441468483029</v>
          </cell>
          <cell r="AO202">
            <v>-0.27507010281746558</v>
          </cell>
          <cell r="AP202">
            <v>-0.18126979339466143</v>
          </cell>
          <cell r="AQ202">
            <v>-0.23749436683190628</v>
          </cell>
          <cell r="AR202">
            <v>-0.23309428695191803</v>
          </cell>
          <cell r="AS202">
            <v>-0.25927672955974845</v>
          </cell>
          <cell r="AT202">
            <v>-0.2643773962327054</v>
          </cell>
          <cell r="AU202">
            <v>-0.1993166287015945</v>
          </cell>
          <cell r="AV202">
            <v>-0.24309298235661203</v>
          </cell>
          <cell r="AW202">
            <v>-0.25766301318967122</v>
          </cell>
          <cell r="AX202">
            <v>-0.26426724995028827</v>
          </cell>
          <cell r="AY202">
            <v>-0.2235105957616953</v>
          </cell>
          <cell r="AZ202">
            <v>-0.24873491630984823</v>
          </cell>
          <cell r="BA202">
            <v>-0.24995599366308752</v>
          </cell>
          <cell r="BB202">
            <v>-0.23587976258855059</v>
          </cell>
          <cell r="BC202">
            <v>-0.15036363636363637</v>
          </cell>
          <cell r="BD202">
            <v>-0.21208241892221413</v>
          </cell>
          <cell r="BE202">
            <v>-0.22545588506170566</v>
          </cell>
          <cell r="BF202">
            <v>-0.36581322527168902</v>
          </cell>
          <cell r="BG202">
            <v>-0.2864460204885737</v>
          </cell>
          <cell r="BH202">
            <v>-0.29270741809966105</v>
          </cell>
          <cell r="BI202">
            <v>-0.32540861812778599</v>
          </cell>
          <cell r="BJ202">
            <v>-0.31180602764559262</v>
          </cell>
          <cell r="BK202">
            <v>-0.2555713608345187</v>
          </cell>
          <cell r="BL202">
            <v>-0.29883076000599607</v>
          </cell>
          <cell r="BM202">
            <v>-0.30355355355355351</v>
          </cell>
          <cell r="BN202">
            <v>-0.24756756756756759</v>
          </cell>
          <cell r="BO202">
            <v>-0.28450051493305872</v>
          </cell>
          <cell r="BP202">
            <v>-0.2792746113989637</v>
          </cell>
        </row>
        <row r="203">
          <cell r="A203" t="str">
            <v>Sales (IMS)</v>
          </cell>
          <cell r="C203">
            <v>2.662655</v>
          </cell>
          <cell r="D203">
            <v>3.2376749999999999</v>
          </cell>
          <cell r="E203">
            <v>2.8433489999999999</v>
          </cell>
          <cell r="F203">
            <v>2.5391840000000001</v>
          </cell>
          <cell r="G203">
            <v>3.2297180000000001</v>
          </cell>
          <cell r="H203">
            <v>8.6122510000000005</v>
          </cell>
          <cell r="I203">
            <v>2.3908649999999998</v>
          </cell>
          <cell r="J203">
            <v>2.3289179999999998</v>
          </cell>
          <cell r="K203">
            <v>2.830778</v>
          </cell>
          <cell r="L203">
            <v>7.5505610000000001</v>
          </cell>
          <cell r="M203">
            <v>2.1614149999999999</v>
          </cell>
          <cell r="N203">
            <v>2.0720499999999999</v>
          </cell>
          <cell r="O203">
            <v>2.3608210000000001</v>
          </cell>
          <cell r="P203">
            <v>6.5942860000000003</v>
          </cell>
          <cell r="Q203">
            <v>1.7878320000000001</v>
          </cell>
          <cell r="R203">
            <v>1.7878829999999999</v>
          </cell>
          <cell r="S203">
            <v>2.1774979999999999</v>
          </cell>
          <cell r="T203">
            <v>5.7532129999999997</v>
          </cell>
          <cell r="U203">
            <v>1.7868679999999999</v>
          </cell>
          <cell r="V203">
            <v>2.095618</v>
          </cell>
          <cell r="W203">
            <v>2.1016210000000002</v>
          </cell>
          <cell r="X203">
            <v>5.9841069999999998</v>
          </cell>
          <cell r="Y203">
            <v>1.6565369999999999</v>
          </cell>
          <cell r="Z203">
            <v>1.5992690000000001</v>
          </cell>
          <cell r="AA203">
            <v>2.0085030000000001</v>
          </cell>
          <cell r="AB203">
            <v>5.2643089999999999</v>
          </cell>
          <cell r="AC203">
            <v>1.54722</v>
          </cell>
          <cell r="AD203">
            <v>1.448061</v>
          </cell>
          <cell r="AE203">
            <v>1.7791650000000001</v>
          </cell>
          <cell r="AF203">
            <v>4.7744460000000002</v>
          </cell>
          <cell r="AG203">
            <v>1.4534450000000001</v>
          </cell>
          <cell r="AH203">
            <v>1.377982</v>
          </cell>
          <cell r="AI203">
            <v>1.718065</v>
          </cell>
          <cell r="AJ203">
            <v>4.5494919999999999</v>
          </cell>
          <cell r="AK203">
            <v>1.3899900000000001</v>
          </cell>
          <cell r="AL203">
            <v>1.376395</v>
          </cell>
          <cell r="AM203">
            <v>1.7375210000000001</v>
          </cell>
          <cell r="AN203">
            <v>4.5039060000000006</v>
          </cell>
          <cell r="AO203">
            <v>1.3377110000000001</v>
          </cell>
          <cell r="AP203">
            <v>1.279202</v>
          </cell>
          <cell r="AQ203">
            <v>1.61052</v>
          </cell>
          <cell r="AR203">
            <v>4.2274329999999996</v>
          </cell>
          <cell r="AS203">
            <v>1.3013129999999999</v>
          </cell>
          <cell r="AT203">
            <v>1.2855650000000001</v>
          </cell>
          <cell r="AU203">
            <v>1.5752390000000001</v>
          </cell>
          <cell r="AV203">
            <v>4.1621170000000003</v>
          </cell>
          <cell r="AW203">
            <v>1.1471169999999999</v>
          </cell>
          <cell r="AX203">
            <v>1.2167289999999999</v>
          </cell>
          <cell r="AY203">
            <v>1.468485</v>
          </cell>
          <cell r="AZ203">
            <v>3.8323309999999999</v>
          </cell>
          <cell r="BA203">
            <v>1.1458729999999999</v>
          </cell>
          <cell r="BB203">
            <v>1.222197</v>
          </cell>
          <cell r="BC203">
            <v>1.4897640000000001</v>
          </cell>
          <cell r="BD203">
            <v>3.857834</v>
          </cell>
          <cell r="BE203">
            <v>1.187073</v>
          </cell>
          <cell r="BF203">
            <v>1.144946</v>
          </cell>
          <cell r="BG203">
            <v>1.379853</v>
          </cell>
          <cell r="BH203">
            <v>3.7118719999999996</v>
          </cell>
          <cell r="BI203">
            <v>1.055258</v>
          </cell>
          <cell r="BJ203">
            <v>1.054154</v>
          </cell>
          <cell r="BK203">
            <v>1.2341</v>
          </cell>
          <cell r="BL203">
            <v>3.3435120000000005</v>
          </cell>
          <cell r="BM203">
            <v>0.93410800000000005</v>
          </cell>
          <cell r="BN203">
            <v>0.93771000000000004</v>
          </cell>
        </row>
        <row r="204">
          <cell r="A204" t="str">
            <v xml:space="preserve">  % Change</v>
          </cell>
          <cell r="U204">
            <v>-0.37156219655061695</v>
          </cell>
          <cell r="V204">
            <v>-0.17468840383367257</v>
          </cell>
          <cell r="W204">
            <v>-0.34928653213686145</v>
          </cell>
          <cell r="X204">
            <v>-0.30516342359274018</v>
          </cell>
          <cell r="Y204">
            <v>-0.30713904800145553</v>
          </cell>
          <cell r="Z204">
            <v>-0.31329956657984515</v>
          </cell>
          <cell r="AA204">
            <v>-0.29047668167549689</v>
          </cell>
          <cell r="AB204">
            <v>-0.30279233556288077</v>
          </cell>
          <cell r="AC204">
            <v>-0.28416338370928296</v>
          </cell>
          <cell r="AD204">
            <v>-0.30114572524794281</v>
          </cell>
          <cell r="AE204">
            <v>-0.24637869622474551</v>
          </cell>
          <cell r="AF204">
            <v>-0.27597225840674788</v>
          </cell>
          <cell r="AG204">
            <v>-0.18703491155768548</v>
          </cell>
          <cell r="AH204">
            <v>-0.22926612088151177</v>
          </cell>
          <cell r="AI204">
            <v>-0.21099123856830182</v>
          </cell>
          <cell r="AJ204">
            <v>-0.20922587083078614</v>
          </cell>
          <cell r="AK204">
            <v>-0.22210818034684143</v>
          </cell>
          <cell r="AL204">
            <v>-0.34320329373005953</v>
          </cell>
          <cell r="AM204">
            <v>-0.17324722202528431</v>
          </cell>
          <cell r="AN204">
            <v>-0.24735536981541262</v>
          </cell>
          <cell r="AO204">
            <v>-0.19246536600148367</v>
          </cell>
          <cell r="AP204">
            <v>-0.20013331090642039</v>
          </cell>
          <cell r="AQ204">
            <v>-0.19814906923215958</v>
          </cell>
          <cell r="AR204">
            <v>-0.19696336214306576</v>
          </cell>
          <cell r="AS204">
            <v>-0.1589347345561718</v>
          </cell>
          <cell r="AT204">
            <v>-0.11221626713239286</v>
          </cell>
          <cell r="AU204">
            <v>-0.1146189364111817</v>
          </cell>
          <cell r="AV204">
            <v>-0.12825131962954439</v>
          </cell>
          <cell r="AW204">
            <v>-0.21075995307699991</v>
          </cell>
          <cell r="AX204">
            <v>-0.11702112219172678</v>
          </cell>
          <cell r="AY204">
            <v>-0.14526807775025974</v>
          </cell>
          <cell r="AZ204">
            <v>-0.15763540193058911</v>
          </cell>
          <cell r="BA204">
            <v>-0.17562500449643537</v>
          </cell>
          <cell r="BB204">
            <v>-0.11203034012765234</v>
          </cell>
          <cell r="BC204">
            <v>-0.14259223341761051</v>
          </cell>
          <cell r="BD204">
            <v>-0.14344704352177873</v>
          </cell>
          <cell r="BE204">
            <v>-0.11260877723215257</v>
          </cell>
          <cell r="BF204">
            <v>-0.10495293159329011</v>
          </cell>
          <cell r="BG204">
            <v>-0.1432251695104686</v>
          </cell>
          <cell r="BH204">
            <v>-0.12195604282788164</v>
          </cell>
          <cell r="BI204">
            <v>-0.18908210399803882</v>
          </cell>
          <cell r="BJ204">
            <v>-0.18000723417330122</v>
          </cell>
          <cell r="BK204">
            <v>-0.21656332785056753</v>
          </cell>
          <cell r="BL204">
            <v>-0.19667995878059163</v>
          </cell>
          <cell r="BM204">
            <v>-0.18569073599292829</v>
          </cell>
          <cell r="BN204">
            <v>-0.22931893626271738</v>
          </cell>
        </row>
        <row r="206">
          <cell r="A206" t="str">
            <v>AEROCHAMBER</v>
          </cell>
        </row>
        <row r="207">
          <cell r="A207" t="str">
            <v>TRx</v>
          </cell>
          <cell r="D207">
            <v>75944</v>
          </cell>
          <cell r="E207">
            <v>85065</v>
          </cell>
          <cell r="F207">
            <v>83279</v>
          </cell>
          <cell r="G207">
            <v>77730</v>
          </cell>
          <cell r="H207">
            <v>246074</v>
          </cell>
          <cell r="I207">
            <v>89119</v>
          </cell>
          <cell r="J207">
            <v>81727</v>
          </cell>
          <cell r="K207">
            <v>84079</v>
          </cell>
          <cell r="L207">
            <v>254925</v>
          </cell>
          <cell r="M207">
            <v>73684</v>
          </cell>
          <cell r="N207">
            <v>71908</v>
          </cell>
          <cell r="O207">
            <v>49726</v>
          </cell>
          <cell r="P207">
            <v>195318</v>
          </cell>
          <cell r="Q207">
            <v>41114</v>
          </cell>
          <cell r="R207">
            <v>49161</v>
          </cell>
          <cell r="S207">
            <v>59496</v>
          </cell>
          <cell r="T207">
            <v>149771</v>
          </cell>
          <cell r="U207">
            <v>74986</v>
          </cell>
          <cell r="V207">
            <v>70654</v>
          </cell>
          <cell r="W207">
            <v>66829</v>
          </cell>
          <cell r="X207">
            <v>212469</v>
          </cell>
          <cell r="Y207">
            <v>76604</v>
          </cell>
          <cell r="Z207">
            <v>77325</v>
          </cell>
          <cell r="AA207">
            <v>69298</v>
          </cell>
          <cell r="AB207">
            <v>223227</v>
          </cell>
          <cell r="AC207">
            <v>62209</v>
          </cell>
          <cell r="AD207">
            <v>57990</v>
          </cell>
          <cell r="AE207">
            <v>41874</v>
          </cell>
          <cell r="AF207">
            <v>162073</v>
          </cell>
          <cell r="AG207">
            <v>37046</v>
          </cell>
          <cell r="AH207">
            <v>46115</v>
          </cell>
          <cell r="AI207">
            <v>62050</v>
          </cell>
          <cell r="AJ207">
            <v>145211</v>
          </cell>
          <cell r="AK207">
            <v>74712</v>
          </cell>
          <cell r="AL207">
            <v>74115</v>
          </cell>
          <cell r="AM207">
            <v>71416</v>
          </cell>
          <cell r="AN207">
            <v>220243</v>
          </cell>
          <cell r="AO207">
            <v>76036</v>
          </cell>
          <cell r="AP207">
            <v>71744</v>
          </cell>
          <cell r="AQ207">
            <v>70271</v>
          </cell>
          <cell r="AR207">
            <v>218051</v>
          </cell>
          <cell r="AS207">
            <v>63346</v>
          </cell>
          <cell r="AT207">
            <v>62013</v>
          </cell>
          <cell r="AU207">
            <v>47037</v>
          </cell>
          <cell r="AV207">
            <v>172396</v>
          </cell>
          <cell r="AW207">
            <v>38571</v>
          </cell>
          <cell r="AX207">
            <v>47053</v>
          </cell>
          <cell r="AY207">
            <v>69775</v>
          </cell>
          <cell r="AZ207">
            <v>155399</v>
          </cell>
          <cell r="BA207">
            <v>78387</v>
          </cell>
          <cell r="BB207">
            <v>75797</v>
          </cell>
          <cell r="BC207">
            <v>93336</v>
          </cell>
          <cell r="BD207">
            <v>247520</v>
          </cell>
          <cell r="BE207">
            <v>74177</v>
          </cell>
          <cell r="BF207">
            <v>78666</v>
          </cell>
          <cell r="BG207">
            <v>79495</v>
          </cell>
          <cell r="BH207">
            <v>232338</v>
          </cell>
          <cell r="BI207">
            <v>64077</v>
          </cell>
          <cell r="BJ207">
            <v>57737</v>
          </cell>
          <cell r="BK207">
            <v>45384</v>
          </cell>
          <cell r="BL207">
            <v>167198</v>
          </cell>
          <cell r="BM207">
            <v>35776</v>
          </cell>
          <cell r="BN207">
            <v>48684</v>
          </cell>
          <cell r="BO207">
            <v>65896</v>
          </cell>
          <cell r="BP207">
            <v>150356</v>
          </cell>
        </row>
        <row r="208">
          <cell r="A208" t="str">
            <v xml:space="preserve">  % Change</v>
          </cell>
          <cell r="S208">
            <v>-0.2165806383651111</v>
          </cell>
          <cell r="U208">
            <v>-0.11848586375124903</v>
          </cell>
          <cell r="V208">
            <v>-0.15159884244527433</v>
          </cell>
          <cell r="W208">
            <v>-0.14024186285861318</v>
          </cell>
          <cell r="X208">
            <v>-0.13656461064557812</v>
          </cell>
          <cell r="Y208">
            <v>-0.14043021129052169</v>
          </cell>
          <cell r="Z208">
            <v>-5.3862248706057936E-2</v>
          </cell>
          <cell r="AA208">
            <v>-0.17579895098657217</v>
          </cell>
          <cell r="AB208">
            <v>-0.12434245366284202</v>
          </cell>
          <cell r="AC208">
            <v>-0.15573258780739374</v>
          </cell>
          <cell r="AD208">
            <v>-0.19355287311564773</v>
          </cell>
          <cell r="AE208">
            <v>-0.15790532115995659</v>
          </cell>
          <cell r="AF208">
            <v>-0.17020960689746978</v>
          </cell>
          <cell r="AG208">
            <v>-9.8944398501726871E-2</v>
          </cell>
          <cell r="AH208">
            <v>-6.1959683488944539E-2</v>
          </cell>
          <cell r="AI208">
            <v>4.2927255613822712E-2</v>
          </cell>
          <cell r="AJ208">
            <v>-3.0446481628619737E-2</v>
          </cell>
          <cell r="AK208">
            <v>-3.6540154162110206E-3</v>
          </cell>
          <cell r="AL208">
            <v>4.898519545956348E-2</v>
          </cell>
          <cell r="AM208">
            <v>6.8637866794355684E-2</v>
          </cell>
          <cell r="AN208">
            <v>3.6588867081785992E-2</v>
          </cell>
          <cell r="AO208">
            <v>-7.4147564095869978E-3</v>
          </cell>
          <cell r="AP208">
            <v>-7.2175881021661836E-2</v>
          </cell>
          <cell r="AQ208">
            <v>1.4040809258564435E-2</v>
          </cell>
          <cell r="AR208">
            <v>-2.3187159259408618E-2</v>
          </cell>
          <cell r="AS208">
            <v>1.827709816907519E-2</v>
          </cell>
          <cell r="AT208">
            <v>6.9374030005173282E-2</v>
          </cell>
          <cell r="AU208">
            <v>0.12329846682905865</v>
          </cell>
          <cell r="AV208">
            <v>6.3693520820864657E-2</v>
          </cell>
          <cell r="AW208">
            <v>4.1165038060789305E-2</v>
          </cell>
          <cell r="AX208">
            <v>2.0340453214789056E-2</v>
          </cell>
          <cell r="AY208">
            <v>0.12449637389202262</v>
          </cell>
          <cell r="AZ208">
            <v>7.0159974106644762E-2</v>
          </cell>
          <cell r="BA208">
            <v>4.9188885319627396E-2</v>
          </cell>
          <cell r="BB208">
            <v>2.2694461310126091E-2</v>
          </cell>
          <cell r="BC208">
            <v>0.30693402038758832</v>
          </cell>
          <cell r="BD208">
            <v>0.12384956616101306</v>
          </cell>
          <cell r="BE208">
            <v>-2.4448945236466901E-2</v>
          </cell>
          <cell r="BF208">
            <v>9.6481935771632443E-2</v>
          </cell>
          <cell r="BG208">
            <v>0.13126325226622648</v>
          </cell>
          <cell r="BH208">
            <v>6.5521368854075446E-2</v>
          </cell>
          <cell r="BI208">
            <v>1.1539797303697252E-2</v>
          </cell>
          <cell r="BJ208">
            <v>-6.8953283988841041E-2</v>
          </cell>
          <cell r="BK208">
            <v>-3.5142547356336484E-2</v>
          </cell>
          <cell r="BL208">
            <v>-3.0151511636000827E-2</v>
          </cell>
          <cell r="BM208">
            <v>-7.2463768115942018E-2</v>
          </cell>
          <cell r="BN208">
            <v>3.466303955114447E-2</v>
          </cell>
          <cell r="BO208">
            <v>-5.55929774274454E-2</v>
          </cell>
          <cell r="BP208">
            <v>-3.2451946280220634E-2</v>
          </cell>
        </row>
        <row r="209">
          <cell r="A209" t="str">
            <v>NRx</v>
          </cell>
          <cell r="D209">
            <v>73484</v>
          </cell>
          <cell r="E209">
            <v>82541</v>
          </cell>
          <cell r="F209">
            <v>80739</v>
          </cell>
          <cell r="G209">
            <v>75349</v>
          </cell>
          <cell r="H209">
            <v>238629</v>
          </cell>
          <cell r="I209">
            <v>86532</v>
          </cell>
          <cell r="J209">
            <v>79400</v>
          </cell>
          <cell r="K209">
            <v>81614</v>
          </cell>
          <cell r="L209">
            <v>247546</v>
          </cell>
          <cell r="M209">
            <v>71353</v>
          </cell>
          <cell r="N209">
            <v>69698</v>
          </cell>
          <cell r="O209">
            <v>47882</v>
          </cell>
          <cell r="P209">
            <v>188933</v>
          </cell>
          <cell r="Q209">
            <v>39430</v>
          </cell>
          <cell r="R209">
            <v>47250</v>
          </cell>
          <cell r="S209">
            <v>57329</v>
          </cell>
          <cell r="T209">
            <v>144009</v>
          </cell>
          <cell r="U209">
            <v>72814</v>
          </cell>
          <cell r="V209">
            <v>68733</v>
          </cell>
          <cell r="W209">
            <v>64896</v>
          </cell>
          <cell r="X209">
            <v>206443</v>
          </cell>
          <cell r="Y209">
            <v>74519</v>
          </cell>
          <cell r="Z209">
            <v>75459</v>
          </cell>
          <cell r="AA209">
            <v>67442</v>
          </cell>
          <cell r="AB209">
            <v>217420</v>
          </cell>
          <cell r="AC209">
            <v>60487</v>
          </cell>
          <cell r="AD209">
            <v>56197</v>
          </cell>
          <cell r="AE209">
            <v>40464</v>
          </cell>
          <cell r="AF209">
            <v>157148</v>
          </cell>
          <cell r="AG209">
            <v>35678</v>
          </cell>
          <cell r="AH209">
            <v>44414</v>
          </cell>
          <cell r="AI209">
            <v>60097</v>
          </cell>
          <cell r="AJ209">
            <v>140189</v>
          </cell>
          <cell r="AK209">
            <v>72849</v>
          </cell>
          <cell r="AL209">
            <v>72340</v>
          </cell>
          <cell r="AM209">
            <v>69605</v>
          </cell>
          <cell r="AN209">
            <v>214794</v>
          </cell>
          <cell r="AO209">
            <v>73979</v>
          </cell>
          <cell r="AP209">
            <v>70127</v>
          </cell>
          <cell r="AQ209">
            <v>68431</v>
          </cell>
          <cell r="AR209">
            <v>212537</v>
          </cell>
          <cell r="AS209">
            <v>61706</v>
          </cell>
          <cell r="AT209">
            <v>60451</v>
          </cell>
          <cell r="AU209">
            <v>45577</v>
          </cell>
          <cell r="AV209">
            <v>167734</v>
          </cell>
          <cell r="AW209">
            <v>37242</v>
          </cell>
          <cell r="AX209">
            <v>45560</v>
          </cell>
          <cell r="AY209">
            <v>67996</v>
          </cell>
          <cell r="AZ209">
            <v>150798</v>
          </cell>
          <cell r="BA209">
            <v>76640</v>
          </cell>
          <cell r="BB209">
            <v>74343</v>
          </cell>
          <cell r="BC209">
            <v>91638</v>
          </cell>
          <cell r="BD209">
            <v>242621</v>
          </cell>
          <cell r="BE209">
            <v>72656</v>
          </cell>
          <cell r="BF209">
            <v>77055</v>
          </cell>
          <cell r="BG209">
            <v>77867</v>
          </cell>
          <cell r="BH209">
            <v>227578</v>
          </cell>
          <cell r="BI209">
            <v>62843</v>
          </cell>
          <cell r="BJ209">
            <v>56730</v>
          </cell>
          <cell r="BK209">
            <v>44344</v>
          </cell>
          <cell r="BL209">
            <v>163917</v>
          </cell>
          <cell r="BM209">
            <v>34954</v>
          </cell>
          <cell r="BN209">
            <v>47478</v>
          </cell>
          <cell r="BO209">
            <v>64553</v>
          </cell>
          <cell r="BP209">
            <v>146985</v>
          </cell>
        </row>
        <row r="210">
          <cell r="A210" t="str">
            <v xml:space="preserve">  % Change</v>
          </cell>
          <cell r="S210">
            <v>-0.21984377551575851</v>
          </cell>
          <cell r="U210">
            <v>-0.11784446517488278</v>
          </cell>
          <cell r="V210">
            <v>-0.1487013710846059</v>
          </cell>
          <cell r="W210">
            <v>-0.13872778669922625</v>
          </cell>
          <cell r="X210">
            <v>-0.13487882864195044</v>
          </cell>
          <cell r="Y210">
            <v>-0.13882725465723667</v>
          </cell>
          <cell r="Z210">
            <v>-4.9634760705289716E-2</v>
          </cell>
          <cell r="AA210">
            <v>-0.17364667826598379</v>
          </cell>
          <cell r="AB210">
            <v>-0.12169859339274314</v>
          </cell>
          <cell r="AC210">
            <v>-0.15228511765447839</v>
          </cell>
          <cell r="AD210">
            <v>-0.19370713650319948</v>
          </cell>
          <cell r="AE210">
            <v>-0.15492251785639699</v>
          </cell>
          <cell r="AF210">
            <v>-0.16823424176824586</v>
          </cell>
          <cell r="AG210">
            <v>-9.5155972609688E-2</v>
          </cell>
          <cell r="AH210">
            <v>-6.0021164021163975E-2</v>
          </cell>
          <cell r="AI210">
            <v>4.8282719042718414E-2</v>
          </cell>
          <cell r="AJ210">
            <v>-2.6526119895284306E-2</v>
          </cell>
          <cell r="AK210">
            <v>4.8067679292440602E-4</v>
          </cell>
          <cell r="AL210">
            <v>5.2478431030218431E-2</v>
          </cell>
          <cell r="AM210">
            <v>7.256225345167655E-2</v>
          </cell>
          <cell r="AN210">
            <v>4.0451843850360714E-2</v>
          </cell>
          <cell r="AO210">
            <v>-7.2464740535970185E-3</v>
          </cell>
          <cell r="AP210">
            <v>-7.0660888694522805E-2</v>
          </cell>
          <cell r="AQ210">
            <v>1.466445241837433E-2</v>
          </cell>
          <cell r="AR210">
            <v>-2.2458835433722735E-2</v>
          </cell>
          <cell r="AS210">
            <v>2.0153090746771962E-2</v>
          </cell>
          <cell r="AT210">
            <v>7.5697990995960529E-2</v>
          </cell>
          <cell r="AU210">
            <v>0.12635923289837891</v>
          </cell>
          <cell r="AV210">
            <v>6.7363249930002311E-2</v>
          </cell>
          <cell r="AW210">
            <v>4.3836537922529395E-2</v>
          </cell>
          <cell r="AX210">
            <v>2.5802674832260175E-2</v>
          </cell>
          <cell r="AY210">
            <v>0.13143750935986831</v>
          </cell>
          <cell r="AZ210">
            <v>7.5676408277396856E-2</v>
          </cell>
          <cell r="BA210">
            <v>5.203914947356858E-2</v>
          </cell>
          <cell r="BB210">
            <v>2.7688692286425232E-2</v>
          </cell>
          <cell r="BC210">
            <v>0.31654335177070614</v>
          </cell>
          <cell r="BD210">
            <v>0.12955203590416864</v>
          </cell>
          <cell r="BE210">
            <v>-1.7883453412454897E-2</v>
          </cell>
          <cell r="BF210">
            <v>9.8792191310051791E-2</v>
          </cell>
          <cell r="BG210">
            <v>0.13789072204118025</v>
          </cell>
          <cell r="BH210">
            <v>7.0768854364181344E-2</v>
          </cell>
          <cell r="BI210">
            <v>1.8426084983631963E-2</v>
          </cell>
          <cell r="BJ210">
            <v>-6.1553985872855654E-2</v>
          </cell>
          <cell r="BK210">
            <v>-2.7053118897689576E-2</v>
          </cell>
          <cell r="BL210">
            <v>-2.27562688542573E-2</v>
          </cell>
          <cell r="BM210">
            <v>-6.1436013103485343E-2</v>
          </cell>
          <cell r="BN210">
            <v>4.2098331870061401E-2</v>
          </cell>
          <cell r="BO210">
            <v>-5.0635331490087698E-2</v>
          </cell>
          <cell r="BP210">
            <v>-2.5285481239804231E-2</v>
          </cell>
        </row>
        <row r="211">
          <cell r="A211" t="str">
            <v>Sales (IMS)</v>
          </cell>
          <cell r="C211">
            <v>1.348201</v>
          </cell>
          <cell r="D211">
            <v>2.6089889999999998</v>
          </cell>
          <cell r="E211">
            <v>2.4935160000000001</v>
          </cell>
          <cell r="F211">
            <v>2.3918409999999999</v>
          </cell>
          <cell r="G211">
            <v>2.9486560000000002</v>
          </cell>
          <cell r="H211">
            <v>7.8340130000000006</v>
          </cell>
          <cell r="I211">
            <v>2.3208760000000002</v>
          </cell>
          <cell r="J211">
            <v>2.5902889999999998</v>
          </cell>
          <cell r="K211">
            <v>2.974561</v>
          </cell>
          <cell r="L211">
            <v>7.885726</v>
          </cell>
          <cell r="M211">
            <v>2.1301779999999999</v>
          </cell>
          <cell r="N211">
            <v>2.1690369999999999</v>
          </cell>
          <cell r="O211">
            <v>1.7906489999999999</v>
          </cell>
          <cell r="P211">
            <v>6.0898639999999995</v>
          </cell>
          <cell r="Q211">
            <v>1.09395</v>
          </cell>
          <cell r="R211">
            <v>1.2688429999999999</v>
          </cell>
          <cell r="S211">
            <v>2.2108629999999998</v>
          </cell>
          <cell r="T211">
            <v>4.5736559999999997</v>
          </cell>
          <cell r="U211">
            <v>2.0392380000000001</v>
          </cell>
          <cell r="V211">
            <v>2.4622009999999999</v>
          </cell>
          <cell r="W211">
            <v>2.3066300000000002</v>
          </cell>
          <cell r="X211">
            <v>6.8080690000000006</v>
          </cell>
          <cell r="Y211">
            <v>2.1329630000000002</v>
          </cell>
          <cell r="Z211">
            <v>2.3494660000000001</v>
          </cell>
          <cell r="AA211">
            <v>2.4543789999999999</v>
          </cell>
          <cell r="AB211">
            <v>6.9368080000000001</v>
          </cell>
          <cell r="AC211">
            <v>1.705684</v>
          </cell>
          <cell r="AD211">
            <v>1.5746910000000001</v>
          </cell>
          <cell r="AE211">
            <v>1.4673419999999999</v>
          </cell>
          <cell r="AF211">
            <v>4.7477169999999997</v>
          </cell>
          <cell r="AG211">
            <v>1.000229</v>
          </cell>
          <cell r="AH211">
            <v>1.2044269999999999</v>
          </cell>
          <cell r="AI211">
            <v>2.186544</v>
          </cell>
          <cell r="AJ211">
            <v>4.3911999999999995</v>
          </cell>
          <cell r="AK211">
            <v>2.079888</v>
          </cell>
          <cell r="AL211">
            <v>2.2153749999999999</v>
          </cell>
          <cell r="AM211">
            <v>2.406444</v>
          </cell>
          <cell r="AN211">
            <v>6.7017070000000007</v>
          </cell>
          <cell r="AO211">
            <v>2.1537670000000002</v>
          </cell>
          <cell r="AP211">
            <v>2.2410559999999999</v>
          </cell>
          <cell r="AQ211">
            <v>2.6734529999999999</v>
          </cell>
          <cell r="AR211">
            <v>7.068276</v>
          </cell>
          <cell r="AS211">
            <v>2.0104500000000001</v>
          </cell>
          <cell r="AT211">
            <v>1.92761</v>
          </cell>
          <cell r="AU211">
            <v>1.8531899999999999</v>
          </cell>
          <cell r="AV211">
            <v>5.7912499999999998</v>
          </cell>
          <cell r="AW211">
            <v>1.1204559999999999</v>
          </cell>
          <cell r="AX211">
            <v>1.37829</v>
          </cell>
          <cell r="AY211">
            <v>2.603494</v>
          </cell>
          <cell r="AZ211">
            <v>5.1022400000000001</v>
          </cell>
          <cell r="BA211">
            <v>2.3045330000000002</v>
          </cell>
          <cell r="BB211">
            <v>2.5082970000000002</v>
          </cell>
          <cell r="BC211">
            <v>3.4167269999999998</v>
          </cell>
          <cell r="BD211">
            <v>8.2295569999999998</v>
          </cell>
          <cell r="BE211">
            <v>2.2936529999999999</v>
          </cell>
          <cell r="BF211">
            <v>2.6926649999999999</v>
          </cell>
          <cell r="BG211">
            <v>3.0882070000000001</v>
          </cell>
          <cell r="BH211">
            <v>8.0745250000000013</v>
          </cell>
          <cell r="BI211">
            <v>2.0611480000000002</v>
          </cell>
          <cell r="BJ211">
            <v>1.963271</v>
          </cell>
          <cell r="BK211">
            <v>1.760926</v>
          </cell>
          <cell r="BL211">
            <v>5.7853450000000004</v>
          </cell>
          <cell r="BM211">
            <v>1.0906940000000001</v>
          </cell>
          <cell r="BN211">
            <v>1.365626</v>
          </cell>
        </row>
        <row r="212">
          <cell r="A212" t="str">
            <v xml:space="preserve">  % Change</v>
          </cell>
          <cell r="S212">
            <v>-0.15259780704326464</v>
          </cell>
          <cell r="U212">
            <v>-0.18218371167459924</v>
          </cell>
          <cell r="V212">
            <v>2.9416671091431201E-2</v>
          </cell>
          <cell r="W212">
            <v>-0.21773513085283602</v>
          </cell>
          <cell r="X212">
            <v>-0.13096021157993998</v>
          </cell>
          <cell r="Y212">
            <v>-8.0966410958620783E-2</v>
          </cell>
          <cell r="Z212">
            <v>-9.2971479244207789E-2</v>
          </cell>
          <cell r="AA212">
            <v>-0.17487689780105375</v>
          </cell>
          <cell r="AB212">
            <v>-0.1203336255913533</v>
          </cell>
          <cell r="AC212">
            <v>-0.19927630460928614</v>
          </cell>
          <cell r="AD212">
            <v>-0.27401376740000283</v>
          </cell>
          <cell r="AE212">
            <v>-0.18055297269314086</v>
          </cell>
          <cell r="AF212">
            <v>-0.22039030756680278</v>
          </cell>
          <cell r="AG212">
            <v>-8.5672105672105592E-2</v>
          </cell>
          <cell r="AH212">
            <v>-5.0767510243584169E-2</v>
          </cell>
          <cell r="AI212">
            <v>-1.0999777010153866E-2</v>
          </cell>
          <cell r="AJ212">
            <v>-3.989281222724228E-2</v>
          </cell>
          <cell r="AK212">
            <v>1.9933916492336667E-2</v>
          </cell>
          <cell r="AL212">
            <v>-0.10024608064085749</v>
          </cell>
          <cell r="AM212">
            <v>4.3272653178012765E-2</v>
          </cell>
          <cell r="AN212">
            <v>-1.5622932141257651E-2</v>
          </cell>
          <cell r="AO212">
            <v>9.7535681584726142E-3</v>
          </cell>
          <cell r="AP212">
            <v>-4.6142400017706198E-2</v>
          </cell>
          <cell r="AQ212">
            <v>8.925842341382495E-2</v>
          </cell>
          <cell r="AR212">
            <v>1.8952232784877454E-2</v>
          </cell>
          <cell r="AS212">
            <v>0.17867670682260028</v>
          </cell>
          <cell r="AT212">
            <v>0.22411952567202076</v>
          </cell>
          <cell r="AU212">
            <v>0.26295710202529476</v>
          </cell>
          <cell r="AV212">
            <v>0.21979679917737305</v>
          </cell>
          <cell r="AW212">
            <v>0.12019947432038047</v>
          </cell>
          <cell r="AX212">
            <v>0.14435328998768715</v>
          </cell>
          <cell r="AY212">
            <v>0.19068905084919385</v>
          </cell>
          <cell r="AZ212">
            <v>0.16192384769539103</v>
          </cell>
          <cell r="BA212">
            <v>0.10800821967336716</v>
          </cell>
          <cell r="BB212">
            <v>0.13222230999266515</v>
          </cell>
          <cell r="BC212">
            <v>0.41982402249958861</v>
          </cell>
          <cell r="BD212">
            <v>0.22797922976937057</v>
          </cell>
          <cell r="BE212">
            <v>6.4949458321164499E-2</v>
          </cell>
          <cell r="BF212">
            <v>0.20151616023874452</v>
          </cell>
          <cell r="BG212">
            <v>0.15513794332647723</v>
          </cell>
          <cell r="BH212">
            <v>0.14236130564228122</v>
          </cell>
          <cell r="BI212">
            <v>2.5217239921410783E-2</v>
          </cell>
          <cell r="BJ212">
            <v>1.8500111537084862E-2</v>
          </cell>
          <cell r="BK212">
            <v>-4.9786584214246754E-2</v>
          </cell>
          <cell r="BL212">
            <v>-1.019641700841678E-3</v>
          </cell>
          <cell r="BM212">
            <v>-2.6562399594450725E-2</v>
          </cell>
          <cell r="BN212">
            <v>-9.1881969687076515E-3</v>
          </cell>
        </row>
        <row r="214">
          <cell r="A214" t="str">
            <v>THEOPHYLLINE</v>
          </cell>
          <cell r="BH214" t="str">
            <v xml:space="preserve"> </v>
          </cell>
        </row>
        <row r="215">
          <cell r="A215" t="str">
            <v>TRx</v>
          </cell>
          <cell r="D215">
            <v>22489</v>
          </cell>
          <cell r="E215">
            <v>23891</v>
          </cell>
          <cell r="F215">
            <v>23163</v>
          </cell>
          <cell r="G215">
            <v>23953</v>
          </cell>
          <cell r="H215">
            <v>71007</v>
          </cell>
          <cell r="I215">
            <v>24719</v>
          </cell>
          <cell r="J215">
            <v>22525</v>
          </cell>
          <cell r="K215">
            <v>24855</v>
          </cell>
          <cell r="L215">
            <v>72099</v>
          </cell>
          <cell r="M215">
            <v>24672</v>
          </cell>
          <cell r="N215">
            <v>26855</v>
          </cell>
          <cell r="O215">
            <v>28312</v>
          </cell>
          <cell r="P215">
            <v>79839</v>
          </cell>
          <cell r="Q215">
            <v>31545</v>
          </cell>
          <cell r="R215">
            <v>33485</v>
          </cell>
          <cell r="S215">
            <v>32432</v>
          </cell>
          <cell r="T215">
            <v>97462</v>
          </cell>
          <cell r="U215">
            <v>36495</v>
          </cell>
          <cell r="V215">
            <v>35877</v>
          </cell>
          <cell r="W215">
            <v>37100</v>
          </cell>
          <cell r="X215">
            <v>109472</v>
          </cell>
          <cell r="Y215">
            <v>37093</v>
          </cell>
          <cell r="Z215">
            <v>33552</v>
          </cell>
          <cell r="AA215">
            <v>33813</v>
          </cell>
          <cell r="AB215">
            <v>104458</v>
          </cell>
          <cell r="AC215">
            <v>33588</v>
          </cell>
          <cell r="AD215">
            <v>34335</v>
          </cell>
          <cell r="AE215">
            <v>32035</v>
          </cell>
          <cell r="AF215">
            <v>99958</v>
          </cell>
          <cell r="AG215">
            <v>33986</v>
          </cell>
          <cell r="AH215">
            <v>33079</v>
          </cell>
          <cell r="AI215">
            <v>31187</v>
          </cell>
          <cell r="AJ215">
            <v>98252</v>
          </cell>
          <cell r="AK215">
            <v>32904</v>
          </cell>
          <cell r="AL215">
            <v>31337</v>
          </cell>
          <cell r="AM215">
            <v>32851</v>
          </cell>
          <cell r="AN215">
            <v>97092</v>
          </cell>
          <cell r="AO215">
            <v>36086</v>
          </cell>
          <cell r="AP215">
            <v>33742</v>
          </cell>
          <cell r="AQ215">
            <v>45686</v>
          </cell>
          <cell r="AR215">
            <v>115514</v>
          </cell>
          <cell r="AS215">
            <v>111592</v>
          </cell>
          <cell r="AT215">
            <v>112927</v>
          </cell>
          <cell r="AU215">
            <v>109362</v>
          </cell>
          <cell r="AV215">
            <v>333881</v>
          </cell>
          <cell r="AW215">
            <v>115214</v>
          </cell>
          <cell r="AX215">
            <v>113927</v>
          </cell>
          <cell r="AY215">
            <v>115719</v>
          </cell>
          <cell r="AZ215">
            <v>344860</v>
          </cell>
          <cell r="BA215">
            <v>120455</v>
          </cell>
          <cell r="BB215">
            <v>111192</v>
          </cell>
          <cell r="BC215">
            <v>123879</v>
          </cell>
          <cell r="BD215">
            <v>355526</v>
          </cell>
          <cell r="BE215">
            <v>116112</v>
          </cell>
          <cell r="BF215">
            <v>106244</v>
          </cell>
          <cell r="BG215">
            <v>116086</v>
          </cell>
          <cell r="BH215">
            <v>338442</v>
          </cell>
          <cell r="BI215">
            <v>109983</v>
          </cell>
          <cell r="BJ215">
            <v>105484</v>
          </cell>
          <cell r="BK215">
            <v>108738</v>
          </cell>
          <cell r="BL215">
            <v>324205</v>
          </cell>
          <cell r="BM215">
            <v>106594</v>
          </cell>
          <cell r="BN215">
            <v>105279</v>
          </cell>
          <cell r="BO215">
            <v>102626</v>
          </cell>
          <cell r="BP215">
            <v>314499</v>
          </cell>
        </row>
        <row r="216">
          <cell r="A216" t="str">
            <v xml:space="preserve">  % Change</v>
          </cell>
          <cell r="S216">
            <v>0.44212726221708398</v>
          </cell>
          <cell r="U216">
            <v>0.52756268050730393</v>
          </cell>
          <cell r="V216">
            <v>0.54889263048827863</v>
          </cell>
          <cell r="W216">
            <v>0.54886653028848165</v>
          </cell>
          <cell r="X216">
            <v>0.54170715563254324</v>
          </cell>
          <cell r="Y216">
            <v>0.50058659330879074</v>
          </cell>
          <cell r="Z216">
            <v>0.48954495005549381</v>
          </cell>
          <cell r="AA216">
            <v>0.36041038020519012</v>
          </cell>
          <cell r="AB216">
            <v>0.44881343707957111</v>
          </cell>
          <cell r="AC216">
            <v>0.36138132295719849</v>
          </cell>
          <cell r="AD216">
            <v>0.27853286166449442</v>
          </cell>
          <cell r="AE216">
            <v>0.13149901102006223</v>
          </cell>
          <cell r="AF216">
            <v>0.25199463921141296</v>
          </cell>
          <cell r="AG216">
            <v>7.7381518465683863E-2</v>
          </cell>
          <cell r="AH216">
            <v>-1.2124832014334785E-2</v>
          </cell>
          <cell r="AI216">
            <v>-3.8388011840157832E-2</v>
          </cell>
          <cell r="AJ216">
            <v>8.105723256243369E-3</v>
          </cell>
          <cell r="AK216">
            <v>-9.8397040690505588E-2</v>
          </cell>
          <cell r="AL216">
            <v>-0.1265434679599744</v>
          </cell>
          <cell r="AM216">
            <v>-0.11452830188679242</v>
          </cell>
          <cell r="AN216">
            <v>-0.11308827828120438</v>
          </cell>
          <cell r="AO216">
            <v>-2.7147979403121858E-2</v>
          </cell>
          <cell r="AP216">
            <v>5.6628516928947104E-3</v>
          </cell>
          <cell r="AQ216">
            <v>0.3511371366042646</v>
          </cell>
          <cell r="AR216">
            <v>0.10584158226272766</v>
          </cell>
          <cell r="AS216">
            <v>2.3223770394188401</v>
          </cell>
          <cell r="AT216">
            <v>2.2889762632881898</v>
          </cell>
          <cell r="AU216">
            <v>2.4138286249414702</v>
          </cell>
          <cell r="AV216">
            <v>2.3402128894135537</v>
          </cell>
          <cell r="AW216">
            <v>2.3900429588654153</v>
          </cell>
          <cell r="AX216">
            <v>2.444088394449651</v>
          </cell>
          <cell r="AY216">
            <v>2.710488344502517</v>
          </cell>
          <cell r="AZ216">
            <v>2.5099539958474129</v>
          </cell>
          <cell r="BA216">
            <v>2.6608011184050571</v>
          </cell>
          <cell r="BB216">
            <v>2.5482656284902832</v>
          </cell>
          <cell r="BC216">
            <v>2.7709354357553804</v>
          </cell>
          <cell r="BD216">
            <v>2.6617435010093518</v>
          </cell>
          <cell r="BE216">
            <v>2.2176467328049658</v>
          </cell>
          <cell r="BF216">
            <v>2.1487167328551955</v>
          </cell>
          <cell r="BG216">
            <v>1.5409534649564418</v>
          </cell>
          <cell r="BH216">
            <v>1.9298786294301991</v>
          </cell>
          <cell r="BI216">
            <v>-1.441859631514808E-2</v>
          </cell>
          <cell r="BJ216">
            <v>-6.5909835557484087E-2</v>
          </cell>
          <cell r="BK216">
            <v>-5.7058210347287197E-3</v>
          </cell>
          <cell r="BL216">
            <v>-2.8980385227071914E-2</v>
          </cell>
          <cell r="BM216">
            <v>-7.4817296509104847E-2</v>
          </cell>
          <cell r="BN216">
            <v>-7.5908257041789939E-2</v>
          </cell>
          <cell r="BO216">
            <v>-0.11314477311418181</v>
          </cell>
          <cell r="BP216">
            <v>-8.8038624369309315E-2</v>
          </cell>
        </row>
        <row r="217">
          <cell r="A217" t="str">
            <v>NRx</v>
          </cell>
          <cell r="D217">
            <v>7273</v>
          </cell>
          <cell r="E217">
            <v>7961</v>
          </cell>
          <cell r="F217">
            <v>7325</v>
          </cell>
          <cell r="G217">
            <v>7452</v>
          </cell>
          <cell r="H217">
            <v>22738</v>
          </cell>
          <cell r="I217">
            <v>8493</v>
          </cell>
          <cell r="J217">
            <v>7683</v>
          </cell>
          <cell r="K217">
            <v>8299</v>
          </cell>
          <cell r="L217">
            <v>24475</v>
          </cell>
          <cell r="M217">
            <v>8131</v>
          </cell>
          <cell r="N217">
            <v>8618</v>
          </cell>
          <cell r="O217">
            <v>9616</v>
          </cell>
          <cell r="P217">
            <v>26365</v>
          </cell>
          <cell r="Q217">
            <v>11325</v>
          </cell>
          <cell r="R217">
            <v>11815</v>
          </cell>
          <cell r="S217">
            <v>10497</v>
          </cell>
          <cell r="T217">
            <v>33637</v>
          </cell>
          <cell r="U217">
            <v>12408</v>
          </cell>
          <cell r="V217">
            <v>11634</v>
          </cell>
          <cell r="W217">
            <v>11960</v>
          </cell>
          <cell r="X217">
            <v>36002</v>
          </cell>
          <cell r="Y217">
            <v>12787</v>
          </cell>
          <cell r="Z217">
            <v>11213</v>
          </cell>
          <cell r="AA217">
            <v>10579</v>
          </cell>
          <cell r="AB217">
            <v>34579</v>
          </cell>
          <cell r="AC217">
            <v>10647</v>
          </cell>
          <cell r="AD217">
            <v>10783</v>
          </cell>
          <cell r="AE217">
            <v>9448</v>
          </cell>
          <cell r="AF217">
            <v>30878</v>
          </cell>
          <cell r="AG217">
            <v>9999</v>
          </cell>
          <cell r="AH217">
            <v>9616</v>
          </cell>
          <cell r="AI217">
            <v>8998</v>
          </cell>
          <cell r="AJ217">
            <v>28613</v>
          </cell>
          <cell r="AK217">
            <v>9813</v>
          </cell>
          <cell r="AL217">
            <v>9099</v>
          </cell>
          <cell r="AM217">
            <v>9712</v>
          </cell>
          <cell r="AN217">
            <v>28624</v>
          </cell>
          <cell r="AO217">
            <v>11286</v>
          </cell>
          <cell r="AP217">
            <v>10335</v>
          </cell>
          <cell r="AQ217">
            <v>13824</v>
          </cell>
          <cell r="AR217">
            <v>35445</v>
          </cell>
          <cell r="AS217">
            <v>34788</v>
          </cell>
          <cell r="AT217">
            <v>35077</v>
          </cell>
          <cell r="AU217">
            <v>33730</v>
          </cell>
          <cell r="AV217">
            <v>103595</v>
          </cell>
          <cell r="AW217">
            <v>37614</v>
          </cell>
          <cell r="AX217">
            <v>36571</v>
          </cell>
          <cell r="AY217">
            <v>37370</v>
          </cell>
          <cell r="AZ217">
            <v>111555</v>
          </cell>
          <cell r="BA217">
            <v>38634</v>
          </cell>
          <cell r="BB217">
            <v>34184</v>
          </cell>
          <cell r="BC217">
            <v>39018</v>
          </cell>
          <cell r="BD217">
            <v>111836</v>
          </cell>
          <cell r="BE217">
            <v>37486</v>
          </cell>
          <cell r="BF217">
            <v>33368</v>
          </cell>
          <cell r="BG217">
            <v>36684</v>
          </cell>
          <cell r="BH217">
            <v>107538</v>
          </cell>
          <cell r="BI217">
            <v>34014</v>
          </cell>
          <cell r="BJ217">
            <v>32257</v>
          </cell>
          <cell r="BK217">
            <v>32584</v>
          </cell>
          <cell r="BL217">
            <v>98855</v>
          </cell>
          <cell r="BM217">
            <v>31522</v>
          </cell>
          <cell r="BN217">
            <v>31070</v>
          </cell>
          <cell r="BO217">
            <v>31049</v>
          </cell>
          <cell r="BP217">
            <v>93641</v>
          </cell>
        </row>
        <row r="218">
          <cell r="A218" t="str">
            <v xml:space="preserve">  % Change</v>
          </cell>
          <cell r="S218">
            <v>0.44328337687336727</v>
          </cell>
          <cell r="U218">
            <v>0.55859816605954027</v>
          </cell>
          <cell r="V218">
            <v>0.58825938566552893</v>
          </cell>
          <cell r="W218">
            <v>0.60493827160493829</v>
          </cell>
          <cell r="X218">
            <v>0.5833406632069662</v>
          </cell>
          <cell r="Y218">
            <v>0.50559284116331105</v>
          </cell>
          <cell r="Z218">
            <v>0.45945594168944415</v>
          </cell>
          <cell r="AA218">
            <v>0.27473189540908538</v>
          </cell>
          <cell r="AB218">
            <v>0.41282941777323789</v>
          </cell>
          <cell r="AC218">
            <v>0.3094330340671505</v>
          </cell>
          <cell r="AD218">
            <v>0.25121838013460196</v>
          </cell>
          <cell r="AE218">
            <v>-1.7470881863560717E-2</v>
          </cell>
          <cell r="AF218">
            <v>0.17117390479802763</v>
          </cell>
          <cell r="AG218">
            <v>-0.11708609271523174</v>
          </cell>
          <cell r="AH218">
            <v>-0.18611933982225981</v>
          </cell>
          <cell r="AI218">
            <v>-0.1428027055349147</v>
          </cell>
          <cell r="AJ218">
            <v>-0.14935933644498622</v>
          </cell>
          <cell r="AK218">
            <v>-0.20913926499032887</v>
          </cell>
          <cell r="AL218">
            <v>-0.21789582258896334</v>
          </cell>
          <cell r="AM218">
            <v>-0.18795986622073579</v>
          </cell>
          <cell r="AN218">
            <v>-0.2049330592744848</v>
          </cell>
          <cell r="AO218">
            <v>-0.11738484398216942</v>
          </cell>
          <cell r="AP218">
            <v>-7.8301970926603071E-2</v>
          </cell>
          <cell r="AQ218">
            <v>0.30673976746384346</v>
          </cell>
          <cell r="AR218">
            <v>2.5044101911564809E-2</v>
          </cell>
          <cell r="AS218">
            <v>2.2673992673992673</v>
          </cell>
          <cell r="AT218">
            <v>2.2529908188815728</v>
          </cell>
          <cell r="AU218">
            <v>2.5700677392040645</v>
          </cell>
          <cell r="AV218">
            <v>2.3549776539931342</v>
          </cell>
          <cell r="AW218">
            <v>2.7617761776177616</v>
          </cell>
          <cell r="AX218">
            <v>2.8031405990016638</v>
          </cell>
          <cell r="AY218">
            <v>3.153145143365192</v>
          </cell>
          <cell r="AZ218">
            <v>2.8987523153811203</v>
          </cell>
          <cell r="BA218">
            <v>2.9370223173341485</v>
          </cell>
          <cell r="BB218">
            <v>2.7568963622376086</v>
          </cell>
          <cell r="BC218">
            <v>3.0175041186161451</v>
          </cell>
          <cell r="BD218">
            <v>2.9070709893795414</v>
          </cell>
          <cell r="BE218">
            <v>2.3214602161970581</v>
          </cell>
          <cell r="BF218">
            <v>2.228640541848089</v>
          </cell>
          <cell r="BG218">
            <v>1.6536458333333335</v>
          </cell>
          <cell r="BH218">
            <v>2.0339399068980111</v>
          </cell>
          <cell r="BI218">
            <v>-2.2249051397033481E-2</v>
          </cell>
          <cell r="BJ218">
            <v>-8.0394560538244453E-2</v>
          </cell>
          <cell r="BK218">
            <v>-3.3975689297361389E-2</v>
          </cell>
          <cell r="BL218">
            <v>-4.5755104010811287E-2</v>
          </cell>
          <cell r="BM218">
            <v>-0.16196097197851866</v>
          </cell>
          <cell r="BN218">
            <v>-0.15041973148122834</v>
          </cell>
          <cell r="BO218">
            <v>-0.16914637409686917</v>
          </cell>
          <cell r="BP218">
            <v>-0.16058446506207702</v>
          </cell>
        </row>
        <row r="219">
          <cell r="A219" t="str">
            <v>Sales (IMS)</v>
          </cell>
          <cell r="C219">
            <v>0.27371499999999999</v>
          </cell>
          <cell r="D219">
            <v>0.339314</v>
          </cell>
          <cell r="E219">
            <v>0.279167</v>
          </cell>
          <cell r="F219">
            <v>0.27537200000000001</v>
          </cell>
          <cell r="G219">
            <v>0.35594199999999998</v>
          </cell>
          <cell r="H219">
            <v>0.91048099999999987</v>
          </cell>
          <cell r="I219">
            <v>0.29364899999999999</v>
          </cell>
          <cell r="J219">
            <v>0.29879600000000001</v>
          </cell>
          <cell r="K219">
            <v>0.40853499999999998</v>
          </cell>
          <cell r="L219">
            <v>1.00098</v>
          </cell>
          <cell r="M219">
            <v>0.35396699999999998</v>
          </cell>
          <cell r="N219">
            <v>0.40252700000000002</v>
          </cell>
          <cell r="O219">
            <v>0.53411799999999998</v>
          </cell>
          <cell r="P219">
            <v>1.2906119999999999</v>
          </cell>
          <cell r="Q219">
            <v>0.42898700000000001</v>
          </cell>
          <cell r="R219">
            <v>0.43235499999999999</v>
          </cell>
          <cell r="S219">
            <v>0.77688900000000005</v>
          </cell>
          <cell r="T219">
            <v>1.638231</v>
          </cell>
          <cell r="U219">
            <v>0.58390799999999998</v>
          </cell>
          <cell r="V219">
            <v>0.74469799999999997</v>
          </cell>
          <cell r="W219">
            <v>0.70135899999999995</v>
          </cell>
          <cell r="X219">
            <v>2.0299649999999998</v>
          </cell>
          <cell r="Y219">
            <v>0.61406899999999998</v>
          </cell>
          <cell r="Z219">
            <v>0.46669699999999997</v>
          </cell>
          <cell r="AA219">
            <v>0.65165200000000001</v>
          </cell>
          <cell r="AB219">
            <v>1.732418</v>
          </cell>
          <cell r="AC219">
            <v>0.57793499999999998</v>
          </cell>
          <cell r="AD219">
            <v>0.57616199999999995</v>
          </cell>
          <cell r="AE219">
            <v>0.74455899999999997</v>
          </cell>
          <cell r="AF219">
            <v>1.8986559999999999</v>
          </cell>
          <cell r="AG219">
            <v>0.60406599999999999</v>
          </cell>
          <cell r="AH219">
            <v>0.56824200000000002</v>
          </cell>
          <cell r="AI219">
            <v>0.70890699999999995</v>
          </cell>
          <cell r="AJ219">
            <v>1.8812150000000001</v>
          </cell>
          <cell r="AK219">
            <v>0.56406299999999998</v>
          </cell>
          <cell r="AL219">
            <v>0.55421399999999998</v>
          </cell>
          <cell r="AM219">
            <v>0.70227099999999998</v>
          </cell>
          <cell r="AN219">
            <v>1.8205480000000001</v>
          </cell>
          <cell r="AO219">
            <v>0.561948</v>
          </cell>
          <cell r="AP219">
            <v>0.56551099999999999</v>
          </cell>
          <cell r="AQ219">
            <v>0.78684600000000005</v>
          </cell>
          <cell r="AR219">
            <v>1.9143050000000001</v>
          </cell>
          <cell r="AS219">
            <v>0.89434499999999995</v>
          </cell>
          <cell r="AT219">
            <v>0.94707300000000005</v>
          </cell>
          <cell r="AU219">
            <v>1.2393130000000001</v>
          </cell>
          <cell r="AV219">
            <v>3.0807310000000001</v>
          </cell>
          <cell r="AW219">
            <v>0.95904</v>
          </cell>
          <cell r="AX219">
            <v>0.97460999999999998</v>
          </cell>
          <cell r="AY219">
            <v>1.247282</v>
          </cell>
          <cell r="AZ219">
            <v>3.1809319999999999</v>
          </cell>
          <cell r="BA219">
            <v>0.99526199999999998</v>
          </cell>
          <cell r="BB219">
            <v>1.023943</v>
          </cell>
          <cell r="BC219">
            <v>1.2489749999999999</v>
          </cell>
          <cell r="BD219">
            <v>3.2681799999999996</v>
          </cell>
          <cell r="BE219">
            <v>1.0066660000000001</v>
          </cell>
          <cell r="BF219">
            <v>1.003085</v>
          </cell>
          <cell r="BG219">
            <v>1.245179</v>
          </cell>
          <cell r="BH219">
            <v>3.2549299999999999</v>
          </cell>
          <cell r="BI219">
            <v>0.97762499999999997</v>
          </cell>
          <cell r="BJ219">
            <v>1.0032179999999999</v>
          </cell>
          <cell r="BK219">
            <v>1.2388779999999999</v>
          </cell>
          <cell r="BL219">
            <v>3.2197209999999998</v>
          </cell>
          <cell r="BM219">
            <v>1.014394</v>
          </cell>
          <cell r="BN219">
            <v>1.0017590000000001</v>
          </cell>
        </row>
        <row r="220">
          <cell r="A220" t="str">
            <v xml:space="preserve">  % Change</v>
          </cell>
          <cell r="S220">
            <v>1.2895872259912649</v>
          </cell>
          <cell r="U220">
            <v>1.0916082488259713</v>
          </cell>
          <cell r="V220">
            <v>1.7043345002396757</v>
          </cell>
          <cell r="W220">
            <v>0.9704305757679621</v>
          </cell>
          <cell r="X220">
            <v>1.2295522915909283</v>
          </cell>
          <cell r="Y220">
            <v>1.0911666649639535</v>
          </cell>
          <cell r="Z220">
            <v>0.56192519310834133</v>
          </cell>
          <cell r="AA220">
            <v>0.59509466753154583</v>
          </cell>
          <cell r="AB220">
            <v>0.73072189254530562</v>
          </cell>
          <cell r="AC220">
            <v>0.63273695005466624</v>
          </cell>
          <cell r="AD220">
            <v>0.43136236823865204</v>
          </cell>
          <cell r="AE220">
            <v>0.39399720660977544</v>
          </cell>
          <cell r="AF220">
            <v>0.471128425894072</v>
          </cell>
          <cell r="AG220">
            <v>0.40812192444060069</v>
          </cell>
          <cell r="AH220">
            <v>0.31429496594233908</v>
          </cell>
          <cell r="AI220">
            <v>-8.7505422267531219E-2</v>
          </cell>
          <cell r="AJ220">
            <v>0.14832096328295585</v>
          </cell>
          <cell r="AK220">
            <v>-3.3986518424135359E-2</v>
          </cell>
          <cell r="AL220">
            <v>-0.25578690959288197</v>
          </cell>
          <cell r="AM220">
            <v>1.3003326399176895E-3</v>
          </cell>
          <cell r="AN220">
            <v>-0.10316286241388384</v>
          </cell>
          <cell r="AO220">
            <v>-8.4878083733261223E-2</v>
          </cell>
          <cell r="AP220">
            <v>0.21173052323027575</v>
          </cell>
          <cell r="AQ220">
            <v>0.2074634927844925</v>
          </cell>
          <cell r="AR220">
            <v>0.10499025062080869</v>
          </cell>
          <cell r="AS220">
            <v>0.54748371356640457</v>
          </cell>
          <cell r="AT220">
            <v>0.64376165036916722</v>
          </cell>
          <cell r="AU220">
            <v>0.66449267284392532</v>
          </cell>
          <cell r="AV220">
            <v>0.62258513390524683</v>
          </cell>
          <cell r="AW220">
            <v>0.58764108557674155</v>
          </cell>
          <cell r="AX220">
            <v>0.71513193322563273</v>
          </cell>
          <cell r="AY220">
            <v>0.75944376342736075</v>
          </cell>
          <cell r="AZ220">
            <v>0.69089232224918451</v>
          </cell>
          <cell r="BA220">
            <v>0.76445184314518055</v>
          </cell>
          <cell r="BB220">
            <v>0.84755888519597145</v>
          </cell>
          <cell r="BC220">
            <v>0.77848010241060783</v>
          </cell>
          <cell r="BD220">
            <v>0.79516277516440081</v>
          </cell>
          <cell r="BE220">
            <v>0.79138639162342428</v>
          </cell>
          <cell r="BF220">
            <v>0.77376744218945359</v>
          </cell>
          <cell r="BG220">
            <v>0.58249390605023077</v>
          </cell>
          <cell r="BH220">
            <v>0.70031943708029787</v>
          </cell>
          <cell r="BI220">
            <v>9.3118427452493213E-2</v>
          </cell>
          <cell r="BJ220">
            <v>5.9282652973952299E-2</v>
          </cell>
          <cell r="BK220">
            <v>-3.5100091744388884E-4</v>
          </cell>
          <cell r="BL220">
            <v>4.5115915670663753E-2</v>
          </cell>
          <cell r="BM220">
            <v>5.7718134801468146E-2</v>
          </cell>
          <cell r="BN220">
            <v>2.7856270713413567E-2</v>
          </cell>
        </row>
        <row r="222">
          <cell r="A222" t="str">
            <v xml:space="preserve">LORCET 10/650 </v>
          </cell>
        </row>
        <row r="223">
          <cell r="A223" t="str">
            <v>TRx</v>
          </cell>
          <cell r="D223">
            <v>30271</v>
          </cell>
          <cell r="E223">
            <v>31146</v>
          </cell>
          <cell r="F223">
            <v>28621</v>
          </cell>
          <cell r="G223">
            <v>28222</v>
          </cell>
          <cell r="H223">
            <v>87989</v>
          </cell>
          <cell r="I223">
            <v>29315</v>
          </cell>
          <cell r="J223">
            <v>26539</v>
          </cell>
          <cell r="K223">
            <v>28440</v>
          </cell>
          <cell r="L223">
            <v>84294</v>
          </cell>
          <cell r="M223">
            <v>25889</v>
          </cell>
          <cell r="N223">
            <v>26850</v>
          </cell>
          <cell r="O223">
            <v>24937</v>
          </cell>
          <cell r="P223">
            <v>77676</v>
          </cell>
          <cell r="Q223">
            <v>25137</v>
          </cell>
          <cell r="R223">
            <v>23250</v>
          </cell>
          <cell r="S223">
            <v>21106</v>
          </cell>
          <cell r="T223">
            <v>69493</v>
          </cell>
          <cell r="U223">
            <v>23187</v>
          </cell>
          <cell r="V223">
            <v>21523</v>
          </cell>
          <cell r="W223">
            <v>20774</v>
          </cell>
          <cell r="X223">
            <v>65484</v>
          </cell>
          <cell r="Y223">
            <v>20396</v>
          </cell>
          <cell r="Z223">
            <v>18885</v>
          </cell>
          <cell r="AA223">
            <v>19426</v>
          </cell>
          <cell r="AB223">
            <v>58707</v>
          </cell>
          <cell r="AC223">
            <v>19198</v>
          </cell>
          <cell r="AD223">
            <v>19491</v>
          </cell>
          <cell r="AE223">
            <v>17533</v>
          </cell>
          <cell r="AF223">
            <v>56222</v>
          </cell>
          <cell r="AG223">
            <v>18866</v>
          </cell>
          <cell r="AH223">
            <v>17970</v>
          </cell>
          <cell r="AI223">
            <v>16634</v>
          </cell>
          <cell r="AJ223">
            <v>53470</v>
          </cell>
          <cell r="AK223">
            <v>17127</v>
          </cell>
          <cell r="AL223">
            <v>16572</v>
          </cell>
          <cell r="AM223">
            <v>16603</v>
          </cell>
          <cell r="AN223">
            <v>50302</v>
          </cell>
          <cell r="AO223">
            <v>16115</v>
          </cell>
          <cell r="AP223">
            <v>14222</v>
          </cell>
          <cell r="AQ223">
            <v>15427</v>
          </cell>
          <cell r="AR223">
            <v>45764</v>
          </cell>
          <cell r="AS223">
            <v>14774</v>
          </cell>
          <cell r="AT223">
            <v>15310</v>
          </cell>
          <cell r="AU223">
            <v>14416</v>
          </cell>
          <cell r="AV223">
            <v>44500</v>
          </cell>
          <cell r="AW223">
            <v>14225</v>
          </cell>
          <cell r="AX223">
            <v>14162</v>
          </cell>
          <cell r="AY223">
            <v>13454</v>
          </cell>
          <cell r="AZ223">
            <v>41841</v>
          </cell>
          <cell r="BA223">
            <v>13418</v>
          </cell>
          <cell r="BB223">
            <v>12305</v>
          </cell>
          <cell r="BC223">
            <v>13762</v>
          </cell>
          <cell r="BD223">
            <v>39485</v>
          </cell>
          <cell r="BE223">
            <v>12569</v>
          </cell>
          <cell r="BF223">
            <v>11559</v>
          </cell>
          <cell r="BG223">
            <v>11955</v>
          </cell>
          <cell r="BH223">
            <v>36083</v>
          </cell>
          <cell r="BI223">
            <v>11666</v>
          </cell>
          <cell r="BJ223">
            <v>11227</v>
          </cell>
          <cell r="BK223">
            <v>11611</v>
          </cell>
          <cell r="BL223">
            <v>34504</v>
          </cell>
          <cell r="BM223">
            <v>11026</v>
          </cell>
          <cell r="BN223">
            <v>10693</v>
          </cell>
          <cell r="BO223">
            <v>10525</v>
          </cell>
          <cell r="BP223">
            <v>32244</v>
          </cell>
        </row>
        <row r="224">
          <cell r="A224" t="str">
            <v xml:space="preserve">  % Change</v>
          </cell>
          <cell r="S224">
            <v>-0.3027650226289188</v>
          </cell>
          <cell r="U224">
            <v>-0.25553843190136771</v>
          </cell>
          <cell r="V224">
            <v>-0.24799972048495855</v>
          </cell>
          <cell r="W224">
            <v>-0.2639075898235419</v>
          </cell>
          <cell r="X224">
            <v>-0.25577060768959758</v>
          </cell>
          <cell r="Y224">
            <v>-0.30424697253965549</v>
          </cell>
          <cell r="Z224">
            <v>-0.28840574249218132</v>
          </cell>
          <cell r="AA224">
            <v>-0.31694796061884667</v>
          </cell>
          <cell r="AB224">
            <v>-0.30354473628016232</v>
          </cell>
          <cell r="AC224">
            <v>-0.25844953455135389</v>
          </cell>
          <cell r="AD224">
            <v>-0.27407821229050278</v>
          </cell>
          <cell r="AE224">
            <v>-0.29690820868588841</v>
          </cell>
          <cell r="AF224">
            <v>-0.27619856841237966</v>
          </cell>
          <cell r="AG224">
            <v>-0.24947288857063288</v>
          </cell>
          <cell r="AH224">
            <v>-0.22709677419354835</v>
          </cell>
          <cell r="AI224">
            <v>-0.21188287690704066</v>
          </cell>
          <cell r="AJ224">
            <v>-0.23056998546616203</v>
          </cell>
          <cell r="AK224">
            <v>-0.26135334454651316</v>
          </cell>
          <cell r="AL224">
            <v>-0.23003298796636151</v>
          </cell>
          <cell r="AM224">
            <v>-0.20077982093000868</v>
          </cell>
          <cell r="AN224">
            <v>-0.23184289292040805</v>
          </cell>
          <cell r="AO224">
            <v>-0.20989409688174154</v>
          </cell>
          <cell r="AP224">
            <v>-0.24691554143500127</v>
          </cell>
          <cell r="AQ224">
            <v>-0.20585812828168437</v>
          </cell>
          <cell r="AR224">
            <v>-0.22046774660602653</v>
          </cell>
          <cell r="AS224">
            <v>-0.23044067090321907</v>
          </cell>
          <cell r="AT224">
            <v>-0.21450926068441845</v>
          </cell>
          <cell r="AU224">
            <v>-0.17777904522899679</v>
          </cell>
          <cell r="AV224">
            <v>-0.20849489523674003</v>
          </cell>
          <cell r="AW224">
            <v>-0.24599809180536414</v>
          </cell>
          <cell r="AX224">
            <v>-0.21190873678352806</v>
          </cell>
          <cell r="AY224">
            <v>-0.19117470241673684</v>
          </cell>
          <cell r="AZ224">
            <v>-0.2174864409949504</v>
          </cell>
          <cell r="BA224">
            <v>-0.21655865008466169</v>
          </cell>
          <cell r="BB224">
            <v>-0.25748250060342748</v>
          </cell>
          <cell r="BC224">
            <v>-0.17111365415888691</v>
          </cell>
          <cell r="BD224">
            <v>-0.21504115144527058</v>
          </cell>
          <cell r="BE224">
            <v>-0.22004343779087809</v>
          </cell>
          <cell r="BF224">
            <v>-0.18724511320489379</v>
          </cell>
          <cell r="BG224">
            <v>-0.22505995981072147</v>
          </cell>
          <cell r="BH224">
            <v>-0.21154182326719695</v>
          </cell>
          <cell r="BI224">
            <v>-0.21036956816028163</v>
          </cell>
          <cell r="BJ224">
            <v>-0.26668843892880467</v>
          </cell>
          <cell r="BK224">
            <v>-0.19457547169811318</v>
          </cell>
          <cell r="BL224">
            <v>-0.22462921348314602</v>
          </cell>
          <cell r="BM224">
            <v>-0.22488576449912123</v>
          </cell>
          <cell r="BN224">
            <v>-0.24495127806806949</v>
          </cell>
          <cell r="BO224">
            <v>-0.21770477181507364</v>
          </cell>
          <cell r="BP224">
            <v>-0.22936832293683229</v>
          </cell>
        </row>
        <row r="225">
          <cell r="A225" t="str">
            <v>NRx</v>
          </cell>
          <cell r="D225">
            <v>20407</v>
          </cell>
          <cell r="E225">
            <v>21192</v>
          </cell>
          <cell r="F225">
            <v>19228</v>
          </cell>
          <cell r="G225">
            <v>18806</v>
          </cell>
          <cell r="H225">
            <v>59226</v>
          </cell>
          <cell r="I225">
            <v>19472</v>
          </cell>
          <cell r="J225">
            <v>17441</v>
          </cell>
          <cell r="K225">
            <v>18477</v>
          </cell>
          <cell r="L225">
            <v>55390</v>
          </cell>
          <cell r="M225">
            <v>17011</v>
          </cell>
          <cell r="N225">
            <v>18067</v>
          </cell>
          <cell r="O225">
            <v>16546</v>
          </cell>
          <cell r="P225">
            <v>51624</v>
          </cell>
          <cell r="Q225">
            <v>16440</v>
          </cell>
          <cell r="R225">
            <v>15715</v>
          </cell>
          <cell r="S225">
            <v>13975</v>
          </cell>
          <cell r="T225">
            <v>46130</v>
          </cell>
          <cell r="U225">
            <v>15408</v>
          </cell>
          <cell r="V225">
            <v>14345</v>
          </cell>
          <cell r="W225">
            <v>13712</v>
          </cell>
          <cell r="X225">
            <v>43465</v>
          </cell>
          <cell r="Y225">
            <v>13886</v>
          </cell>
          <cell r="Z225">
            <v>12619</v>
          </cell>
          <cell r="AA225">
            <v>13172</v>
          </cell>
          <cell r="AB225">
            <v>39677</v>
          </cell>
          <cell r="AC225">
            <v>13107</v>
          </cell>
          <cell r="AD225">
            <v>13004</v>
          </cell>
          <cell r="AE225">
            <v>11838</v>
          </cell>
          <cell r="AF225">
            <v>37949</v>
          </cell>
          <cell r="AG225">
            <v>12848</v>
          </cell>
          <cell r="AH225">
            <v>12097</v>
          </cell>
          <cell r="AI225">
            <v>11218</v>
          </cell>
          <cell r="AJ225">
            <v>36163</v>
          </cell>
          <cell r="AK225">
            <v>11539</v>
          </cell>
          <cell r="AL225">
            <v>11044</v>
          </cell>
          <cell r="AM225">
            <v>11022</v>
          </cell>
          <cell r="AN225">
            <v>33605</v>
          </cell>
          <cell r="AO225">
            <v>10836</v>
          </cell>
          <cell r="AP225">
            <v>9473</v>
          </cell>
          <cell r="AQ225">
            <v>10422</v>
          </cell>
          <cell r="AR225">
            <v>30731</v>
          </cell>
          <cell r="AS225">
            <v>9983</v>
          </cell>
          <cell r="AT225">
            <v>10273</v>
          </cell>
          <cell r="AU225">
            <v>9620</v>
          </cell>
          <cell r="AV225">
            <v>29876</v>
          </cell>
          <cell r="AW225">
            <v>9523</v>
          </cell>
          <cell r="AX225">
            <v>9496</v>
          </cell>
          <cell r="AY225">
            <v>8928</v>
          </cell>
          <cell r="AZ225">
            <v>27947</v>
          </cell>
          <cell r="BA225">
            <v>8891</v>
          </cell>
          <cell r="BB225">
            <v>8078</v>
          </cell>
          <cell r="BC225">
            <v>8762</v>
          </cell>
          <cell r="BD225">
            <v>25731</v>
          </cell>
          <cell r="BE225">
            <v>8299</v>
          </cell>
          <cell r="BF225">
            <v>7479</v>
          </cell>
          <cell r="BG225">
            <v>7932</v>
          </cell>
          <cell r="BH225">
            <v>23710</v>
          </cell>
          <cell r="BI225">
            <v>7698</v>
          </cell>
          <cell r="BJ225">
            <v>7431</v>
          </cell>
          <cell r="BK225">
            <v>7733</v>
          </cell>
          <cell r="BL225">
            <v>22862</v>
          </cell>
          <cell r="BM225">
            <v>7277</v>
          </cell>
          <cell r="BN225">
            <v>7061</v>
          </cell>
          <cell r="BO225">
            <v>6976</v>
          </cell>
          <cell r="BP225">
            <v>21314</v>
          </cell>
        </row>
        <row r="226">
          <cell r="A226" t="str">
            <v xml:space="preserve">  % Change</v>
          </cell>
          <cell r="S226">
            <v>-0.3151859656000392</v>
          </cell>
          <cell r="U226">
            <v>-0.27293318233295583</v>
          </cell>
          <cell r="V226">
            <v>-0.25395256916996045</v>
          </cell>
          <cell r="W226">
            <v>-0.27087099861746256</v>
          </cell>
          <cell r="X226">
            <v>-0.2661162327356229</v>
          </cell>
          <cell r="Y226">
            <v>-0.286873459326212</v>
          </cell>
          <cell r="Z226">
            <v>-0.27647497276532307</v>
          </cell>
          <cell r="AA226">
            <v>-0.2871137089354332</v>
          </cell>
          <cell r="AB226">
            <v>-0.28367936450622855</v>
          </cell>
          <cell r="AC226">
            <v>-0.2294985597554523</v>
          </cell>
          <cell r="AD226">
            <v>-0.28023468201693691</v>
          </cell>
          <cell r="AE226">
            <v>-0.28454007010757887</v>
          </cell>
          <cell r="AF226">
            <v>-0.2648961723229506</v>
          </cell>
          <cell r="AG226">
            <v>-0.21849148418491482</v>
          </cell>
          <cell r="AH226">
            <v>-0.23022589882278077</v>
          </cell>
          <cell r="AI226">
            <v>-0.19728085867620748</v>
          </cell>
          <cell r="AJ226">
            <v>-0.21606329937134183</v>
          </cell>
          <cell r="AK226">
            <v>-0.2511033229491173</v>
          </cell>
          <cell r="AL226">
            <v>-0.23011502265597772</v>
          </cell>
          <cell r="AM226">
            <v>-0.1961785297549592</v>
          </cell>
          <cell r="AN226">
            <v>-0.22684918900264583</v>
          </cell>
          <cell r="AO226">
            <v>-0.21964568630275094</v>
          </cell>
          <cell r="AP226">
            <v>-0.24930660115698555</v>
          </cell>
          <cell r="AQ226">
            <v>-0.20877619192225938</v>
          </cell>
          <cell r="AR226">
            <v>-0.22547067570632862</v>
          </cell>
          <cell r="AS226">
            <v>-0.23834592202639815</v>
          </cell>
          <cell r="AT226">
            <v>-0.21001230390649028</v>
          </cell>
          <cell r="AU226">
            <v>-0.18736273019091065</v>
          </cell>
          <cell r="AV226">
            <v>-0.21273287833671506</v>
          </cell>
          <cell r="AW226">
            <v>-0.25879514321295138</v>
          </cell>
          <cell r="AX226">
            <v>-0.21501198644291974</v>
          </cell>
          <cell r="AY226">
            <v>-0.20413620966304158</v>
          </cell>
          <cell r="AZ226">
            <v>-0.22719354035893036</v>
          </cell>
          <cell r="BA226">
            <v>-0.22948262414420662</v>
          </cell>
          <cell r="BB226">
            <v>-0.26856211517566098</v>
          </cell>
          <cell r="BC226">
            <v>-0.20504445654146253</v>
          </cell>
          <cell r="BD226">
            <v>-0.23431037048058323</v>
          </cell>
          <cell r="BE226">
            <v>-0.23412698412698407</v>
          </cell>
          <cell r="BF226">
            <v>-0.2104929800485591</v>
          </cell>
          <cell r="BG226">
            <v>-0.23891767415083476</v>
          </cell>
          <cell r="BH226">
            <v>-0.22846636946405907</v>
          </cell>
          <cell r="BI226">
            <v>-0.22888911148953217</v>
          </cell>
          <cell r="BJ226">
            <v>-0.27664752263214254</v>
          </cell>
          <cell r="BK226">
            <v>-0.19615384615384612</v>
          </cell>
          <cell r="BL226">
            <v>-0.23477038425492036</v>
          </cell>
          <cell r="BM226">
            <v>-0.23585004725401659</v>
          </cell>
          <cell r="BN226">
            <v>-0.2564237573715249</v>
          </cell>
          <cell r="BO226">
            <v>-0.21863799283154117</v>
          </cell>
          <cell r="BP226">
            <v>-0.23734211185458187</v>
          </cell>
        </row>
        <row r="227">
          <cell r="A227" t="str">
            <v>Sales (IMS)</v>
          </cell>
          <cell r="C227">
            <v>1.8438669999999999</v>
          </cell>
          <cell r="D227">
            <v>2.323194</v>
          </cell>
          <cell r="E227">
            <v>1.913556</v>
          </cell>
          <cell r="F227">
            <v>1.812195</v>
          </cell>
          <cell r="G227">
            <v>2.3177840000000001</v>
          </cell>
          <cell r="H227">
            <v>6.0435350000000003</v>
          </cell>
          <cell r="I227">
            <v>1.7990010000000001</v>
          </cell>
          <cell r="J227">
            <v>1.7440979999999999</v>
          </cell>
          <cell r="K227">
            <v>2.223023</v>
          </cell>
          <cell r="L227">
            <v>5.7661219999999993</v>
          </cell>
          <cell r="M227">
            <v>1.674884</v>
          </cell>
          <cell r="N227">
            <v>1.8160769999999999</v>
          </cell>
          <cell r="O227">
            <v>2.1417899999999999</v>
          </cell>
          <cell r="P227">
            <v>5.6327509999999998</v>
          </cell>
          <cell r="Q227">
            <v>1.7471570000000001</v>
          </cell>
          <cell r="R227">
            <v>1.705784</v>
          </cell>
          <cell r="S227">
            <v>2.0671430000000002</v>
          </cell>
          <cell r="T227">
            <v>5.5200840000000007</v>
          </cell>
          <cell r="U227">
            <v>1.6711720000000001</v>
          </cell>
          <cell r="V227">
            <v>2.0382440000000002</v>
          </cell>
          <cell r="W227">
            <v>2.0353680000000001</v>
          </cell>
          <cell r="X227">
            <v>5.744784000000001</v>
          </cell>
          <cell r="Y227">
            <v>1.5635650000000001</v>
          </cell>
          <cell r="Z227">
            <v>1.4892939999999999</v>
          </cell>
          <cell r="AA227">
            <v>1.924299</v>
          </cell>
          <cell r="AB227">
            <v>4.9771579999999993</v>
          </cell>
          <cell r="AC227">
            <v>1.4722660000000001</v>
          </cell>
          <cell r="AD227">
            <v>1.401108</v>
          </cell>
          <cell r="AE227">
            <v>1.7876209999999999</v>
          </cell>
          <cell r="AF227">
            <v>4.6609949999999998</v>
          </cell>
          <cell r="AG227">
            <v>1.4214150000000001</v>
          </cell>
          <cell r="AH227">
            <v>1.371362</v>
          </cell>
          <cell r="AI227">
            <v>1.703206</v>
          </cell>
          <cell r="AJ227">
            <v>4.4959830000000007</v>
          </cell>
          <cell r="AK227">
            <v>1.434717</v>
          </cell>
          <cell r="AL227">
            <v>1.2684310000000001</v>
          </cell>
          <cell r="AM227">
            <v>1.6244959999999999</v>
          </cell>
          <cell r="AN227">
            <v>4.3276440000000003</v>
          </cell>
          <cell r="AO227">
            <v>1.208391</v>
          </cell>
          <cell r="AP227">
            <v>1.191141</v>
          </cell>
          <cell r="AQ227">
            <v>1.5764210000000001</v>
          </cell>
          <cell r="AR227">
            <v>3.9759529999999996</v>
          </cell>
          <cell r="AS227">
            <v>1.202051</v>
          </cell>
          <cell r="AT227">
            <v>1.213857</v>
          </cell>
          <cell r="AU227">
            <v>1.521997</v>
          </cell>
          <cell r="AV227">
            <v>3.9379049999999998</v>
          </cell>
          <cell r="AW227">
            <v>1.1997180000000001</v>
          </cell>
          <cell r="AX227">
            <v>1.204186</v>
          </cell>
          <cell r="AY227">
            <v>1.4447989999999999</v>
          </cell>
          <cell r="AZ227">
            <v>3.8487029999999995</v>
          </cell>
          <cell r="BA227">
            <v>1.1233789999999999</v>
          </cell>
          <cell r="BB227">
            <v>1.159713</v>
          </cell>
          <cell r="BC227">
            <v>1.3898410000000001</v>
          </cell>
          <cell r="BD227">
            <v>3.672933</v>
          </cell>
          <cell r="BE227">
            <v>1.1334329999999999</v>
          </cell>
          <cell r="BF227">
            <v>1.1003240000000001</v>
          </cell>
          <cell r="BG227">
            <v>1.350182</v>
          </cell>
          <cell r="BH227">
            <v>3.583939</v>
          </cell>
          <cell r="BI227">
            <v>1.0541430000000001</v>
          </cell>
          <cell r="BJ227">
            <v>1.036143</v>
          </cell>
          <cell r="BK227">
            <v>1.260319</v>
          </cell>
          <cell r="BL227">
            <v>3.3506049999999998</v>
          </cell>
          <cell r="BM227">
            <v>0.94166499999999997</v>
          </cell>
          <cell r="BN227">
            <v>0.99210500000000001</v>
          </cell>
        </row>
        <row r="228">
          <cell r="A228" t="str">
            <v xml:space="preserve">  % Change</v>
          </cell>
          <cell r="AJ228">
            <v>-0.18552272030643013</v>
          </cell>
          <cell r="AK228">
            <v>-0.14149052281871644</v>
          </cell>
          <cell r="AL228">
            <v>-0.37768441854851531</v>
          </cell>
          <cell r="AM228">
            <v>-0.20186619815188223</v>
          </cell>
          <cell r="AN228">
            <v>-0.24668290400474591</v>
          </cell>
          <cell r="AO228">
            <v>-0.22715653010907766</v>
          </cell>
          <cell r="AP228">
            <v>-0.20019754326546668</v>
          </cell>
          <cell r="AQ228">
            <v>-0.18078167685998892</v>
          </cell>
          <cell r="AR228">
            <v>-0.20115997924920204</v>
          </cell>
          <cell r="AS228">
            <v>-0.18353680652816817</v>
          </cell>
          <cell r="AT228">
            <v>-0.13364494385871761</v>
          </cell>
          <cell r="AU228">
            <v>-0.14859078070799114</v>
          </cell>
          <cell r="AV228">
            <v>-0.15513640327869904</v>
          </cell>
          <cell r="AW228">
            <v>-0.15596922784689904</v>
          </cell>
          <cell r="AX228">
            <v>-0.12190508414262613</v>
          </cell>
          <cell r="AY228">
            <v>-0.15171799535699149</v>
          </cell>
          <cell r="AZ228">
            <v>-0.14396851589518933</v>
          </cell>
          <cell r="BA228">
            <v>-0.21700307447392075</v>
          </cell>
          <cell r="BB228">
            <v>-8.5710614136677576E-2</v>
          </cell>
          <cell r="BC228">
            <v>-0.14444787798800351</v>
          </cell>
          <cell r="BD228">
            <v>-0.15128578043850194</v>
          </cell>
          <cell r="BE228">
            <v>-6.203124650878733E-2</v>
          </cell>
          <cell r="BF228">
            <v>-7.624370246679435E-2</v>
          </cell>
          <cell r="BG228">
            <v>-0.14351432770814398</v>
          </cell>
          <cell r="BH228">
            <v>-9.8596235921299846E-2</v>
          </cell>
          <cell r="BI228">
            <v>-0.12304635992981994</v>
          </cell>
          <cell r="BJ228">
            <v>-0.14640439524589799</v>
          </cell>
          <cell r="BK228">
            <v>-0.17193069368730696</v>
          </cell>
          <cell r="BL228">
            <v>-0.14914021541911249</v>
          </cell>
          <cell r="BM228">
            <v>-0.21509471392443902</v>
          </cell>
          <cell r="BN228">
            <v>-0.1761198020903747</v>
          </cell>
        </row>
        <row r="230">
          <cell r="A230" t="str">
            <v xml:space="preserve">LORCET PLUS </v>
          </cell>
        </row>
        <row r="231">
          <cell r="A231" t="str">
            <v>TRx</v>
          </cell>
          <cell r="D231">
            <v>33583</v>
          </cell>
          <cell r="E231">
            <v>34342</v>
          </cell>
          <cell r="F231">
            <v>32005</v>
          </cell>
          <cell r="G231">
            <v>31484</v>
          </cell>
          <cell r="H231">
            <v>97831</v>
          </cell>
          <cell r="I231">
            <v>32944</v>
          </cell>
          <cell r="J231">
            <v>30258</v>
          </cell>
          <cell r="K231">
            <v>33306</v>
          </cell>
          <cell r="L231">
            <v>96508</v>
          </cell>
          <cell r="M231">
            <v>28668</v>
          </cell>
          <cell r="N231">
            <v>30870</v>
          </cell>
          <cell r="O231">
            <v>28841</v>
          </cell>
          <cell r="P231">
            <v>88379</v>
          </cell>
          <cell r="Q231">
            <v>28586</v>
          </cell>
          <cell r="R231">
            <v>28712</v>
          </cell>
          <cell r="S231">
            <v>26319</v>
          </cell>
          <cell r="T231">
            <v>83617</v>
          </cell>
          <cell r="U231">
            <v>30355</v>
          </cell>
          <cell r="V231">
            <v>27970</v>
          </cell>
          <cell r="W231">
            <v>27341</v>
          </cell>
          <cell r="X231">
            <v>85666</v>
          </cell>
          <cell r="Y231">
            <v>26808</v>
          </cell>
          <cell r="Z231">
            <v>25502</v>
          </cell>
          <cell r="AA231">
            <v>26273</v>
          </cell>
          <cell r="AB231">
            <v>78583</v>
          </cell>
          <cell r="AC231">
            <v>26855</v>
          </cell>
          <cell r="AD231">
            <v>26934</v>
          </cell>
          <cell r="AE231">
            <v>25355</v>
          </cell>
          <cell r="AF231">
            <v>79144</v>
          </cell>
          <cell r="AG231">
            <v>26701</v>
          </cell>
          <cell r="AH231">
            <v>23404</v>
          </cell>
          <cell r="AI231">
            <v>20677</v>
          </cell>
          <cell r="AJ231">
            <v>70782</v>
          </cell>
          <cell r="AK231">
            <v>22114</v>
          </cell>
          <cell r="AL231">
            <v>21004</v>
          </cell>
          <cell r="AM231">
            <v>20915</v>
          </cell>
          <cell r="AN231">
            <v>64033</v>
          </cell>
          <cell r="AO231">
            <v>20360</v>
          </cell>
          <cell r="AP231">
            <v>17107</v>
          </cell>
          <cell r="AQ231">
            <v>19957</v>
          </cell>
          <cell r="AR231">
            <v>57424</v>
          </cell>
          <cell r="AS231">
            <v>18915</v>
          </cell>
          <cell r="AT231">
            <v>19385</v>
          </cell>
          <cell r="AU231">
            <v>17913</v>
          </cell>
          <cell r="AV231">
            <v>56213</v>
          </cell>
          <cell r="AW231">
            <v>18392</v>
          </cell>
          <cell r="AX231">
            <v>17638</v>
          </cell>
          <cell r="AY231">
            <v>16758</v>
          </cell>
          <cell r="AZ231">
            <v>52788</v>
          </cell>
          <cell r="BA231">
            <v>16974</v>
          </cell>
          <cell r="BB231">
            <v>14861</v>
          </cell>
          <cell r="BC231">
            <v>16376</v>
          </cell>
          <cell r="BD231">
            <v>48211</v>
          </cell>
          <cell r="BE231">
            <v>14765</v>
          </cell>
          <cell r="BF231">
            <v>14072</v>
          </cell>
          <cell r="BG231">
            <v>14174</v>
          </cell>
          <cell r="BH231">
            <v>43011</v>
          </cell>
          <cell r="BI231">
            <v>13975</v>
          </cell>
          <cell r="BJ231">
            <v>14316</v>
          </cell>
          <cell r="BK231">
            <v>14226</v>
          </cell>
          <cell r="BL231">
            <v>42517</v>
          </cell>
          <cell r="BM231">
            <v>14595</v>
          </cell>
          <cell r="BN231">
            <v>13866</v>
          </cell>
          <cell r="BO231">
            <v>13027</v>
          </cell>
          <cell r="BP231">
            <v>41488</v>
          </cell>
        </row>
        <row r="232">
          <cell r="A232" t="str">
            <v xml:space="preserve">  % Change</v>
          </cell>
          <cell r="S232">
            <v>-0.21629991364678558</v>
          </cell>
          <cell r="U232">
            <v>-0.11609690757672819</v>
          </cell>
          <cell r="V232">
            <v>-0.12607405092954227</v>
          </cell>
          <cell r="W232">
            <v>-0.13159064921865071</v>
          </cell>
          <cell r="X232">
            <v>-0.12434708834622976</v>
          </cell>
          <cell r="Y232">
            <v>-0.18625546381738711</v>
          </cell>
          <cell r="Z232">
            <v>-0.15718157181571812</v>
          </cell>
          <cell r="AA232">
            <v>-0.21116315378610462</v>
          </cell>
          <cell r="AB232">
            <v>-0.18573589754217268</v>
          </cell>
          <cell r="AC232">
            <v>-6.3241244593274737E-2</v>
          </cell>
          <cell r="AD232">
            <v>-0.12750242954324587</v>
          </cell>
          <cell r="AE232">
            <v>-0.1208695953677057</v>
          </cell>
          <cell r="AF232">
            <v>-0.10449314882494709</v>
          </cell>
          <cell r="AG232">
            <v>-6.5941369901350355E-2</v>
          </cell>
          <cell r="AH232">
            <v>-0.184870437447757</v>
          </cell>
          <cell r="AI232">
            <v>-0.21436984687868077</v>
          </cell>
          <cell r="AJ232">
            <v>-0.1534974945286246</v>
          </cell>
          <cell r="AK232">
            <v>-0.27148739911052544</v>
          </cell>
          <cell r="AL232">
            <v>-0.24905255631033252</v>
          </cell>
          <cell r="AM232">
            <v>-0.23503163746753963</v>
          </cell>
          <cell r="AN232">
            <v>-0.2525272570214554</v>
          </cell>
          <cell r="AO232">
            <v>-0.24052521635332735</v>
          </cell>
          <cell r="AP232">
            <v>-0.32918986746137557</v>
          </cell>
          <cell r="AQ232">
            <v>-0.24039888859285197</v>
          </cell>
          <cell r="AR232">
            <v>-0.26925670946642399</v>
          </cell>
          <cell r="AS232">
            <v>-0.29566188791658909</v>
          </cell>
          <cell r="AT232">
            <v>-0.28027771589812134</v>
          </cell>
          <cell r="AU232">
            <v>-0.29351212778544666</v>
          </cell>
          <cell r="AV232">
            <v>-0.28973769331850807</v>
          </cell>
          <cell r="AW232">
            <v>-0.31118684693457177</v>
          </cell>
          <cell r="AX232">
            <v>-0.24636814219791492</v>
          </cell>
          <cell r="AY232">
            <v>-0.18953426512550176</v>
          </cell>
          <cell r="AZ232">
            <v>-0.25421717385776044</v>
          </cell>
          <cell r="BA232">
            <v>-0.23243194356516239</v>
          </cell>
          <cell r="BB232">
            <v>-0.29246810131403544</v>
          </cell>
          <cell r="BC232">
            <v>-0.21702127659574466</v>
          </cell>
          <cell r="BD232">
            <v>-0.24709134352599438</v>
          </cell>
          <cell r="BE232">
            <v>-0.27480353634577603</v>
          </cell>
          <cell r="BF232">
            <v>-0.17741275501256792</v>
          </cell>
          <cell r="BG232">
            <v>-0.2897730119757479</v>
          </cell>
          <cell r="BH232">
            <v>-0.25099261632766789</v>
          </cell>
          <cell r="BI232">
            <v>-0.26116838487972505</v>
          </cell>
          <cell r="BJ232">
            <v>-0.2614908434356461</v>
          </cell>
          <cell r="BK232">
            <v>-0.20582816948584826</v>
          </cell>
          <cell r="BL232">
            <v>-0.24364470851938169</v>
          </cell>
          <cell r="BM232">
            <v>-0.20644845585036975</v>
          </cell>
          <cell r="BN232">
            <v>-0.21385644630910539</v>
          </cell>
          <cell r="BO232">
            <v>-0.22263993316624897</v>
          </cell>
          <cell r="BP232">
            <v>-0.21406380237932865</v>
          </cell>
        </row>
        <row r="233">
          <cell r="A233" t="str">
            <v>NRx</v>
          </cell>
          <cell r="D233">
            <v>23448</v>
          </cell>
          <cell r="E233">
            <v>23942</v>
          </cell>
          <cell r="F233">
            <v>22202</v>
          </cell>
          <cell r="G233">
            <v>21384</v>
          </cell>
          <cell r="H233">
            <v>67528</v>
          </cell>
          <cell r="I233">
            <v>23232</v>
          </cell>
          <cell r="J233">
            <v>21351</v>
          </cell>
          <cell r="K233">
            <v>23133</v>
          </cell>
          <cell r="L233">
            <v>67716</v>
          </cell>
          <cell r="M233">
            <v>20202</v>
          </cell>
          <cell r="N233">
            <v>21452</v>
          </cell>
          <cell r="O233">
            <v>19670</v>
          </cell>
          <cell r="P233">
            <v>61324</v>
          </cell>
          <cell r="Q233">
            <v>19951</v>
          </cell>
          <cell r="R233">
            <v>20112</v>
          </cell>
          <cell r="S233">
            <v>17788</v>
          </cell>
          <cell r="T233">
            <v>57851</v>
          </cell>
          <cell r="U233">
            <v>20847</v>
          </cell>
          <cell r="V233">
            <v>18871</v>
          </cell>
          <cell r="W233">
            <v>18121</v>
          </cell>
          <cell r="X233">
            <v>57839</v>
          </cell>
          <cell r="Y233">
            <v>18746</v>
          </cell>
          <cell r="Z233">
            <v>17557</v>
          </cell>
          <cell r="AA233">
            <v>18025</v>
          </cell>
          <cell r="AB233">
            <v>54328</v>
          </cell>
          <cell r="AC233">
            <v>18547</v>
          </cell>
          <cell r="AD233">
            <v>18235</v>
          </cell>
          <cell r="AE233">
            <v>17344</v>
          </cell>
          <cell r="AF233">
            <v>54126</v>
          </cell>
          <cell r="AG233">
            <v>18108</v>
          </cell>
          <cell r="AH233">
            <v>15999</v>
          </cell>
          <cell r="AI233">
            <v>14297</v>
          </cell>
          <cell r="AJ233">
            <v>48404</v>
          </cell>
          <cell r="AK233">
            <v>14984</v>
          </cell>
          <cell r="AL233">
            <v>13988</v>
          </cell>
          <cell r="AM233">
            <v>14006</v>
          </cell>
          <cell r="AN233">
            <v>42978</v>
          </cell>
          <cell r="AO233">
            <v>13968</v>
          </cell>
          <cell r="AP233">
            <v>11715</v>
          </cell>
          <cell r="AQ233">
            <v>13505</v>
          </cell>
          <cell r="AR233">
            <v>39188</v>
          </cell>
          <cell r="AS233">
            <v>12787</v>
          </cell>
          <cell r="AT233">
            <v>13075</v>
          </cell>
          <cell r="AU233">
            <v>12038</v>
          </cell>
          <cell r="AV233">
            <v>37900</v>
          </cell>
          <cell r="AW233">
            <v>12474</v>
          </cell>
          <cell r="AX233">
            <v>11654</v>
          </cell>
          <cell r="AY233">
            <v>11204</v>
          </cell>
          <cell r="AZ233">
            <v>35332</v>
          </cell>
          <cell r="BA233">
            <v>11452</v>
          </cell>
          <cell r="BB233">
            <v>9740</v>
          </cell>
          <cell r="BC233">
            <v>10591</v>
          </cell>
          <cell r="BD233">
            <v>31783</v>
          </cell>
          <cell r="BE233">
            <v>9976</v>
          </cell>
          <cell r="BF233">
            <v>9349</v>
          </cell>
          <cell r="BG233">
            <v>9382</v>
          </cell>
          <cell r="BH233">
            <v>28707</v>
          </cell>
          <cell r="BI233">
            <v>9349</v>
          </cell>
          <cell r="BJ233">
            <v>9347</v>
          </cell>
          <cell r="BK233">
            <v>9459</v>
          </cell>
          <cell r="BL233">
            <v>28155</v>
          </cell>
          <cell r="BM233">
            <v>9423</v>
          </cell>
          <cell r="BN233">
            <v>8882</v>
          </cell>
          <cell r="BO233">
            <v>8471</v>
          </cell>
          <cell r="BP233">
            <v>26776</v>
          </cell>
        </row>
        <row r="234">
          <cell r="A234" t="str">
            <v xml:space="preserve">  % Change</v>
          </cell>
          <cell r="S234">
            <v>-0.24138519276697368</v>
          </cell>
          <cell r="U234">
            <v>-0.12927073761590513</v>
          </cell>
          <cell r="V234">
            <v>-0.15003152869110892</v>
          </cell>
          <cell r="W234">
            <v>-0.15259072203516644</v>
          </cell>
          <cell r="X234">
            <v>-0.1434812226039569</v>
          </cell>
          <cell r="Y234">
            <v>-0.19309573002754821</v>
          </cell>
          <cell r="Z234">
            <v>-0.17769659500725965</v>
          </cell>
          <cell r="AA234">
            <v>-0.22081009812821506</v>
          </cell>
          <cell r="AB234">
            <v>-0.19770807490105735</v>
          </cell>
          <cell r="AC234">
            <v>-8.192258192258195E-2</v>
          </cell>
          <cell r="AD234">
            <v>-0.14996270743986573</v>
          </cell>
          <cell r="AE234">
            <v>-0.11825114387391966</v>
          </cell>
          <cell r="AF234">
            <v>-0.1173765573021982</v>
          </cell>
          <cell r="AG234">
            <v>-9.2376321988872689E-2</v>
          </cell>
          <cell r="AH234">
            <v>-0.20450477326968974</v>
          </cell>
          <cell r="AI234">
            <v>-0.19625590285585792</v>
          </cell>
          <cell r="AJ234">
            <v>-0.16329881938082313</v>
          </cell>
          <cell r="AK234">
            <v>-0.28123950688348442</v>
          </cell>
          <cell r="AL234">
            <v>-0.25875682263791</v>
          </cell>
          <cell r="AM234">
            <v>-0.22708459798024394</v>
          </cell>
          <cell r="AN234">
            <v>-0.2569373606044365</v>
          </cell>
          <cell r="AO234">
            <v>-0.25488104128880829</v>
          </cell>
          <cell r="AP234">
            <v>-0.33274477416415105</v>
          </cell>
          <cell r="AQ234">
            <v>-0.25076282940360606</v>
          </cell>
          <cell r="AR234">
            <v>-0.27867766161095564</v>
          </cell>
          <cell r="AS234">
            <v>-0.31056235509785945</v>
          </cell>
          <cell r="AT234">
            <v>-0.28297230600493561</v>
          </cell>
          <cell r="AU234">
            <v>-0.30592712177121772</v>
          </cell>
          <cell r="AV234">
            <v>-0.29978199017108231</v>
          </cell>
          <cell r="AW234">
            <v>-0.31113320079522866</v>
          </cell>
          <cell r="AX234">
            <v>-0.27157947371710733</v>
          </cell>
          <cell r="AY234">
            <v>-0.21633909211722735</v>
          </cell>
          <cell r="AZ234">
            <v>-0.27006032559292625</v>
          </cell>
          <cell r="BA234">
            <v>-0.23571809930592635</v>
          </cell>
          <cell r="BB234">
            <v>-0.30368887617958251</v>
          </cell>
          <cell r="BC234">
            <v>-0.24382407539625872</v>
          </cell>
          <cell r="BD234">
            <v>-0.26048210712457531</v>
          </cell>
          <cell r="BE234">
            <v>-0.28579610538373423</v>
          </cell>
          <cell r="BF234">
            <v>-0.20196329492104137</v>
          </cell>
          <cell r="BG234">
            <v>-0.30529433543132178</v>
          </cell>
          <cell r="BH234">
            <v>-0.26745432275186276</v>
          </cell>
          <cell r="BI234">
            <v>-0.26886681786189093</v>
          </cell>
          <cell r="BJ234">
            <v>-0.28512428298279158</v>
          </cell>
          <cell r="BK234">
            <v>-0.21423824555574011</v>
          </cell>
          <cell r="BL234">
            <v>-0.25712401055408973</v>
          </cell>
          <cell r="BM234">
            <v>-0.24458874458874458</v>
          </cell>
          <cell r="BN234">
            <v>-0.23785824609576112</v>
          </cell>
          <cell r="BO234">
            <v>-0.24393073902177798</v>
          </cell>
          <cell r="BP234">
            <v>-0.24216008151250989</v>
          </cell>
        </row>
        <row r="235">
          <cell r="A235" t="str">
            <v>Sales (IMS)</v>
          </cell>
          <cell r="C235">
            <v>1.1647069999999999</v>
          </cell>
          <cell r="D235">
            <v>1.4423619999999999</v>
          </cell>
          <cell r="E235">
            <v>1.2145969999999999</v>
          </cell>
          <cell r="F235">
            <v>1.1386019999999999</v>
          </cell>
          <cell r="G235">
            <v>1.439322</v>
          </cell>
          <cell r="H235">
            <v>3.7925209999999998</v>
          </cell>
          <cell r="I235">
            <v>1.080422</v>
          </cell>
          <cell r="J235">
            <v>1.1062000000000001</v>
          </cell>
          <cell r="K235">
            <v>1.3694999999999999</v>
          </cell>
          <cell r="L235">
            <v>3.5561219999999998</v>
          </cell>
          <cell r="M235">
            <v>1.0404990000000001</v>
          </cell>
          <cell r="N235">
            <v>1.099334</v>
          </cell>
          <cell r="O235">
            <v>1.2815209999999999</v>
          </cell>
          <cell r="P235">
            <v>3.421354</v>
          </cell>
          <cell r="Q235">
            <v>1.04244</v>
          </cell>
          <cell r="R235">
            <v>1.0678650000000001</v>
          </cell>
          <cell r="S235">
            <v>1.2945519999999999</v>
          </cell>
          <cell r="T235">
            <v>3.4048569999999998</v>
          </cell>
          <cell r="U235">
            <v>1.02077</v>
          </cell>
          <cell r="V235">
            <v>1.2216419999999999</v>
          </cell>
          <cell r="W235">
            <v>1.2282390000000001</v>
          </cell>
          <cell r="X235">
            <v>3.4706510000000002</v>
          </cell>
          <cell r="Y235">
            <v>0.90587399999999996</v>
          </cell>
          <cell r="Z235">
            <v>0.88839400000000002</v>
          </cell>
          <cell r="AA235">
            <v>1.1509830000000001</v>
          </cell>
          <cell r="AB235">
            <v>2.9452509999999998</v>
          </cell>
          <cell r="AC235">
            <v>0.88126499999999997</v>
          </cell>
          <cell r="AD235">
            <v>0.86002000000000001</v>
          </cell>
          <cell r="AE235">
            <v>1.0955090000000001</v>
          </cell>
          <cell r="AF235">
            <v>2.8367940000000003</v>
          </cell>
          <cell r="AG235">
            <v>0.84760599999999997</v>
          </cell>
          <cell r="AH235">
            <v>0.81230199999999997</v>
          </cell>
          <cell r="AI235">
            <v>1.0295430000000001</v>
          </cell>
          <cell r="AJ235">
            <v>2.689451</v>
          </cell>
          <cell r="AK235">
            <v>0.74140700000000004</v>
          </cell>
          <cell r="AL235">
            <v>0.78113100000000002</v>
          </cell>
          <cell r="AM235">
            <v>0.91810000000000003</v>
          </cell>
          <cell r="AN235">
            <v>2.4406380000000003</v>
          </cell>
          <cell r="AO235">
            <v>0.71484700000000001</v>
          </cell>
          <cell r="AP235">
            <v>0.72790200000000005</v>
          </cell>
          <cell r="AQ235">
            <v>0.959202</v>
          </cell>
          <cell r="AR235">
            <v>2.4019510000000004</v>
          </cell>
          <cell r="AS235">
            <v>0.74700800000000001</v>
          </cell>
          <cell r="AT235">
            <v>0.77685999999999999</v>
          </cell>
          <cell r="AU235">
            <v>0.927616</v>
          </cell>
          <cell r="AV235">
            <v>2.4514840000000002</v>
          </cell>
          <cell r="AW235">
            <v>0.69682999999999995</v>
          </cell>
          <cell r="AX235">
            <v>0.727136</v>
          </cell>
          <cell r="AY235">
            <v>0.85097500000000004</v>
          </cell>
          <cell r="AZ235">
            <v>2.2749410000000001</v>
          </cell>
          <cell r="BA235">
            <v>0.63451900000000006</v>
          </cell>
          <cell r="BB235">
            <v>0.66936700000000005</v>
          </cell>
          <cell r="BC235">
            <v>0.79592399999999996</v>
          </cell>
          <cell r="BD235">
            <v>2.0998100000000002</v>
          </cell>
          <cell r="BE235">
            <v>0.61633599999999999</v>
          </cell>
          <cell r="BF235">
            <v>0.60489499999999996</v>
          </cell>
          <cell r="BG235">
            <v>0.76998599999999995</v>
          </cell>
          <cell r="BH235">
            <v>1.9912169999999998</v>
          </cell>
          <cell r="BI235">
            <v>0.59817699999999996</v>
          </cell>
          <cell r="BJ235">
            <v>0.58966799999999997</v>
          </cell>
          <cell r="BK235">
            <v>0.715673</v>
          </cell>
          <cell r="BL235">
            <v>1.9035179999999998</v>
          </cell>
          <cell r="BM235">
            <v>0.56233699999999998</v>
          </cell>
          <cell r="BN235">
            <v>0.56565699999999997</v>
          </cell>
        </row>
        <row r="236">
          <cell r="A236" t="str">
            <v xml:space="preserve">  % Change</v>
          </cell>
          <cell r="S236">
            <v>-0.10247774137144494</v>
          </cell>
          <cell r="U236">
            <v>-0.15958132615180176</v>
          </cell>
          <cell r="V236">
            <v>7.2931542365110902E-2</v>
          </cell>
          <cell r="W236">
            <v>-0.14665446647796665</v>
          </cell>
          <cell r="X236">
            <v>-8.4869668487003724E-2</v>
          </cell>
          <cell r="Y236">
            <v>-0.16155539224488213</v>
          </cell>
          <cell r="Z236">
            <v>-0.19689567890074133</v>
          </cell>
          <cell r="AA236">
            <v>-0.15955969331872932</v>
          </cell>
          <cell r="AB236">
            <v>-0.17178010203249494</v>
          </cell>
          <cell r="AC236">
            <v>-0.15303618744467806</v>
          </cell>
          <cell r="AD236">
            <v>-0.21768998320801503</v>
          </cell>
          <cell r="AE236">
            <v>-0.14514939669346028</v>
          </cell>
          <cell r="AF236">
            <v>-0.17085633348668383</v>
          </cell>
          <cell r="AG236">
            <v>-0.18690188404128782</v>
          </cell>
          <cell r="AH236">
            <v>-0.2393214498087306</v>
          </cell>
          <cell r="AI236">
            <v>-0.20471097337148281</v>
          </cell>
          <cell r="AJ236">
            <v>-0.2101133762739521</v>
          </cell>
          <cell r="AK236">
            <v>-0.2736786935352723</v>
          </cell>
          <cell r="AL236">
            <v>-0.36058927247098571</v>
          </cell>
          <cell r="AM236">
            <v>-0.25250704463870632</v>
          </cell>
          <cell r="AN236">
            <v>-0.29677803962426641</v>
          </cell>
          <cell r="AO236">
            <v>-0.21087590547912838</v>
          </cell>
          <cell r="AP236">
            <v>-0.18065407915857146</v>
          </cell>
          <cell r="AQ236">
            <v>-0.16662365994979955</v>
          </cell>
          <cell r="AR236">
            <v>-0.18446645124643013</v>
          </cell>
          <cell r="AS236">
            <v>-0.15234577567474028</v>
          </cell>
          <cell r="AT236">
            <v>-9.6695425687774672E-2</v>
          </cell>
          <cell r="AU236">
            <v>-0.15325570123111731</v>
          </cell>
          <cell r="AV236">
            <v>-0.13582586539593644</v>
          </cell>
          <cell r="AW236">
            <v>-0.1778845359754414</v>
          </cell>
          <cell r="AX236">
            <v>-0.10484524228673564</v>
          </cell>
          <cell r="AY236">
            <v>-0.17344394551757436</v>
          </cell>
          <cell r="AZ236">
            <v>-0.15412439192980276</v>
          </cell>
          <cell r="BA236">
            <v>-0.14416912707864904</v>
          </cell>
          <cell r="BB236">
            <v>-0.14307971390202157</v>
          </cell>
          <cell r="BC236">
            <v>-0.13307482845006002</v>
          </cell>
          <cell r="BD236">
            <v>-0.13964709227669159</v>
          </cell>
          <cell r="BE236">
            <v>-0.13780711117204103</v>
          </cell>
          <cell r="BF236">
            <v>-0.16898840778016833</v>
          </cell>
          <cell r="BG236">
            <v>-0.19726397567978382</v>
          </cell>
          <cell r="BH236">
            <v>-0.17100015778839806</v>
          </cell>
          <cell r="BI236">
            <v>-0.19923615275873896</v>
          </cell>
          <cell r="BJ236">
            <v>-0.24095976108951422</v>
          </cell>
          <cell r="BK236">
            <v>-0.22848139747481711</v>
          </cell>
          <cell r="BL236">
            <v>-0.22352420003557039</v>
          </cell>
          <cell r="BM236">
            <v>-0.19300690268788656</v>
          </cell>
          <cell r="BN236">
            <v>-0.22207537517053211</v>
          </cell>
        </row>
        <row r="238">
          <cell r="A238" t="str">
            <v>ISOSORBIDE DINITRATE</v>
          </cell>
        </row>
        <row r="239">
          <cell r="A239" t="str">
            <v>TRx</v>
          </cell>
          <cell r="D239">
            <v>35683</v>
          </cell>
          <cell r="E239">
            <v>37104</v>
          </cell>
          <cell r="F239">
            <v>36156</v>
          </cell>
          <cell r="G239">
            <v>36393</v>
          </cell>
          <cell r="H239">
            <v>109653</v>
          </cell>
          <cell r="I239">
            <v>37055</v>
          </cell>
          <cell r="J239">
            <v>33347</v>
          </cell>
          <cell r="K239">
            <v>36238</v>
          </cell>
          <cell r="L239">
            <v>106640</v>
          </cell>
          <cell r="M239">
            <v>34499</v>
          </cell>
          <cell r="N239">
            <v>35731</v>
          </cell>
          <cell r="O239">
            <v>33911</v>
          </cell>
          <cell r="P239">
            <v>104141</v>
          </cell>
          <cell r="Q239">
            <v>34970</v>
          </cell>
          <cell r="R239">
            <v>35259</v>
          </cell>
          <cell r="S239">
            <v>31836</v>
          </cell>
          <cell r="T239">
            <v>102065</v>
          </cell>
          <cell r="U239">
            <v>34926</v>
          </cell>
          <cell r="V239">
            <v>32920</v>
          </cell>
          <cell r="W239">
            <v>33111</v>
          </cell>
          <cell r="X239">
            <v>100957</v>
          </cell>
          <cell r="Y239">
            <v>33951</v>
          </cell>
          <cell r="Z239">
            <v>30401</v>
          </cell>
          <cell r="AA239">
            <v>31795</v>
          </cell>
          <cell r="AB239">
            <v>96147</v>
          </cell>
          <cell r="AC239">
            <v>32504</v>
          </cell>
          <cell r="AD239">
            <v>32117</v>
          </cell>
          <cell r="AE239">
            <v>30057</v>
          </cell>
          <cell r="AF239">
            <v>94678</v>
          </cell>
          <cell r="AG239">
            <v>32372</v>
          </cell>
          <cell r="AH239">
            <v>30523</v>
          </cell>
          <cell r="AI239">
            <v>28900</v>
          </cell>
          <cell r="AJ239">
            <v>91795</v>
          </cell>
          <cell r="AK239">
            <v>30091</v>
          </cell>
          <cell r="AL239">
            <v>28358</v>
          </cell>
          <cell r="AM239">
            <v>29642</v>
          </cell>
          <cell r="AN239">
            <v>88091</v>
          </cell>
          <cell r="AO239">
            <v>28560</v>
          </cell>
          <cell r="AP239">
            <v>25901</v>
          </cell>
          <cell r="AQ239">
            <v>27011</v>
          </cell>
          <cell r="AR239">
            <v>81472</v>
          </cell>
          <cell r="AS239">
            <v>26106</v>
          </cell>
          <cell r="AT239">
            <v>26218</v>
          </cell>
          <cell r="AU239">
            <v>25558</v>
          </cell>
          <cell r="AV239">
            <v>77882</v>
          </cell>
          <cell r="AW239">
            <v>26115</v>
          </cell>
          <cell r="AX239">
            <v>24933</v>
          </cell>
          <cell r="AY239">
            <v>25318</v>
          </cell>
          <cell r="AZ239">
            <v>76366</v>
          </cell>
          <cell r="BA239">
            <v>25964</v>
          </cell>
          <cell r="BB239">
            <v>23802</v>
          </cell>
          <cell r="BC239">
            <v>26722</v>
          </cell>
          <cell r="BD239">
            <v>76488</v>
          </cell>
          <cell r="BE239">
            <v>24723</v>
          </cell>
          <cell r="BF239">
            <v>22621</v>
          </cell>
          <cell r="BG239">
            <v>24860</v>
          </cell>
          <cell r="BH239">
            <v>72204</v>
          </cell>
          <cell r="BI239">
            <v>23415</v>
          </cell>
          <cell r="BJ239">
            <v>23028</v>
          </cell>
          <cell r="BK239">
            <v>23295</v>
          </cell>
          <cell r="BL239">
            <v>69738</v>
          </cell>
          <cell r="BM239">
            <v>22727</v>
          </cell>
          <cell r="BN239">
            <v>22750</v>
          </cell>
          <cell r="BO239">
            <v>21867</v>
          </cell>
          <cell r="BP239">
            <v>67344</v>
          </cell>
        </row>
        <row r="240">
          <cell r="A240" t="str">
            <v xml:space="preserve">  % Change</v>
          </cell>
          <cell r="S240">
            <v>-0.10781044194714573</v>
          </cell>
          <cell r="U240">
            <v>-5.8699870633893925E-2</v>
          </cell>
          <cell r="V240">
            <v>-8.9501051001216969E-2</v>
          </cell>
          <cell r="W240">
            <v>-9.0182177891352744E-2</v>
          </cell>
          <cell r="X240">
            <v>-7.930471578524978E-2</v>
          </cell>
          <cell r="Y240">
            <v>-8.3767372824180231E-2</v>
          </cell>
          <cell r="Z240">
            <v>-8.8343779050589211E-2</v>
          </cell>
          <cell r="AA240">
            <v>-0.12260610408962969</v>
          </cell>
          <cell r="AB240">
            <v>-9.8396474118529587E-2</v>
          </cell>
          <cell r="AC240">
            <v>-5.7827763123568854E-2</v>
          </cell>
          <cell r="AD240">
            <v>-0.101144664297109</v>
          </cell>
          <cell r="AE240">
            <v>-0.11365043791100238</v>
          </cell>
          <cell r="AF240">
            <v>-9.0867189675536086E-2</v>
          </cell>
          <cell r="AG240">
            <v>-7.429225050042898E-2</v>
          </cell>
          <cell r="AH240">
            <v>-0.13432031538047029</v>
          </cell>
          <cell r="AI240">
            <v>-9.2222641035305974E-2</v>
          </cell>
          <cell r="AJ240">
            <v>-0.10062215254984563</v>
          </cell>
          <cell r="AK240">
            <v>-0.13843554944740311</v>
          </cell>
          <cell r="AL240">
            <v>-0.13857837181044963</v>
          </cell>
          <cell r="AM240">
            <v>-0.10476880794901999</v>
          </cell>
          <cell r="AN240">
            <v>-0.12744039541587016</v>
          </cell>
          <cell r="AO240">
            <v>-0.15878766457541749</v>
          </cell>
          <cell r="AP240">
            <v>-0.1480214466629387</v>
          </cell>
          <cell r="AQ240">
            <v>-0.1504639094197201</v>
          </cell>
          <cell r="AR240">
            <v>-0.15263086731775299</v>
          </cell>
          <cell r="AS240">
            <v>-0.19683731233079005</v>
          </cell>
          <cell r="AT240">
            <v>-0.18367219852414607</v>
          </cell>
          <cell r="AU240">
            <v>-0.14968227035299597</v>
          </cell>
          <cell r="AV240">
            <v>-0.17740129702782059</v>
          </cell>
          <cell r="AW240">
            <v>-0.19328431978252814</v>
          </cell>
          <cell r="AX240">
            <v>-0.18314058251154863</v>
          </cell>
          <cell r="AY240">
            <v>-0.12394463667820066</v>
          </cell>
          <cell r="AZ240">
            <v>-0.16808105016613106</v>
          </cell>
          <cell r="BA240">
            <v>-0.13715064304941682</v>
          </cell>
          <cell r="BB240">
            <v>-0.16066013117991396</v>
          </cell>
          <cell r="BC240">
            <v>-9.8508872545712167E-2</v>
          </cell>
          <cell r="BD240">
            <v>-0.13171606634048882</v>
          </cell>
          <cell r="BE240">
            <v>-0.13434873949579829</v>
          </cell>
          <cell r="BF240">
            <v>-0.12663603721864025</v>
          </cell>
          <cell r="BG240">
            <v>-7.9634223094294909E-2</v>
          </cell>
          <cell r="BH240">
            <v>-0.11375687352710129</v>
          </cell>
          <cell r="BI240">
            <v>-0.10307975178119977</v>
          </cell>
          <cell r="BJ240">
            <v>-0.12167213364863838</v>
          </cell>
          <cell r="BK240">
            <v>-8.8543704515220312E-2</v>
          </cell>
          <cell r="BL240">
            <v>-0.10456844970596546</v>
          </cell>
          <cell r="BM240">
            <v>-0.12973386942370291</v>
          </cell>
          <cell r="BN240">
            <v>-8.7554646452492668E-2</v>
          </cell>
          <cell r="BO240">
            <v>-0.13630618532269534</v>
          </cell>
          <cell r="BP240">
            <v>-0.11814158133200636</v>
          </cell>
        </row>
        <row r="241">
          <cell r="A241" t="str">
            <v>NRx</v>
          </cell>
          <cell r="D241">
            <v>9571</v>
          </cell>
          <cell r="E241">
            <v>10064</v>
          </cell>
          <cell r="F241">
            <v>9634</v>
          </cell>
          <cell r="G241">
            <v>9307</v>
          </cell>
          <cell r="H241">
            <v>29005</v>
          </cell>
          <cell r="I241">
            <v>10059</v>
          </cell>
          <cell r="J241">
            <v>8940</v>
          </cell>
          <cell r="K241">
            <v>9890</v>
          </cell>
          <cell r="L241">
            <v>28889</v>
          </cell>
          <cell r="M241">
            <v>9184</v>
          </cell>
          <cell r="N241">
            <v>9515</v>
          </cell>
          <cell r="O241">
            <v>8721</v>
          </cell>
          <cell r="P241">
            <v>27420</v>
          </cell>
          <cell r="Q241">
            <v>8792</v>
          </cell>
          <cell r="R241">
            <v>8796</v>
          </cell>
          <cell r="S241">
            <v>8047</v>
          </cell>
          <cell r="T241">
            <v>25635</v>
          </cell>
          <cell r="U241">
            <v>8951</v>
          </cell>
          <cell r="V241">
            <v>8283</v>
          </cell>
          <cell r="W241">
            <v>8178</v>
          </cell>
          <cell r="X241">
            <v>25412</v>
          </cell>
          <cell r="Y241">
            <v>9431</v>
          </cell>
          <cell r="Z241">
            <v>8006</v>
          </cell>
          <cell r="AA241">
            <v>8257</v>
          </cell>
          <cell r="AB241">
            <v>25694</v>
          </cell>
          <cell r="AC241">
            <v>8476</v>
          </cell>
          <cell r="AD241">
            <v>8271</v>
          </cell>
          <cell r="AE241">
            <v>7416</v>
          </cell>
          <cell r="AF241">
            <v>24163</v>
          </cell>
          <cell r="AG241">
            <v>7951</v>
          </cell>
          <cell r="AH241">
            <v>7566</v>
          </cell>
          <cell r="AI241">
            <v>7254</v>
          </cell>
          <cell r="AJ241">
            <v>22771</v>
          </cell>
          <cell r="AK241">
            <v>7702</v>
          </cell>
          <cell r="AL241">
            <v>6930</v>
          </cell>
          <cell r="AM241">
            <v>7451</v>
          </cell>
          <cell r="AN241">
            <v>22083</v>
          </cell>
          <cell r="AO241">
            <v>7528</v>
          </cell>
          <cell r="AP241">
            <v>7001</v>
          </cell>
          <cell r="AQ241">
            <v>7083</v>
          </cell>
          <cell r="AR241">
            <v>21612</v>
          </cell>
          <cell r="AS241">
            <v>6746</v>
          </cell>
          <cell r="AT241">
            <v>6407</v>
          </cell>
          <cell r="AU241">
            <v>6555</v>
          </cell>
          <cell r="AV241">
            <v>19708</v>
          </cell>
          <cell r="AW241">
            <v>6549</v>
          </cell>
          <cell r="AX241">
            <v>6043</v>
          </cell>
          <cell r="AY241">
            <v>6467</v>
          </cell>
          <cell r="AZ241">
            <v>19059</v>
          </cell>
          <cell r="BA241">
            <v>6628</v>
          </cell>
          <cell r="BB241">
            <v>5930</v>
          </cell>
          <cell r="BC241">
            <v>6654</v>
          </cell>
          <cell r="BD241">
            <v>19212</v>
          </cell>
          <cell r="BE241">
            <v>6400</v>
          </cell>
          <cell r="BF241">
            <v>6107</v>
          </cell>
          <cell r="BG241">
            <v>6472</v>
          </cell>
          <cell r="BH241">
            <v>18979</v>
          </cell>
          <cell r="BI241">
            <v>6126</v>
          </cell>
          <cell r="BJ241">
            <v>5716</v>
          </cell>
          <cell r="BK241">
            <v>6020</v>
          </cell>
          <cell r="BL241">
            <v>17862</v>
          </cell>
          <cell r="BM241">
            <v>5740</v>
          </cell>
          <cell r="BN241">
            <v>5793</v>
          </cell>
          <cell r="BO241">
            <v>5593</v>
          </cell>
          <cell r="BP241">
            <v>17126</v>
          </cell>
        </row>
        <row r="242">
          <cell r="A242" t="str">
            <v xml:space="preserve">  % Change</v>
          </cell>
          <cell r="S242">
            <v>-0.15923101034374676</v>
          </cell>
          <cell r="U242">
            <v>-0.11059220985691576</v>
          </cell>
          <cell r="V242">
            <v>-0.14023250986090929</v>
          </cell>
          <cell r="W242">
            <v>-0.12130654346191039</v>
          </cell>
          <cell r="X242">
            <v>-0.12387519393208068</v>
          </cell>
          <cell r="Y242">
            <v>-6.2431653245849539E-2</v>
          </cell>
          <cell r="Z242">
            <v>-0.10447427293064881</v>
          </cell>
          <cell r="AA242">
            <v>-0.16511627906976745</v>
          </cell>
          <cell r="AB242">
            <v>-0.11059572847796739</v>
          </cell>
          <cell r="AC242">
            <v>-7.7090592334494779E-2</v>
          </cell>
          <cell r="AD242">
            <v>-0.13074093536521281</v>
          </cell>
          <cell r="AE242">
            <v>-0.14963880288957687</v>
          </cell>
          <cell r="AF242">
            <v>-0.11878191101385849</v>
          </cell>
          <cell r="AG242">
            <v>-9.5655141037306657E-2</v>
          </cell>
          <cell r="AH242">
            <v>-0.13983628922237379</v>
          </cell>
          <cell r="AI242">
            <v>-9.8546042003231027E-2</v>
          </cell>
          <cell r="AJ242">
            <v>-0.11172225472986153</v>
          </cell>
          <cell r="AK242">
            <v>-0.13953748184560388</v>
          </cell>
          <cell r="AL242">
            <v>-0.1633466135458167</v>
          </cell>
          <cell r="AM242">
            <v>-8.8897040841281472E-2</v>
          </cell>
          <cell r="AN242">
            <v>-0.13100110184164959</v>
          </cell>
          <cell r="AO242">
            <v>-0.20178135934683494</v>
          </cell>
          <cell r="AP242">
            <v>-0.12553085186110413</v>
          </cell>
          <cell r="AQ242">
            <v>-0.14218239069880101</v>
          </cell>
          <cell r="AR242">
            <v>-0.15886977504475752</v>
          </cell>
          <cell r="AS242">
            <v>-0.20410571024067958</v>
          </cell>
          <cell r="AT242">
            <v>-0.22536573570305884</v>
          </cell>
          <cell r="AU242">
            <v>-0.11610032362459544</v>
          </cell>
          <cell r="AV242">
            <v>-0.18437280139055578</v>
          </cell>
          <cell r="AW242">
            <v>-0.17633002138095832</v>
          </cell>
          <cell r="AX242">
            <v>-0.20129526830557753</v>
          </cell>
          <cell r="AY242">
            <v>-0.10849186655638265</v>
          </cell>
          <cell r="AZ242">
            <v>-0.16301436037064687</v>
          </cell>
          <cell r="BA242">
            <v>-0.13944430018177101</v>
          </cell>
          <cell r="BB242">
            <v>-0.14430014430014426</v>
          </cell>
          <cell r="BC242">
            <v>-0.1069655079855053</v>
          </cell>
          <cell r="BD242">
            <v>-0.13000950957750301</v>
          </cell>
          <cell r="BE242">
            <v>-0.14984059511158343</v>
          </cell>
          <cell r="BF242">
            <v>-0.12769604342236829</v>
          </cell>
          <cell r="BG242">
            <v>-8.626288295919804E-2</v>
          </cell>
          <cell r="BH242">
            <v>-0.12183046455672775</v>
          </cell>
          <cell r="BI242">
            <v>-9.1906314853246407E-2</v>
          </cell>
          <cell r="BJ242">
            <v>-0.10785078820040583</v>
          </cell>
          <cell r="BK242">
            <v>-8.1617086193745192E-2</v>
          </cell>
          <cell r="BL242">
            <v>-9.3667546174142524E-2</v>
          </cell>
          <cell r="BM242">
            <v>-0.12353030997098791</v>
          </cell>
          <cell r="BN242">
            <v>-4.1370180373986432E-2</v>
          </cell>
          <cell r="BO242">
            <v>-0.1351476728003711</v>
          </cell>
          <cell r="BP242">
            <v>-0.10142190041450239</v>
          </cell>
        </row>
        <row r="243">
          <cell r="A243" t="str">
            <v>Sales (IMS)</v>
          </cell>
          <cell r="C243">
            <v>1.134093</v>
          </cell>
          <cell r="D243">
            <v>1.3970579999999999</v>
          </cell>
          <cell r="E243">
            <v>1.0740909999999999</v>
          </cell>
          <cell r="F243">
            <v>1.032446</v>
          </cell>
          <cell r="G243">
            <v>1.3667750000000001</v>
          </cell>
          <cell r="H243">
            <v>3.473312</v>
          </cell>
          <cell r="I243">
            <v>1.051113</v>
          </cell>
          <cell r="J243">
            <v>1.0799780000000001</v>
          </cell>
          <cell r="K243">
            <v>1.351062</v>
          </cell>
          <cell r="L243">
            <v>3.4821530000000003</v>
          </cell>
          <cell r="M243">
            <v>1.0967519999999999</v>
          </cell>
          <cell r="N243">
            <v>1.1470929999999999</v>
          </cell>
          <cell r="O243">
            <v>1.4378420000000001</v>
          </cell>
          <cell r="P243">
            <v>3.6816869999999997</v>
          </cell>
          <cell r="Q243">
            <v>1.1978329999999999</v>
          </cell>
          <cell r="R243">
            <v>1.126126</v>
          </cell>
          <cell r="S243">
            <v>1.3821650000000001</v>
          </cell>
          <cell r="T243">
            <v>3.706124</v>
          </cell>
          <cell r="U243">
            <v>1.1303700000000001</v>
          </cell>
          <cell r="V243">
            <v>1.406069</v>
          </cell>
          <cell r="W243">
            <v>1.4100509999999999</v>
          </cell>
          <cell r="X243">
            <v>3.9464899999999998</v>
          </cell>
          <cell r="Y243">
            <v>1.097839</v>
          </cell>
          <cell r="Z243">
            <v>1.0689280000000001</v>
          </cell>
          <cell r="AA243">
            <v>1.3162609999999999</v>
          </cell>
          <cell r="AB243">
            <v>3.483028</v>
          </cell>
          <cell r="AC243">
            <v>0.97048199999999996</v>
          </cell>
          <cell r="AD243">
            <v>0.93938699999999997</v>
          </cell>
          <cell r="AE243">
            <v>1.2192829999999999</v>
          </cell>
          <cell r="AF243">
            <v>3.1291519999999999</v>
          </cell>
          <cell r="AG243">
            <v>0.945357</v>
          </cell>
          <cell r="AH243">
            <v>0.79096999999999995</v>
          </cell>
          <cell r="AI243">
            <v>1.31352</v>
          </cell>
          <cell r="AJ243">
            <v>3.0498470000000002</v>
          </cell>
          <cell r="AK243">
            <v>0.94967299999999999</v>
          </cell>
          <cell r="AL243">
            <v>0.92959599999999998</v>
          </cell>
          <cell r="AM243">
            <v>1.115243</v>
          </cell>
          <cell r="AN243">
            <v>2.9945120000000003</v>
          </cell>
          <cell r="AO243">
            <v>0.93341300000000005</v>
          </cell>
          <cell r="AP243">
            <v>0.90512800000000004</v>
          </cell>
          <cell r="AQ243">
            <v>1.104651</v>
          </cell>
          <cell r="AR243">
            <v>2.9431919999999998</v>
          </cell>
          <cell r="AS243">
            <v>0.86709400000000003</v>
          </cell>
          <cell r="AT243">
            <v>0.89618699999999996</v>
          </cell>
          <cell r="AU243">
            <v>1.129947</v>
          </cell>
          <cell r="AV243">
            <v>2.8932279999999997</v>
          </cell>
          <cell r="AW243">
            <v>0.89407899999999996</v>
          </cell>
          <cell r="AX243">
            <v>0.89121300000000003</v>
          </cell>
          <cell r="AY243">
            <v>1.09127</v>
          </cell>
          <cell r="AZ243">
            <v>2.8765619999999998</v>
          </cell>
          <cell r="BA243">
            <v>0.84045300000000001</v>
          </cell>
          <cell r="BB243">
            <v>0.84099199999999996</v>
          </cell>
          <cell r="BC243">
            <v>0.99813600000000002</v>
          </cell>
          <cell r="BD243">
            <v>2.6795810000000002</v>
          </cell>
          <cell r="BE243">
            <v>0.805064</v>
          </cell>
          <cell r="BF243">
            <v>0.79697700000000005</v>
          </cell>
          <cell r="BG243">
            <v>0.996286</v>
          </cell>
          <cell r="BH243">
            <v>2.5983270000000003</v>
          </cell>
          <cell r="BI243">
            <v>0.76037600000000005</v>
          </cell>
          <cell r="BJ243">
            <v>0.77724700000000002</v>
          </cell>
          <cell r="BK243">
            <v>0.99261299999999997</v>
          </cell>
          <cell r="BL243">
            <v>2.5302359999999999</v>
          </cell>
          <cell r="BM243">
            <v>0.79735100000000003</v>
          </cell>
          <cell r="BN243">
            <v>0.75562200000000002</v>
          </cell>
        </row>
        <row r="244">
          <cell r="A244" t="str">
            <v xml:space="preserve">  % Change</v>
          </cell>
          <cell r="S244">
            <v>-1.0660258915520915E-2</v>
          </cell>
          <cell r="U244">
            <v>5.2396863952868244E-2</v>
          </cell>
          <cell r="V244">
            <v>0.36188139621830095</v>
          </cell>
          <cell r="W244">
            <v>3.1662855993122463E-2</v>
          </cell>
          <cell r="X244">
            <v>0.13623250661040531</v>
          </cell>
          <cell r="Y244">
            <v>4.4453831319753556E-2</v>
          </cell>
          <cell r="Z244">
            <v>-1.0231689904794394E-2</v>
          </cell>
          <cell r="AA244">
            <v>-2.5758255357637205E-2</v>
          </cell>
          <cell r="AB244">
            <v>2.5128131934448739E-4</v>
          </cell>
          <cell r="AC244">
            <v>-0.11513085911856102</v>
          </cell>
          <cell r="AD244">
            <v>-0.1810716306350052</v>
          </cell>
          <cell r="AE244">
            <v>-0.15200487953474728</v>
          </cell>
          <cell r="AF244">
            <v>-0.15007658174092464</v>
          </cell>
          <cell r="AG244">
            <v>-0.2107772953324879</v>
          </cell>
          <cell r="AH244">
            <v>-0.29761856133327891</v>
          </cell>
          <cell r="AI244">
            <v>-4.9664837410873575E-2</v>
          </cell>
          <cell r="AJ244">
            <v>-0.17707907236778908</v>
          </cell>
          <cell r="AK244">
            <v>-0.15985650716137201</v>
          </cell>
          <cell r="AL244">
            <v>-0.33886886063201738</v>
          </cell>
          <cell r="AM244">
            <v>-0.20907612561531463</v>
          </cell>
          <cell r="AN244">
            <v>-0.24122143981107247</v>
          </cell>
          <cell r="AO244">
            <v>-0.14977241653830842</v>
          </cell>
          <cell r="AP244">
            <v>-0.15323763621123221</v>
          </cell>
          <cell r="AQ244">
            <v>-0.16076598790057584</v>
          </cell>
          <cell r="AR244">
            <v>-0.15499042786908412</v>
          </cell>
          <cell r="AS244">
            <v>-0.10653263017758174</v>
          </cell>
          <cell r="AT244">
            <v>-4.5987436487837319E-2</v>
          </cell>
          <cell r="AU244">
            <v>-7.3269290230405848E-2</v>
          </cell>
          <cell r="AV244">
            <v>-7.5395506514224997E-2</v>
          </cell>
          <cell r="AW244">
            <v>-5.4241942461948245E-2</v>
          </cell>
          <cell r="AX244">
            <v>0.12673426299353974</v>
          </cell>
          <cell r="AY244">
            <v>-0.16920183933248067</v>
          </cell>
          <cell r="AZ244">
            <v>-5.6817604292936807E-2</v>
          </cell>
          <cell r="BA244">
            <v>-0.11500800801960254</v>
          </cell>
          <cell r="BB244">
            <v>-9.5314523728587508E-2</v>
          </cell>
          <cell r="BC244">
            <v>-0.10500581487621974</v>
          </cell>
          <cell r="BD244">
            <v>-0.10516938987053648</v>
          </cell>
          <cell r="BE244">
            <v>-0.13750504867620228</v>
          </cell>
          <cell r="BF244">
            <v>-0.11948696758911448</v>
          </cell>
          <cell r="BG244">
            <v>-9.8098856561936842E-2</v>
          </cell>
          <cell r="BH244">
            <v>-0.11717380313618664</v>
          </cell>
          <cell r="BI244">
            <v>-0.12307546817300086</v>
          </cell>
          <cell r="BJ244">
            <v>-0.13271783679075899</v>
          </cell>
          <cell r="BK244">
            <v>-0.12154021383303826</v>
          </cell>
          <cell r="BL244">
            <v>-0.12546263204973818</v>
          </cell>
          <cell r="BM244">
            <v>-0.1081873078329767</v>
          </cell>
          <cell r="BN244">
            <v>-0.15214208051273936</v>
          </cell>
        </row>
        <row r="246">
          <cell r="A246" t="str">
            <v>TRx OTHER1</v>
          </cell>
          <cell r="U246">
            <v>1454619</v>
          </cell>
          <cell r="V246">
            <v>1421157</v>
          </cell>
          <cell r="W246">
            <v>1447180</v>
          </cell>
          <cell r="X246">
            <v>4322956</v>
          </cell>
          <cell r="Y246">
            <v>1544154</v>
          </cell>
          <cell r="Z246">
            <v>1452068</v>
          </cell>
          <cell r="AA246">
            <v>1468113</v>
          </cell>
          <cell r="AB246">
            <v>4464335</v>
          </cell>
          <cell r="AC246">
            <v>1423835</v>
          </cell>
          <cell r="AD246">
            <v>1401875</v>
          </cell>
          <cell r="AE246">
            <v>1287361</v>
          </cell>
          <cell r="AF246">
            <v>4113071</v>
          </cell>
          <cell r="AG246">
            <v>1349426</v>
          </cell>
          <cell r="AH246">
            <v>1323739</v>
          </cell>
          <cell r="AI246">
            <v>1291509</v>
          </cell>
          <cell r="AJ246">
            <v>3964674</v>
          </cell>
          <cell r="AK246">
            <v>1372773</v>
          </cell>
          <cell r="AL246">
            <v>1323603</v>
          </cell>
          <cell r="AM246">
            <v>1401330</v>
          </cell>
          <cell r="AN246">
            <v>4097706</v>
          </cell>
          <cell r="AO246">
            <v>1378906</v>
          </cell>
          <cell r="AP246">
            <v>1271309</v>
          </cell>
          <cell r="AQ246">
            <v>1339051</v>
          </cell>
          <cell r="AR246">
            <v>3989266</v>
          </cell>
          <cell r="AS246">
            <v>1292713</v>
          </cell>
          <cell r="AT246">
            <v>1334648</v>
          </cell>
          <cell r="AU246">
            <v>1301338</v>
          </cell>
          <cell r="AV246">
            <v>3928699</v>
          </cell>
          <cell r="AW246">
            <v>1323038</v>
          </cell>
          <cell r="AX246">
            <v>1303131</v>
          </cell>
          <cell r="AY246">
            <v>1373716</v>
          </cell>
          <cell r="AZ246">
            <v>3999885</v>
          </cell>
          <cell r="BA246">
            <v>1453553</v>
          </cell>
          <cell r="BB246">
            <v>1393133</v>
          </cell>
          <cell r="BC246">
            <v>1688960</v>
          </cell>
          <cell r="BD246">
            <v>4535646</v>
          </cell>
          <cell r="BE246">
            <v>1403368</v>
          </cell>
          <cell r="BF246">
            <v>1245050</v>
          </cell>
          <cell r="BG246">
            <v>1328838</v>
          </cell>
          <cell r="BH246">
            <v>3977256</v>
          </cell>
          <cell r="BI246">
            <v>1211641</v>
          </cell>
          <cell r="BJ246">
            <v>1141350</v>
          </cell>
          <cell r="BK246">
            <v>1159529</v>
          </cell>
          <cell r="BL246">
            <v>3512520</v>
          </cell>
          <cell r="BM246">
            <v>1100618</v>
          </cell>
          <cell r="BN246">
            <v>1115874</v>
          </cell>
          <cell r="BO246">
            <v>1111385</v>
          </cell>
          <cell r="BP246">
            <v>3327877</v>
          </cell>
        </row>
        <row r="247">
          <cell r="A247" t="str">
            <v xml:space="preserve">  % Change</v>
          </cell>
          <cell r="S247" t="e">
            <v>#DIV/0!</v>
          </cell>
          <cell r="AK247">
            <v>-5.6266280036215699E-2</v>
          </cell>
          <cell r="AL247">
            <v>-6.8644069585556022E-2</v>
          </cell>
          <cell r="AM247">
            <v>-3.1682306278417283E-2</v>
          </cell>
          <cell r="AN247">
            <v>-5.2105549998658351E-2</v>
          </cell>
          <cell r="AO247">
            <v>-0.10701523293661119</v>
          </cell>
          <cell r="AP247">
            <v>-0.12448383959979836</v>
          </cell>
          <cell r="AQ247">
            <v>-8.7910126809039868E-2</v>
          </cell>
          <cell r="AR247">
            <v>-0.10641428118633567</v>
          </cell>
          <cell r="AS247">
            <v>-9.2090726804721079E-2</v>
          </cell>
          <cell r="AT247">
            <v>-4.7955060187249265E-2</v>
          </cell>
          <cell r="AU247">
            <v>1.0857094474665541E-2</v>
          </cell>
          <cell r="AV247">
            <v>-4.4825873416724393E-2</v>
          </cell>
          <cell r="AW247">
            <v>-1.9554981154950357E-2</v>
          </cell>
          <cell r="AX247">
            <v>-1.5568023605861847E-2</v>
          </cell>
          <cell r="AY247">
            <v>6.3651898670469942E-2</v>
          </cell>
          <cell r="AZ247">
            <v>8.8811841780687129E-3</v>
          </cell>
          <cell r="BA247">
            <v>5.8844397434972828E-2</v>
          </cell>
          <cell r="BB247">
            <v>5.2530857062125014E-2</v>
          </cell>
          <cell r="BC247">
            <v>0.20525500774264449</v>
          </cell>
          <cell r="BD247">
            <v>0.10687443169422117</v>
          </cell>
          <cell r="BE247">
            <v>1.7740150525126452E-2</v>
          </cell>
          <cell r="BF247">
            <v>-2.0655088574060287E-2</v>
          </cell>
          <cell r="BG247">
            <v>-7.6270433314339359E-3</v>
          </cell>
          <cell r="BH247">
            <v>-3.0105788884471352E-3</v>
          </cell>
          <cell r="BI247">
            <v>-6.2714616469394247E-2</v>
          </cell>
          <cell r="BJ247">
            <v>-0.14483069693282424</v>
          </cell>
          <cell r="BK247">
            <v>-0.10897168913840982</v>
          </cell>
          <cell r="BL247">
            <v>-0.10593303279278965</v>
          </cell>
          <cell r="BM247">
            <v>-0.16811308518727353</v>
          </cell>
          <cell r="BN247">
            <v>-0.14369775563623299</v>
          </cell>
          <cell r="BO247">
            <v>-0.19096450794778541</v>
          </cell>
          <cell r="BP247">
            <v>-0.1680068301963682</v>
          </cell>
        </row>
        <row r="248">
          <cell r="AV248">
            <v>3492546</v>
          </cell>
          <cell r="AZ248">
            <v>3636199</v>
          </cell>
          <cell r="BA248">
            <v>1277548</v>
          </cell>
          <cell r="BB248">
            <v>1167426</v>
          </cell>
          <cell r="BC248">
            <v>1275413</v>
          </cell>
          <cell r="BD248">
            <v>3720387</v>
          </cell>
          <cell r="BE248">
            <v>1171293</v>
          </cell>
          <cell r="BF248">
            <v>1066725</v>
          </cell>
          <cell r="BG248">
            <v>1138359</v>
          </cell>
          <cell r="BH248">
            <v>3376377</v>
          </cell>
          <cell r="BI248">
            <v>1049049</v>
          </cell>
          <cell r="BJ248">
            <v>1009998</v>
          </cell>
          <cell r="BK248">
            <v>1027896</v>
          </cell>
          <cell r="BL248">
            <v>3086943</v>
          </cell>
        </row>
        <row r="249">
          <cell r="A249" t="str">
            <v xml:space="preserve">  % Change</v>
          </cell>
          <cell r="B249">
            <v>0</v>
          </cell>
          <cell r="C249">
            <v>36739</v>
          </cell>
          <cell r="D249">
            <v>36770</v>
          </cell>
          <cell r="E249">
            <v>36800</v>
          </cell>
          <cell r="F249">
            <v>36831</v>
          </cell>
          <cell r="G249">
            <v>36861</v>
          </cell>
          <cell r="H249">
            <v>74.599999999999994</v>
          </cell>
          <cell r="I249">
            <v>36892</v>
          </cell>
          <cell r="J249">
            <v>36923</v>
          </cell>
          <cell r="K249">
            <v>36951</v>
          </cell>
          <cell r="L249">
            <v>78.3</v>
          </cell>
          <cell r="M249">
            <v>36982</v>
          </cell>
          <cell r="N249">
            <v>37012</v>
          </cell>
          <cell r="O249">
            <v>37043</v>
          </cell>
          <cell r="P249">
            <v>64.400000000000006</v>
          </cell>
          <cell r="Q249">
            <v>37073</v>
          </cell>
          <cell r="R249">
            <v>37104</v>
          </cell>
          <cell r="S249">
            <v>37135</v>
          </cell>
          <cell r="T249">
            <v>72.2</v>
          </cell>
          <cell r="U249">
            <v>27.460021000000008</v>
          </cell>
          <cell r="V249">
            <v>37196</v>
          </cell>
          <cell r="W249">
            <v>37226</v>
          </cell>
          <cell r="X249" t="e">
            <v>#DIV/0!</v>
          </cell>
          <cell r="Y249">
            <v>37257</v>
          </cell>
          <cell r="Z249">
            <v>37288</v>
          </cell>
          <cell r="AA249">
            <v>37316</v>
          </cell>
          <cell r="AB249" t="e">
            <v>#DIV/0!</v>
          </cell>
          <cell r="AC249">
            <v>37347</v>
          </cell>
          <cell r="AD249">
            <v>37377</v>
          </cell>
          <cell r="AE249">
            <v>37408</v>
          </cell>
          <cell r="AF249" t="e">
            <v>#DIV/0!</v>
          </cell>
          <cell r="AG249" t="e">
            <v>#DIV/0!</v>
          </cell>
          <cell r="AH249" t="e">
            <v>#DIV/0!</v>
          </cell>
          <cell r="AI249" t="e">
            <v>#DIV/0!</v>
          </cell>
          <cell r="AJ249" t="e">
            <v>#DIV/0!</v>
          </cell>
          <cell r="AK249">
            <v>-0.11392933749030998</v>
          </cell>
          <cell r="AL249" t="e">
            <v>#DIV/0!</v>
          </cell>
          <cell r="AM249" t="e">
            <v>#DIV/0!</v>
          </cell>
          <cell r="AN249">
            <v>-0.1592582971466393</v>
          </cell>
          <cell r="AO249" t="e">
            <v>#DIV/0!</v>
          </cell>
          <cell r="AP249" t="e">
            <v>#DIV/0!</v>
          </cell>
          <cell r="AQ249" t="e">
            <v>#DIV/0!</v>
          </cell>
          <cell r="AR249">
            <v>-9.7294559264398339E-2</v>
          </cell>
          <cell r="AS249" t="e">
            <v>#DIV/0!</v>
          </cell>
          <cell r="AT249" t="e">
            <v>#DIV/0!</v>
          </cell>
          <cell r="AU249" t="e">
            <v>#DIV/0!</v>
          </cell>
          <cell r="AV249">
            <v>0.17364139549323609</v>
          </cell>
          <cell r="AW249">
            <v>0.12104705829605433</v>
          </cell>
          <cell r="AX249">
            <v>0.19276010191122706</v>
          </cell>
          <cell r="AY249">
            <v>0.15613497948097899</v>
          </cell>
          <cell r="AZ249">
            <v>0.1564446321881181</v>
          </cell>
          <cell r="BA249">
            <v>0.11589264114583142</v>
          </cell>
          <cell r="BB249">
            <v>0.17931480581361048</v>
          </cell>
          <cell r="BC249">
            <v>0.46722805852816784</v>
          </cell>
          <cell r="BD249">
            <v>0.26868760946002346</v>
          </cell>
          <cell r="BE249">
            <v>0.54456462638066339</v>
          </cell>
          <cell r="BF249">
            <v>0.50222576167227029</v>
          </cell>
          <cell r="BG249">
            <v>0.68330850770313023</v>
          </cell>
          <cell r="BH249">
            <v>0.58356078487412977</v>
          </cell>
          <cell r="BI249">
            <v>0.5965154641073187</v>
          </cell>
          <cell r="BJ249">
            <v>0.56457123875156023</v>
          </cell>
          <cell r="BK249">
            <v>0.69392226375195665</v>
          </cell>
          <cell r="BL249">
            <v>0.62325961375006145</v>
          </cell>
          <cell r="BM249">
            <v>0.83474185377917953</v>
          </cell>
          <cell r="BN249">
            <v>0.81365248307770455</v>
          </cell>
          <cell r="BO249">
            <v>0.88457136731948505</v>
          </cell>
          <cell r="BP249">
            <v>0.84782592073129703</v>
          </cell>
          <cell r="BQ249">
            <v>1.0071715000090427</v>
          </cell>
          <cell r="BR249">
            <v>1.0351026892206097</v>
          </cell>
          <cell r="BS249">
            <v>0.67985012891476293</v>
          </cell>
          <cell r="BT249">
            <v>0.87169020722887725</v>
          </cell>
          <cell r="BU249">
            <v>0.75271157822419088</v>
          </cell>
          <cell r="BV249">
            <v>0.81835163515914755</v>
          </cell>
          <cell r="BW249">
            <v>0.6793787784685934</v>
          </cell>
          <cell r="BX249">
            <v>0.74282335451872306</v>
          </cell>
          <cell r="BY249">
            <v>0.55088910604515462</v>
          </cell>
          <cell r="BZ249">
            <v>0.53047631391198546</v>
          </cell>
          <cell r="CA249">
            <v>0.45307758272625209</v>
          </cell>
          <cell r="CB249">
            <v>0.50576713927975536</v>
          </cell>
        </row>
        <row r="250">
          <cell r="A250" t="str">
            <v xml:space="preserve">  % Change</v>
          </cell>
          <cell r="S250">
            <v>-0.10781044194714573</v>
          </cell>
          <cell r="U250">
            <v>-5.8699870633893925E-2</v>
          </cell>
          <cell r="V250">
            <v>-8.9501051001216969E-2</v>
          </cell>
          <cell r="W250">
            <v>-9.0182177891352744E-2</v>
          </cell>
          <cell r="X250" t="e">
            <v>#DIV/0!</v>
          </cell>
          <cell r="Y250">
            <v>-8.3767372824180231E-2</v>
          </cell>
          <cell r="Z250">
            <v>-8.8343779050589211E-2</v>
          </cell>
          <cell r="AA250">
            <v>-0.12260610408962969</v>
          </cell>
          <cell r="AB250" t="e">
            <v>#DIV/0!</v>
          </cell>
          <cell r="AC250">
            <v>-5.7827763123568854E-2</v>
          </cell>
          <cell r="AD250">
            <v>-0.101144664297109</v>
          </cell>
          <cell r="AE250">
            <v>-0.11365043791100238</v>
          </cell>
          <cell r="AF250" t="e">
            <v>#DIV/0!</v>
          </cell>
          <cell r="AG250" t="e">
            <v>#DIV/0!</v>
          </cell>
          <cell r="AH250" t="e">
            <v>#DIV/0!</v>
          </cell>
          <cell r="AI250" t="e">
            <v>#DIV/0!</v>
          </cell>
          <cell r="AJ250" t="e">
            <v>#DIV/0!</v>
          </cell>
          <cell r="AK250">
            <v>-0.11392933749030998</v>
          </cell>
          <cell r="AL250" t="e">
            <v>#DIV/0!</v>
          </cell>
          <cell r="AM250" t="e">
            <v>#DIV/0!</v>
          </cell>
          <cell r="AN250">
            <v>-0.1592582971466393</v>
          </cell>
          <cell r="AO250" t="e">
            <v>#DIV/0!</v>
          </cell>
          <cell r="AP250" t="e">
            <v>#DIV/0!</v>
          </cell>
          <cell r="AQ250" t="e">
            <v>#DIV/0!</v>
          </cell>
          <cell r="AR250">
            <v>-9.7294559264398339E-2</v>
          </cell>
          <cell r="AS250" t="e">
            <v>#DIV/0!</v>
          </cell>
          <cell r="AT250" t="e">
            <v>#DIV/0!</v>
          </cell>
          <cell r="AU250" t="e">
            <v>#DIV/0!</v>
          </cell>
          <cell r="AV250">
            <v>0.17364139549323609</v>
          </cell>
          <cell r="AW250">
            <v>0.12104705829605433</v>
          </cell>
          <cell r="AX250">
            <v>0.19276010191122706</v>
          </cell>
          <cell r="AY250">
            <v>0.15613497948097899</v>
          </cell>
          <cell r="AZ250">
            <v>0.1564446321881181</v>
          </cell>
          <cell r="BA250">
            <v>0.11589264114583142</v>
          </cell>
          <cell r="BB250">
            <v>0.17931480581361048</v>
          </cell>
          <cell r="BC250">
            <v>0.46722805852816784</v>
          </cell>
          <cell r="BD250">
            <v>0.26868760946002346</v>
          </cell>
          <cell r="BE250">
            <v>0.54456462638066339</v>
          </cell>
          <cell r="BF250">
            <v>0.50222576167227029</v>
          </cell>
          <cell r="BG250">
            <v>0.68330850770313023</v>
          </cell>
          <cell r="BH250">
            <v>0.58356078487412977</v>
          </cell>
          <cell r="BI250">
            <v>0.5965154641073187</v>
          </cell>
          <cell r="BJ250">
            <v>0.56457123875156023</v>
          </cell>
          <cell r="BK250">
            <v>0.69392226375195665</v>
          </cell>
          <cell r="BL250">
            <v>0.62325961375006145</v>
          </cell>
          <cell r="BM250">
            <v>0.83474185377917953</v>
          </cell>
          <cell r="BN250">
            <v>0.81365248307770455</v>
          </cell>
          <cell r="BO250">
            <v>0.88457136731948505</v>
          </cell>
          <cell r="BP250">
            <v>0.84782592073129703</v>
          </cell>
          <cell r="BQ250">
            <v>1.0071715000090427</v>
          </cell>
          <cell r="BR250">
            <v>1.0351026892206097</v>
          </cell>
          <cell r="BS250">
            <v>0.67985012891476293</v>
          </cell>
          <cell r="BT250">
            <v>0.87169020722887725</v>
          </cell>
          <cell r="BU250">
            <v>0.75271157822419088</v>
          </cell>
          <cell r="BV250">
            <v>0.81835163515914755</v>
          </cell>
          <cell r="BW250">
            <v>0.6793787784685934</v>
          </cell>
          <cell r="BX250">
            <v>0.74282335451872306</v>
          </cell>
          <cell r="BY250">
            <v>0.55088910604515462</v>
          </cell>
          <cell r="BZ250">
            <v>0.53047631391198546</v>
          </cell>
          <cell r="CA250">
            <v>0.45307758272625209</v>
          </cell>
          <cell r="CB250">
            <v>0.50576713927975536</v>
          </cell>
        </row>
        <row r="251">
          <cell r="A251" t="str">
            <v>REPORTED OTHER SALES/TRx OTHER</v>
          </cell>
          <cell r="D251">
            <v>9571</v>
          </cell>
          <cell r="E251">
            <v>10064</v>
          </cell>
          <cell r="F251">
            <v>9634</v>
          </cell>
          <cell r="G251">
            <v>9307</v>
          </cell>
          <cell r="H251">
            <v>29005</v>
          </cell>
          <cell r="I251">
            <v>10059</v>
          </cell>
          <cell r="J251">
            <v>8940</v>
          </cell>
          <cell r="K251">
            <v>9890</v>
          </cell>
          <cell r="L251">
            <v>28889</v>
          </cell>
          <cell r="M251">
            <v>9184</v>
          </cell>
          <cell r="N251">
            <v>9515</v>
          </cell>
          <cell r="O251">
            <v>8721</v>
          </cell>
          <cell r="P251">
            <v>27420</v>
          </cell>
          <cell r="Q251">
            <v>8792</v>
          </cell>
          <cell r="R251">
            <v>8796</v>
          </cell>
          <cell r="S251">
            <v>8047</v>
          </cell>
          <cell r="T251">
            <v>25635</v>
          </cell>
          <cell r="U251">
            <v>1454619</v>
          </cell>
          <cell r="V251">
            <v>1421157</v>
          </cell>
          <cell r="W251">
            <v>1447180</v>
          </cell>
          <cell r="X251">
            <v>17.256710454605599</v>
          </cell>
          <cell r="Y251">
            <v>1544154</v>
          </cell>
          <cell r="Z251">
            <v>1452068</v>
          </cell>
          <cell r="AA251">
            <v>1468113</v>
          </cell>
          <cell r="AB251">
            <v>17.158210573355269</v>
          </cell>
          <cell r="AC251">
            <v>1423835</v>
          </cell>
          <cell r="AD251">
            <v>1401875</v>
          </cell>
          <cell r="AE251">
            <v>1287361</v>
          </cell>
          <cell r="AF251">
            <v>17.505168279370814</v>
          </cell>
          <cell r="AG251">
            <v>1349426</v>
          </cell>
          <cell r="AH251">
            <v>1323739</v>
          </cell>
          <cell r="AI251">
            <v>1291509</v>
          </cell>
          <cell r="AJ251">
            <v>18.780374735278645</v>
          </cell>
          <cell r="AK251">
            <v>1372773</v>
          </cell>
          <cell r="AL251">
            <v>1323603</v>
          </cell>
          <cell r="AM251">
            <v>1401330</v>
          </cell>
          <cell r="AN251">
            <v>19.669249130074988</v>
          </cell>
          <cell r="AO251">
            <v>1378906</v>
          </cell>
          <cell r="AP251">
            <v>1271309</v>
          </cell>
          <cell r="AQ251">
            <v>1339051</v>
          </cell>
          <cell r="AR251">
            <v>20.390846318058529</v>
          </cell>
          <cell r="AS251">
            <v>1292713</v>
          </cell>
          <cell r="AT251">
            <v>1334648</v>
          </cell>
          <cell r="AU251">
            <v>1301338</v>
          </cell>
          <cell r="AV251">
            <v>19.522836195441059</v>
          </cell>
          <cell r="AW251">
            <v>1323038</v>
          </cell>
          <cell r="AX251">
            <v>1303131</v>
          </cell>
          <cell r="AY251">
            <v>1373716</v>
          </cell>
          <cell r="AZ251">
            <v>19.808754097936003</v>
          </cell>
          <cell r="BA251">
            <v>1453553</v>
          </cell>
          <cell r="BB251">
            <v>1393133</v>
          </cell>
          <cell r="BC251">
            <v>1688960</v>
          </cell>
          <cell r="BD251">
            <v>17.03052176316147</v>
          </cell>
          <cell r="BE251">
            <v>1403368</v>
          </cell>
          <cell r="BF251">
            <v>1245050</v>
          </cell>
          <cell r="BG251">
            <v>1328838</v>
          </cell>
          <cell r="BH251">
            <v>18.030412798788355</v>
          </cell>
          <cell r="BI251">
            <v>1211641</v>
          </cell>
          <cell r="BJ251">
            <v>1141350</v>
          </cell>
          <cell r="BK251">
            <v>1159529</v>
          </cell>
          <cell r="BL251">
            <v>20.905556645478939</v>
          </cell>
          <cell r="BM251">
            <v>1100618</v>
          </cell>
          <cell r="BN251">
            <v>1115874</v>
          </cell>
          <cell r="BO251">
            <v>1111385</v>
          </cell>
          <cell r="BP251">
            <v>22.454575071495345</v>
          </cell>
          <cell r="BQ251">
            <v>1127245</v>
          </cell>
          <cell r="BR251">
            <v>1265882</v>
          </cell>
          <cell r="BS251">
            <v>1383251</v>
          </cell>
          <cell r="BT251">
            <v>31.60972653748485</v>
          </cell>
          <cell r="BX251">
            <v>21.895604875467303</v>
          </cell>
          <cell r="CB251">
            <v>19.801750210220359</v>
          </cell>
        </row>
        <row r="252">
          <cell r="A252" t="str">
            <v>IMS SALES/REPORTED SALES</v>
          </cell>
          <cell r="D252">
            <v>35683</v>
          </cell>
          <cell r="E252">
            <v>37104</v>
          </cell>
          <cell r="F252">
            <v>36156</v>
          </cell>
          <cell r="G252">
            <v>36393</v>
          </cell>
          <cell r="H252">
            <v>109653</v>
          </cell>
          <cell r="I252">
            <v>37055</v>
          </cell>
          <cell r="J252">
            <v>33347</v>
          </cell>
          <cell r="K252">
            <v>36238</v>
          </cell>
          <cell r="L252">
            <v>106640</v>
          </cell>
          <cell r="M252">
            <v>34499</v>
          </cell>
          <cell r="N252">
            <v>35731</v>
          </cell>
          <cell r="O252">
            <v>33911</v>
          </cell>
          <cell r="P252">
            <v>104141</v>
          </cell>
          <cell r="Q252">
            <v>34970</v>
          </cell>
          <cell r="R252">
            <v>35259</v>
          </cell>
          <cell r="S252">
            <v>31836</v>
          </cell>
          <cell r="T252">
            <v>102065</v>
          </cell>
          <cell r="U252">
            <v>27.460021000000008</v>
          </cell>
          <cell r="V252">
            <v>32920</v>
          </cell>
          <cell r="W252">
            <v>33111</v>
          </cell>
          <cell r="X252">
            <v>1.2441900402144777</v>
          </cell>
          <cell r="Y252">
            <v>33951</v>
          </cell>
          <cell r="Z252">
            <v>30401</v>
          </cell>
          <cell r="AA252">
            <v>31795</v>
          </cell>
          <cell r="AB252">
            <v>1.1302126109660562</v>
          </cell>
          <cell r="AC252">
            <v>32504</v>
          </cell>
          <cell r="AD252">
            <v>32117</v>
          </cell>
          <cell r="AE252">
            <v>30057</v>
          </cell>
          <cell r="AF252">
            <v>1.0518061249999999</v>
          </cell>
          <cell r="AG252">
            <v>22.950661000000011</v>
          </cell>
          <cell r="AH252">
            <v>22.623218999999985</v>
          </cell>
          <cell r="AI252">
            <v>29.630310999999988</v>
          </cell>
          <cell r="AJ252">
            <v>1.0094522281879197</v>
          </cell>
          <cell r="AK252">
            <v>24.331519000000007</v>
          </cell>
          <cell r="AL252">
            <v>24.120228000000004</v>
          </cell>
          <cell r="AM252">
            <v>29.583020000000008</v>
          </cell>
          <cell r="AN252">
            <v>0.96817328784119228</v>
          </cell>
          <cell r="AO252">
            <v>24.320904000000009</v>
          </cell>
          <cell r="AP252">
            <v>24.414339000000002</v>
          </cell>
          <cell r="AQ252">
            <v>29.415835999999977</v>
          </cell>
          <cell r="AR252">
            <v>0.96245171182265932</v>
          </cell>
          <cell r="AS252">
            <v>26.507576</v>
          </cell>
          <cell r="AT252">
            <v>28.592521000000016</v>
          </cell>
          <cell r="AU252">
            <v>33.779813999999988</v>
          </cell>
          <cell r="AV252">
            <v>1.1694725131578947</v>
          </cell>
          <cell r="AW252">
            <v>25.728770999999995</v>
          </cell>
          <cell r="AX252">
            <v>26.984072999999988</v>
          </cell>
          <cell r="AY252">
            <v>34.256639000000014</v>
          </cell>
          <cell r="AZ252">
            <v>1.1149933717948719</v>
          </cell>
          <cell r="BA252">
            <v>27.151362999999989</v>
          </cell>
          <cell r="BB252">
            <v>28.445342000000014</v>
          </cell>
          <cell r="BC252">
            <v>43.405036999999972</v>
          </cell>
          <cell r="BD252">
            <v>1.2924509399477813</v>
          </cell>
          <cell r="BE252">
            <v>37.565207999999998</v>
          </cell>
          <cell r="BF252">
            <v>36.675849000000014</v>
          </cell>
          <cell r="BG252">
            <v>49.515926999999976</v>
          </cell>
          <cell r="BH252">
            <v>1.7188470000000005</v>
          </cell>
          <cell r="BI252">
            <v>42.319755000000022</v>
          </cell>
          <cell r="BJ252">
            <v>44.735036000000022</v>
          </cell>
          <cell r="BK252">
            <v>57.220379000000015</v>
          </cell>
          <cell r="BL252">
            <v>1.9736685362517079</v>
          </cell>
          <cell r="BM252">
            <v>47.205652999999984</v>
          </cell>
          <cell r="BN252">
            <v>48.939731000000023</v>
          </cell>
          <cell r="BO252">
            <v>64.55908100000002</v>
          </cell>
          <cell r="BP252">
            <v>2.1549086167131533</v>
          </cell>
          <cell r="BQ252">
            <v>54.497441999999999</v>
          </cell>
          <cell r="BR252">
            <v>57.889191999999987</v>
          </cell>
          <cell r="BS252">
            <v>21862</v>
          </cell>
          <cell r="BT252">
            <v>1.5635333462713255</v>
          </cell>
          <cell r="BU252">
            <v>20429</v>
          </cell>
          <cell r="BV252">
            <v>18333</v>
          </cell>
          <cell r="BW252">
            <v>20138</v>
          </cell>
          <cell r="BX252">
            <v>2.3251607554817704</v>
          </cell>
          <cell r="BY252">
            <v>19205</v>
          </cell>
          <cell r="BZ252">
            <v>19481</v>
          </cell>
          <cell r="CA252">
            <v>19196</v>
          </cell>
          <cell r="CB252">
            <v>2.8315842913375562</v>
          </cell>
        </row>
        <row r="253">
          <cell r="A253" t="str">
            <v>IMS SALES/REPORTED SALES</v>
          </cell>
          <cell r="C253">
            <v>1.134093</v>
          </cell>
          <cell r="D253">
            <v>1.3970579999999999</v>
          </cell>
          <cell r="E253">
            <v>1.0740909999999999</v>
          </cell>
          <cell r="F253">
            <v>1.032446</v>
          </cell>
          <cell r="G253">
            <v>1.3667750000000001</v>
          </cell>
          <cell r="H253">
            <v>3.473312</v>
          </cell>
          <cell r="I253">
            <v>1.051113</v>
          </cell>
          <cell r="J253">
            <v>1.0799780000000001</v>
          </cell>
          <cell r="K253">
            <v>1.351062</v>
          </cell>
          <cell r="L253">
            <v>3.4821530000000003</v>
          </cell>
          <cell r="M253">
            <v>1.0967519999999999</v>
          </cell>
          <cell r="N253">
            <v>1.1470929999999999</v>
          </cell>
          <cell r="O253">
            <v>1.4378420000000001</v>
          </cell>
          <cell r="P253">
            <v>3.6816869999999997</v>
          </cell>
          <cell r="Q253">
            <v>1.1978329999999999</v>
          </cell>
          <cell r="R253">
            <v>1.126126</v>
          </cell>
          <cell r="S253">
            <v>-0.10781044194714573</v>
          </cell>
          <cell r="T253">
            <v>3.706124</v>
          </cell>
          <cell r="U253">
            <v>-5.8699870633893925E-2</v>
          </cell>
          <cell r="V253">
            <v>-8.9501051001216969E-2</v>
          </cell>
          <cell r="W253">
            <v>-9.0182177891352744E-2</v>
          </cell>
          <cell r="X253">
            <v>1.2441900402144777</v>
          </cell>
          <cell r="Y253">
            <v>-8.3767372824180231E-2</v>
          </cell>
          <cell r="Z253">
            <v>-8.8343779050589211E-2</v>
          </cell>
          <cell r="AA253">
            <v>-0.12260610408962969</v>
          </cell>
          <cell r="AB253">
            <v>1.1302126109660562</v>
          </cell>
          <cell r="AC253">
            <v>-5.7827763123568854E-2</v>
          </cell>
          <cell r="AD253">
            <v>-0.101144664297109</v>
          </cell>
          <cell r="AE253">
            <v>-0.11365043791100238</v>
          </cell>
          <cell r="AF253">
            <v>1.0518061249999999</v>
          </cell>
          <cell r="AG253" t="e">
            <v>#DIV/0!</v>
          </cell>
          <cell r="AH253" t="e">
            <v>#DIV/0!</v>
          </cell>
          <cell r="AI253" t="e">
            <v>#DIV/0!</v>
          </cell>
          <cell r="AJ253">
            <v>1.0094522281879197</v>
          </cell>
          <cell r="AK253">
            <v>-0.11392933749030998</v>
          </cell>
          <cell r="AL253" t="e">
            <v>#DIV/0!</v>
          </cell>
          <cell r="AM253" t="e">
            <v>#DIV/0!</v>
          </cell>
          <cell r="AN253">
            <v>0.96817328784119228</v>
          </cell>
          <cell r="AO253" t="e">
            <v>#DIV/0!</v>
          </cell>
          <cell r="AP253" t="e">
            <v>#DIV/0!</v>
          </cell>
          <cell r="AQ253" t="e">
            <v>#DIV/0!</v>
          </cell>
          <cell r="AR253">
            <v>0.96245171182265932</v>
          </cell>
          <cell r="AS253" t="e">
            <v>#DIV/0!</v>
          </cell>
          <cell r="AT253" t="e">
            <v>#DIV/0!</v>
          </cell>
          <cell r="AU253" t="e">
            <v>#DIV/0!</v>
          </cell>
          <cell r="AV253">
            <v>1.1694725131578947</v>
          </cell>
          <cell r="AW253">
            <v>0.12104705829605433</v>
          </cell>
          <cell r="AX253">
            <v>0.19276010191122706</v>
          </cell>
          <cell r="AY253">
            <v>0.15613497948097899</v>
          </cell>
          <cell r="AZ253">
            <v>1.1149933717948719</v>
          </cell>
          <cell r="BA253">
            <v>0.11589264114583142</v>
          </cell>
          <cell r="BB253">
            <v>0.17931480581361048</v>
          </cell>
          <cell r="BC253">
            <v>0.46722805852816784</v>
          </cell>
          <cell r="BD253">
            <v>1.2924509399477813</v>
          </cell>
          <cell r="BE253">
            <v>0.54456462638066339</v>
          </cell>
          <cell r="BF253">
            <v>0.50222576167227029</v>
          </cell>
          <cell r="BG253">
            <v>0.68330850770313023</v>
          </cell>
          <cell r="BH253">
            <v>1.7188470000000005</v>
          </cell>
          <cell r="BI253">
            <v>0.5965154641073187</v>
          </cell>
          <cell r="BJ253">
            <v>0.56457123875156023</v>
          </cell>
          <cell r="BK253">
            <v>0.69392226375195665</v>
          </cell>
          <cell r="BL253">
            <v>1.9736685362517079</v>
          </cell>
          <cell r="BM253">
            <v>0.83474185377917953</v>
          </cell>
          <cell r="BN253">
            <v>0.81365248307770455</v>
          </cell>
          <cell r="BO253">
            <v>0.88457136731948505</v>
          </cell>
          <cell r="BP253">
            <v>2.1549086167131533</v>
          </cell>
          <cell r="BQ253">
            <v>1.0071715000090427</v>
          </cell>
          <cell r="BR253">
            <v>1.0351026892206097</v>
          </cell>
          <cell r="BS253">
            <v>-0.18187261432527502</v>
          </cell>
          <cell r="BT253">
            <v>1.5635333462713255</v>
          </cell>
          <cell r="BU253">
            <v>-0.17368442341139834</v>
          </cell>
          <cell r="BV253">
            <v>-0.18955837496131911</v>
          </cell>
          <cell r="BW253">
            <v>-0.18994368463395017</v>
          </cell>
          <cell r="BX253">
            <v>2.3251607554817704</v>
          </cell>
          <cell r="BY253">
            <v>-0.17979927396967754</v>
          </cell>
          <cell r="BZ253">
            <v>-0.15402987667187773</v>
          </cell>
          <cell r="CA253">
            <v>-0.17596050654646922</v>
          </cell>
          <cell r="CB253">
            <v>2.8315842913375562</v>
          </cell>
        </row>
        <row r="254">
          <cell r="A254" t="str">
            <v>TRx FRX PRODUCTS</v>
          </cell>
          <cell r="C254">
            <v>2488268</v>
          </cell>
          <cell r="D254">
            <v>2437806</v>
          </cell>
          <cell r="E254">
            <v>2623091</v>
          </cell>
          <cell r="F254">
            <v>2620018</v>
          </cell>
          <cell r="G254">
            <v>2743656</v>
          </cell>
          <cell r="H254">
            <v>7986765</v>
          </cell>
          <cell r="I254">
            <v>2969954</v>
          </cell>
          <cell r="J254">
            <v>2676767</v>
          </cell>
          <cell r="K254">
            <v>2927114</v>
          </cell>
          <cell r="L254">
            <v>8573835</v>
          </cell>
          <cell r="M254">
            <v>2793359</v>
          </cell>
          <cell r="N254">
            <v>2944784</v>
          </cell>
          <cell r="O254">
            <v>2851372</v>
          </cell>
          <cell r="P254">
            <v>8589515</v>
          </cell>
          <cell r="Q254">
            <v>2968888</v>
          </cell>
          <cell r="R254">
            <v>3116716</v>
          </cell>
          <cell r="S254">
            <v>2982615</v>
          </cell>
          <cell r="T254">
            <v>9068219</v>
          </cell>
          <cell r="U254">
            <v>3388001</v>
          </cell>
          <cell r="V254">
            <v>3321194</v>
          </cell>
          <cell r="W254">
            <v>3441151</v>
          </cell>
          <cell r="X254">
            <v>10150346</v>
          </cell>
          <cell r="Y254">
            <v>3643122</v>
          </cell>
          <cell r="Z254">
            <v>3393814</v>
          </cell>
          <cell r="AA254">
            <v>3605976</v>
          </cell>
          <cell r="AB254">
            <v>10642912</v>
          </cell>
          <cell r="AC254">
            <v>3621767</v>
          </cell>
          <cell r="AD254">
            <v>3662120</v>
          </cell>
          <cell r="AE254">
            <v>3429400</v>
          </cell>
          <cell r="AF254">
            <v>10713287</v>
          </cell>
          <cell r="AG254">
            <v>3663173</v>
          </cell>
          <cell r="AH254">
            <v>3631838</v>
          </cell>
          <cell r="AI254">
            <v>3585139</v>
          </cell>
          <cell r="AJ254">
            <v>10880150</v>
          </cell>
          <cell r="AK254">
            <v>3905628</v>
          </cell>
          <cell r="AL254">
            <v>3850515</v>
          </cell>
          <cell r="AM254">
            <v>4160852</v>
          </cell>
          <cell r="AN254">
            <v>11916995</v>
          </cell>
          <cell r="AO254">
            <v>4195926</v>
          </cell>
          <cell r="AP254">
            <v>3880564</v>
          </cell>
          <cell r="AQ254">
            <v>4251392</v>
          </cell>
          <cell r="AR254">
            <v>12327882</v>
          </cell>
          <cell r="AS254">
            <v>4179020</v>
          </cell>
          <cell r="AT254">
            <v>4256223</v>
          </cell>
          <cell r="AU254">
            <v>4158433</v>
          </cell>
          <cell r="AV254">
            <v>12593676</v>
          </cell>
          <cell r="AW254">
            <v>4304040</v>
          </cell>
          <cell r="AX254">
            <v>4232446</v>
          </cell>
          <cell r="AY254">
            <v>4371157</v>
          </cell>
          <cell r="AZ254">
            <v>12907643</v>
          </cell>
          <cell r="BA254">
            <v>4594712</v>
          </cell>
          <cell r="BB254">
            <v>4360598</v>
          </cell>
          <cell r="BC254">
            <v>5006935</v>
          </cell>
          <cell r="BD254">
            <v>13962245</v>
          </cell>
          <cell r="BE254">
            <v>4679774</v>
          </cell>
          <cell r="BF254">
            <v>4380708</v>
          </cell>
          <cell r="BG254">
            <v>4849346</v>
          </cell>
          <cell r="BH254">
            <v>13909828</v>
          </cell>
          <cell r="BI254">
            <v>4577703</v>
          </cell>
          <cell r="BJ254">
            <v>4504969</v>
          </cell>
          <cell r="BK254">
            <v>4687498</v>
          </cell>
          <cell r="BL254">
            <v>13770170</v>
          </cell>
          <cell r="BM254">
            <v>4648030</v>
          </cell>
          <cell r="BN254">
            <v>4744540</v>
          </cell>
          <cell r="BO254">
            <v>4687304</v>
          </cell>
          <cell r="BP254">
            <v>14079874</v>
          </cell>
          <cell r="BQ254">
            <v>4717154</v>
          </cell>
          <cell r="BR254">
            <v>4441768</v>
          </cell>
          <cell r="BS254">
            <v>4407653</v>
          </cell>
          <cell r="BT254">
            <v>13566575</v>
          </cell>
          <cell r="BU254">
            <v>4337814</v>
          </cell>
          <cell r="BV254">
            <v>4063096</v>
          </cell>
          <cell r="BW254">
            <v>4443748</v>
          </cell>
          <cell r="BX254">
            <v>12844658</v>
          </cell>
          <cell r="BY254">
            <v>4189099</v>
          </cell>
          <cell r="BZ254">
            <v>4294051</v>
          </cell>
          <cell r="CA254">
            <v>4223793</v>
          </cell>
          <cell r="CB254">
            <v>12706943</v>
          </cell>
        </row>
        <row r="255">
          <cell r="A255" t="str">
            <v xml:space="preserve">  % Change</v>
          </cell>
          <cell r="C255">
            <v>2488268</v>
          </cell>
          <cell r="D255">
            <v>2437806</v>
          </cell>
          <cell r="E255">
            <v>2623091</v>
          </cell>
          <cell r="F255">
            <v>2620018</v>
          </cell>
          <cell r="G255">
            <v>2743656</v>
          </cell>
          <cell r="H255">
            <v>7986765</v>
          </cell>
          <cell r="I255">
            <v>2969954</v>
          </cell>
          <cell r="J255">
            <v>2676767</v>
          </cell>
          <cell r="K255">
            <v>2927114</v>
          </cell>
          <cell r="L255">
            <v>8573835</v>
          </cell>
          <cell r="M255">
            <v>2793359</v>
          </cell>
          <cell r="N255">
            <v>2944784</v>
          </cell>
          <cell r="O255">
            <v>2851372</v>
          </cell>
          <cell r="P255">
            <v>8589515</v>
          </cell>
          <cell r="Q255">
            <v>2968888</v>
          </cell>
          <cell r="R255">
            <v>3116716</v>
          </cell>
          <cell r="S255">
            <v>0.22348332886209987</v>
          </cell>
          <cell r="T255">
            <v>9068219</v>
          </cell>
          <cell r="U255">
            <v>0.29160635296297377</v>
          </cell>
          <cell r="V255">
            <v>0.26762258885244306</v>
          </cell>
          <cell r="W255">
            <v>0.25422101021410848</v>
          </cell>
          <cell r="X255">
            <v>0.27089578821963589</v>
          </cell>
          <cell r="Y255">
            <v>0.22665940280556529</v>
          </cell>
          <cell r="Z255">
            <v>0.26787800357670277</v>
          </cell>
          <cell r="AA255">
            <v>0.23192195452585729</v>
          </cell>
          <cell r="AB255">
            <v>0.24132456479510034</v>
          </cell>
          <cell r="AC255">
            <v>0.29656338479944755</v>
          </cell>
          <cell r="AD255">
            <v>0.24359545555803064</v>
          </cell>
          <cell r="AE255">
            <v>0.20271925234588828</v>
          </cell>
          <cell r="AF255">
            <v>0.24725167835436568</v>
          </cell>
          <cell r="AG255">
            <v>0.23385355055495527</v>
          </cell>
          <cell r="AH255">
            <v>0.16527716994426189</v>
          </cell>
          <cell r="AI255">
            <v>0.20201199283179361</v>
          </cell>
          <cell r="AJ255">
            <v>0.19981112057395167</v>
          </cell>
          <cell r="AK255">
            <v>0.15278242243730156</v>
          </cell>
          <cell r="AL255">
            <v>0.15937671813209353</v>
          </cell>
          <cell r="AM255">
            <v>0.20914542837556382</v>
          </cell>
          <cell r="AN255">
            <v>0.17404815559981901</v>
          </cell>
          <cell r="AO255">
            <v>0.15173908532297298</v>
          </cell>
          <cell r="AP255">
            <v>0.1434227096711842</v>
          </cell>
          <cell r="AQ255">
            <v>0.17898510694469394</v>
          </cell>
          <cell r="AR255">
            <v>0.15831851282806819</v>
          </cell>
          <cell r="AS255">
            <v>0.15386218936778651</v>
          </cell>
          <cell r="AT255">
            <v>0.16222925518552089</v>
          </cell>
          <cell r="AU255">
            <v>0.21258325071441075</v>
          </cell>
          <cell r="AV255">
            <v>0.175519334075527</v>
          </cell>
          <cell r="AW255">
            <v>0.17494860330101791</v>
          </cell>
          <cell r="AX255">
            <v>0.16537301498580059</v>
          </cell>
          <cell r="AY255">
            <v>0.2192433821952231</v>
          </cell>
          <cell r="AZ255">
            <v>0.18634789042430477</v>
          </cell>
          <cell r="BA255">
            <v>0.17643359787465673</v>
          </cell>
          <cell r="BB255">
            <v>0.13247137071274873</v>
          </cell>
          <cell r="BC255">
            <v>0.20334369018652909</v>
          </cell>
          <cell r="BD255">
            <v>0.17162464195042459</v>
          </cell>
          <cell r="BE255">
            <v>0.11531375910823982</v>
          </cell>
          <cell r="BF255">
            <v>0.128884358046923</v>
          </cell>
          <cell r="BG255">
            <v>0.14064899214186788</v>
          </cell>
          <cell r="BH255">
            <v>0.12832261048572668</v>
          </cell>
          <cell r="BI255">
            <v>9.5401074893156856E-2</v>
          </cell>
          <cell r="BJ255">
            <v>5.8442896436582403E-2</v>
          </cell>
          <cell r="BK255">
            <v>0.12722701075140574</v>
          </cell>
          <cell r="BL255">
            <v>9.3419427337974925E-2</v>
          </cell>
          <cell r="BM255">
            <v>7.9922584362598803E-2</v>
          </cell>
          <cell r="BN255">
            <v>0.12099244739330395</v>
          </cell>
          <cell r="BO255">
            <v>7.2325702325494179E-2</v>
          </cell>
          <cell r="BP255">
            <v>9.0816812953379733E-2</v>
          </cell>
          <cell r="BQ255">
            <v>2.6648460229933946E-2</v>
          </cell>
          <cell r="BR255">
            <v>1.8614419398440329E-2</v>
          </cell>
          <cell r="BS255">
            <v>-0.11969038942986077</v>
          </cell>
          <cell r="BT255">
            <v>-2.8338565896816714E-2</v>
          </cell>
          <cell r="BU255">
            <v>-7.3071904754374861E-2</v>
          </cell>
          <cell r="BV255">
            <v>-7.2502435679346777E-2</v>
          </cell>
          <cell r="BW255">
            <v>-8.3639732038093384E-2</v>
          </cell>
          <cell r="BX255">
            <v>-7.6576791603749528E-2</v>
          </cell>
          <cell r="BY255">
            <v>-8.4890609984964116E-2</v>
          </cell>
          <cell r="BZ255">
            <v>-4.681896812164521E-2</v>
          </cell>
          <cell r="CA255">
            <v>-9.8923775540810888E-2</v>
          </cell>
          <cell r="CB255">
            <v>-7.7212336521626068E-2</v>
          </cell>
        </row>
        <row r="256">
          <cell r="A256" t="str">
            <v xml:space="preserve">TOTAL FRX REPORTED SALES </v>
          </cell>
          <cell r="C256">
            <v>1.134093</v>
          </cell>
          <cell r="D256">
            <v>1.3970579999999999</v>
          </cell>
          <cell r="E256">
            <v>1.0740909999999999</v>
          </cell>
          <cell r="F256">
            <v>1.032446</v>
          </cell>
          <cell r="G256">
            <v>1.3667750000000001</v>
          </cell>
          <cell r="H256">
            <v>310.08600000000001</v>
          </cell>
          <cell r="I256">
            <v>1.051113</v>
          </cell>
          <cell r="J256">
            <v>1.0799780000000001</v>
          </cell>
          <cell r="K256">
            <v>1.351062</v>
          </cell>
          <cell r="L256">
            <v>324.25099999999998</v>
          </cell>
          <cell r="M256">
            <v>1.0967519999999999</v>
          </cell>
          <cell r="N256">
            <v>1.1470929999999999</v>
          </cell>
          <cell r="O256">
            <v>1.4378420000000001</v>
          </cell>
          <cell r="P256">
            <v>350.50800000000004</v>
          </cell>
          <cell r="Q256">
            <v>1.1978329999999999</v>
          </cell>
          <cell r="R256">
            <v>1.126126</v>
          </cell>
          <cell r="S256">
            <v>0.22348332886209987</v>
          </cell>
          <cell r="T256">
            <v>376.26699999999994</v>
          </cell>
          <cell r="U256">
            <v>0.29160635296297377</v>
          </cell>
          <cell r="V256">
            <v>0.26762258885244306</v>
          </cell>
          <cell r="W256">
            <v>0.25422101021410848</v>
          </cell>
          <cell r="X256">
            <v>403.10199999999998</v>
          </cell>
          <cell r="Y256">
            <v>0.22665940280556529</v>
          </cell>
          <cell r="Z256">
            <v>0.26787800357670277</v>
          </cell>
          <cell r="AA256">
            <v>0.23192195452585729</v>
          </cell>
          <cell r="AB256">
            <v>436.75029999999998</v>
          </cell>
          <cell r="AC256">
            <v>0.29656338479944755</v>
          </cell>
          <cell r="AD256">
            <v>0.24359545555803064</v>
          </cell>
          <cell r="AE256">
            <v>0.20271925234588828</v>
          </cell>
          <cell r="AF256">
            <v>467.18899999999996</v>
          </cell>
          <cell r="AG256">
            <v>0.23385355055495527</v>
          </cell>
          <cell r="AH256">
            <v>0.16527716994426189</v>
          </cell>
          <cell r="AI256">
            <v>0.20201199283179361</v>
          </cell>
          <cell r="AJ256">
            <v>531.59900000000005</v>
          </cell>
          <cell r="AK256">
            <v>0.15278242243730156</v>
          </cell>
          <cell r="AL256">
            <v>0.15937671813209353</v>
          </cell>
          <cell r="AM256">
            <v>0.20914542837556382</v>
          </cell>
          <cell r="AN256">
            <v>586.79999999999995</v>
          </cell>
          <cell r="AO256">
            <v>0.15173908532297298</v>
          </cell>
          <cell r="AP256">
            <v>0.1434227096711842</v>
          </cell>
          <cell r="AQ256">
            <v>0.17898510694469394</v>
          </cell>
          <cell r="AR256">
            <v>621.1</v>
          </cell>
          <cell r="AS256">
            <v>0.15386218936778651</v>
          </cell>
          <cell r="AT256">
            <v>0.16222925518552089</v>
          </cell>
          <cell r="AU256">
            <v>0.21258325071441075</v>
          </cell>
          <cell r="AV256">
            <v>605.70000000000005</v>
          </cell>
          <cell r="AW256">
            <v>0.17494860330101791</v>
          </cell>
          <cell r="AX256">
            <v>0.16537301498580059</v>
          </cell>
          <cell r="AY256">
            <v>0.2192433821952231</v>
          </cell>
          <cell r="AZ256">
            <v>619.20000000000005</v>
          </cell>
          <cell r="BA256">
            <v>0.17643359787465673</v>
          </cell>
          <cell r="BB256">
            <v>0.13247137071274873</v>
          </cell>
          <cell r="BC256">
            <v>0.20334369018652909</v>
          </cell>
          <cell r="BD256">
            <v>700.4</v>
          </cell>
          <cell r="BE256">
            <v>0.11531375910823982</v>
          </cell>
          <cell r="BF256">
            <v>0.128884358046923</v>
          </cell>
          <cell r="BG256">
            <v>0.14064899214186788</v>
          </cell>
          <cell r="BH256">
            <v>725.1</v>
          </cell>
          <cell r="BI256">
            <v>9.5401074893156856E-2</v>
          </cell>
          <cell r="BJ256">
            <v>5.8442896436582403E-2</v>
          </cell>
          <cell r="BK256">
            <v>0.12722701075140574</v>
          </cell>
          <cell r="BL256">
            <v>782.4</v>
          </cell>
          <cell r="BM256">
            <v>7.9922584362598803E-2</v>
          </cell>
          <cell r="BN256">
            <v>0.12099244739330395</v>
          </cell>
          <cell r="BO256">
            <v>7.2325702325494179E-2</v>
          </cell>
          <cell r="BP256">
            <v>856.68</v>
          </cell>
          <cell r="BQ256">
            <v>2.6648460229933946E-2</v>
          </cell>
          <cell r="BR256">
            <v>1.8614419398440329E-2</v>
          </cell>
          <cell r="BS256">
            <v>-0.11969038942986077</v>
          </cell>
          <cell r="BT256">
            <v>795</v>
          </cell>
          <cell r="BU256">
            <v>-7.3071904754374861E-2</v>
          </cell>
          <cell r="BV256">
            <v>-7.2502435679346777E-2</v>
          </cell>
          <cell r="BW256">
            <v>-8.3639732038093384E-2</v>
          </cell>
          <cell r="BX256">
            <v>618.28499999999997</v>
          </cell>
          <cell r="BY256">
            <v>-8.4890609984964116E-2</v>
          </cell>
          <cell r="BZ256">
            <v>-4.681896812164521E-2</v>
          </cell>
          <cell r="CA256">
            <v>-9.8923775540810888E-2</v>
          </cell>
          <cell r="CB256">
            <v>674.65300000000002</v>
          </cell>
        </row>
        <row r="257">
          <cell r="A257" t="str">
            <v xml:space="preserve">  % Change</v>
          </cell>
          <cell r="H257">
            <v>310.08600000000001</v>
          </cell>
          <cell r="L257">
            <v>324.25099999999998</v>
          </cell>
          <cell r="P257">
            <v>350.50800000000004</v>
          </cell>
          <cell r="S257">
            <v>-1.0660258915520915E-2</v>
          </cell>
          <cell r="T257">
            <v>376.26699999999994</v>
          </cell>
          <cell r="U257">
            <v>5.2396863952868244E-2</v>
          </cell>
          <cell r="V257">
            <v>0.36188139621830095</v>
          </cell>
          <cell r="W257">
            <v>3.1662855993122463E-2</v>
          </cell>
          <cell r="X257">
            <v>0.29996839586437307</v>
          </cell>
          <cell r="Y257">
            <v>4.4453831319753556E-2</v>
          </cell>
          <cell r="Z257">
            <v>-1.0231689904794394E-2</v>
          </cell>
          <cell r="AA257">
            <v>-2.5758255357637205E-2</v>
          </cell>
          <cell r="AB257">
            <v>0.34695128156890798</v>
          </cell>
          <cell r="AC257">
            <v>-0.11513085911856102</v>
          </cell>
          <cell r="AD257">
            <v>-0.1810716306350052</v>
          </cell>
          <cell r="AE257">
            <v>-0.15200487953474728</v>
          </cell>
          <cell r="AF257">
            <v>0.33289111803439564</v>
          </cell>
          <cell r="AG257">
            <v>-0.2107772953324879</v>
          </cell>
          <cell r="AH257">
            <v>-0.29761856133327891</v>
          </cell>
          <cell r="AI257">
            <v>-4.9664837410873575E-2</v>
          </cell>
          <cell r="AJ257">
            <v>0.41282387240975194</v>
          </cell>
          <cell r="AK257">
            <v>-0.15985650716137201</v>
          </cell>
          <cell r="AL257">
            <v>-0.33886886063201738</v>
          </cell>
          <cell r="AM257">
            <v>-0.20907612561531463</v>
          </cell>
          <cell r="AN257">
            <v>0.45571096149361701</v>
          </cell>
          <cell r="AO257">
            <v>-0.14977241653830842</v>
          </cell>
          <cell r="AP257">
            <v>-0.15323763621123221</v>
          </cell>
          <cell r="AQ257">
            <v>-0.16076598790057584</v>
          </cell>
          <cell r="AR257">
            <v>0.42209404320958699</v>
          </cell>
          <cell r="AS257">
            <v>-0.10653263017758174</v>
          </cell>
          <cell r="AT257">
            <v>-4.5987436487837319E-2</v>
          </cell>
          <cell r="AU257">
            <v>-7.3269290230405848E-2</v>
          </cell>
          <cell r="AV257">
            <v>0.29647744274801013</v>
          </cell>
          <cell r="AW257">
            <v>-5.4241942461948245E-2</v>
          </cell>
          <cell r="AX257">
            <v>0.12673426299353974</v>
          </cell>
          <cell r="AY257">
            <v>-0.16920183933248067</v>
          </cell>
          <cell r="AZ257">
            <v>0.16478774414549302</v>
          </cell>
          <cell r="BA257">
            <v>-0.11500800801960254</v>
          </cell>
          <cell r="BB257">
            <v>-9.5314523728587508E-2</v>
          </cell>
          <cell r="BC257">
            <v>-0.10500581487621974</v>
          </cell>
          <cell r="BD257">
            <v>0.19359236537150659</v>
          </cell>
          <cell r="BE257">
            <v>-0.13750504867620228</v>
          </cell>
          <cell r="BF257">
            <v>-0.11948696758911448</v>
          </cell>
          <cell r="BG257">
            <v>-9.8098856561936842E-2</v>
          </cell>
          <cell r="BH257">
            <v>0.16744485590082103</v>
          </cell>
          <cell r="BI257">
            <v>-0.12307546817300086</v>
          </cell>
          <cell r="BJ257">
            <v>-0.13271783679075899</v>
          </cell>
          <cell r="BK257">
            <v>-0.12154021383303826</v>
          </cell>
          <cell r="BL257">
            <v>0.29172857850420986</v>
          </cell>
          <cell r="BM257">
            <v>-0.1081873078329767</v>
          </cell>
          <cell r="BN257">
            <v>-0.15214208051273936</v>
          </cell>
          <cell r="BO257">
            <v>-0.11986676074665303</v>
          </cell>
          <cell r="BP257">
            <v>0.38352713178294562</v>
          </cell>
          <cell r="BQ257">
            <v>-6.774322894914997E-2</v>
          </cell>
          <cell r="BR257">
            <v>-0.15709424108671666</v>
          </cell>
          <cell r="BS257">
            <v>-8.5860043120376428E-2</v>
          </cell>
          <cell r="BT257">
            <v>0.13506567675613934</v>
          </cell>
          <cell r="BU257">
            <v>-5.6540846442021953E-2</v>
          </cell>
          <cell r="BV257">
            <v>-5.0991433880777093E-2</v>
          </cell>
          <cell r="BW257">
            <v>-9.422394774191345E-2</v>
          </cell>
          <cell r="BX257">
            <v>-0.14731071576334309</v>
          </cell>
          <cell r="BY257">
            <v>-2.5707018632887046E-2</v>
          </cell>
          <cell r="BZ257">
            <v>1.0483154003810835E-2</v>
          </cell>
          <cell r="CB257">
            <v>-0.1377134458077709</v>
          </cell>
        </row>
        <row r="258">
          <cell r="A258" t="str">
            <v>TOTAL FRX SALES (IMS)</v>
          </cell>
          <cell r="C258">
            <v>101.109179</v>
          </cell>
          <cell r="D258">
            <v>129.783469</v>
          </cell>
          <cell r="E258">
            <v>108.712907</v>
          </cell>
          <cell r="F258">
            <v>108.774777</v>
          </cell>
          <cell r="G258">
            <v>148.58795699999999</v>
          </cell>
          <cell r="H258">
            <v>366.07564100000002</v>
          </cell>
          <cell r="I258">
            <v>119.666382</v>
          </cell>
          <cell r="J258">
            <v>123.953686</v>
          </cell>
          <cell r="K258">
            <v>157.045659</v>
          </cell>
          <cell r="L258">
            <v>400.665727</v>
          </cell>
          <cell r="M258">
            <v>121.690923</v>
          </cell>
          <cell r="N258">
            <v>130.751912</v>
          </cell>
          <cell r="O258">
            <v>160.91720799999999</v>
          </cell>
          <cell r="P258">
            <v>413.36004300000002</v>
          </cell>
          <cell r="Q258">
            <v>131.25651500000001</v>
          </cell>
          <cell r="R258">
            <v>138.601395</v>
          </cell>
          <cell r="S258">
            <v>172.09828400000001</v>
          </cell>
          <cell r="T258">
            <v>441.95619399999998</v>
          </cell>
          <cell r="U258">
            <v>145.31714400000001</v>
          </cell>
          <cell r="V258">
            <v>184.57474199999999</v>
          </cell>
          <cell r="W258">
            <v>189.95388700000001</v>
          </cell>
          <cell r="X258">
            <v>519.84577300000001</v>
          </cell>
          <cell r="Y258">
            <v>159.49118899999999</v>
          </cell>
          <cell r="Z258">
            <v>160.93192199999999</v>
          </cell>
          <cell r="AA258">
            <v>208.21063799999999</v>
          </cell>
          <cell r="AB258">
            <v>528.63374899999997</v>
          </cell>
          <cell r="AC258">
            <v>163.02112</v>
          </cell>
          <cell r="AD258">
            <v>166.00176099999999</v>
          </cell>
          <cell r="AE258">
            <v>208.38326699999999</v>
          </cell>
          <cell r="AF258">
            <v>537.40614800000003</v>
          </cell>
          <cell r="AG258">
            <v>173.498729</v>
          </cell>
          <cell r="AH258">
            <v>176.983341</v>
          </cell>
          <cell r="AI258">
            <v>225.489869</v>
          </cell>
          <cell r="AJ258">
            <v>575.97193900000002</v>
          </cell>
          <cell r="AK258">
            <v>189.05109400000001</v>
          </cell>
          <cell r="AL258">
            <v>194.050972</v>
          </cell>
          <cell r="AM258">
            <v>246.57077100000001</v>
          </cell>
          <cell r="AN258">
            <v>629.67283700000007</v>
          </cell>
          <cell r="AO258">
            <v>204.26030900000001</v>
          </cell>
          <cell r="AP258">
            <v>206.009906</v>
          </cell>
          <cell r="AQ258">
            <v>263.16938499999998</v>
          </cell>
          <cell r="AR258">
            <v>673.43959999999993</v>
          </cell>
          <cell r="AS258">
            <v>217.14373000000001</v>
          </cell>
          <cell r="AT258">
            <v>216.06075100000001</v>
          </cell>
          <cell r="AU258">
            <v>278.94102299999997</v>
          </cell>
          <cell r="AV258">
            <v>712.14550399999996</v>
          </cell>
          <cell r="AW258">
            <v>218.10978399999999</v>
          </cell>
          <cell r="AX258">
            <v>226.99171999999999</v>
          </cell>
          <cell r="AY258">
            <v>280.97131100000001</v>
          </cell>
          <cell r="AZ258">
            <v>726.07281499999999</v>
          </cell>
          <cell r="BA258">
            <v>233.333898</v>
          </cell>
          <cell r="BB258">
            <v>240.40549100000001</v>
          </cell>
          <cell r="BC258">
            <v>308.62971299999998</v>
          </cell>
          <cell r="BD258">
            <v>782.369102</v>
          </cell>
          <cell r="BE258">
            <v>251.277277</v>
          </cell>
          <cell r="BF258">
            <v>252.76580000000001</v>
          </cell>
          <cell r="BG258">
            <v>326.10595699999999</v>
          </cell>
          <cell r="BH258">
            <v>830.14903400000003</v>
          </cell>
          <cell r="BI258">
            <v>259.18994800000002</v>
          </cell>
          <cell r="BJ258">
            <v>267.37206600000002</v>
          </cell>
          <cell r="BK258">
            <v>333.44516900000002</v>
          </cell>
          <cell r="BL258">
            <v>860.00718299999994</v>
          </cell>
          <cell r="BM258">
            <v>266.23014699999999</v>
          </cell>
          <cell r="BN258">
            <v>271.84376200000003</v>
          </cell>
          <cell r="BO258">
            <v>342.75536099999999</v>
          </cell>
          <cell r="BP258">
            <v>880.82926999999995</v>
          </cell>
          <cell r="BQ258">
            <v>277.388779</v>
          </cell>
          <cell r="BR258">
            <v>248.29356899999999</v>
          </cell>
          <cell r="BS258">
            <v>285.44185199999998</v>
          </cell>
          <cell r="BT258">
            <v>811.12419999999997</v>
          </cell>
          <cell r="BU258">
            <v>231.89865699999999</v>
          </cell>
          <cell r="BV258">
            <v>235.50991500000001</v>
          </cell>
          <cell r="BW258">
            <v>289.40065399999997</v>
          </cell>
          <cell r="BX258">
            <v>756.80922599999997</v>
          </cell>
          <cell r="BY258">
            <v>232.27586299999999</v>
          </cell>
          <cell r="BZ258">
            <v>247.91507799999999</v>
          </cell>
          <cell r="CA258">
            <v>302.62179200000003</v>
          </cell>
          <cell r="CB258">
            <v>782.81273299999998</v>
          </cell>
        </row>
        <row r="259">
          <cell r="A259" t="str">
            <v xml:space="preserve">  % Change</v>
          </cell>
          <cell r="C259">
            <v>101.109179</v>
          </cell>
          <cell r="D259">
            <v>129.783469</v>
          </cell>
          <cell r="E259">
            <v>108.712907</v>
          </cell>
          <cell r="F259">
            <v>108.774777</v>
          </cell>
          <cell r="G259">
            <v>148.58795699999999</v>
          </cell>
          <cell r="H259">
            <v>366.07564100000002</v>
          </cell>
          <cell r="I259">
            <v>119.666382</v>
          </cell>
          <cell r="J259">
            <v>123.953686</v>
          </cell>
          <cell r="K259">
            <v>157.045659</v>
          </cell>
          <cell r="L259">
            <v>400.665727</v>
          </cell>
          <cell r="M259">
            <v>121.690923</v>
          </cell>
          <cell r="N259">
            <v>130.751912</v>
          </cell>
          <cell r="O259">
            <v>160.91720799999999</v>
          </cell>
          <cell r="P259">
            <v>413.36004300000002</v>
          </cell>
          <cell r="Q259">
            <v>131.25651500000001</v>
          </cell>
          <cell r="R259">
            <v>138.601395</v>
          </cell>
          <cell r="S259">
            <v>172.09828400000001</v>
          </cell>
          <cell r="T259">
            <v>441.95619399999998</v>
          </cell>
          <cell r="U259">
            <v>145.31714400000001</v>
          </cell>
          <cell r="V259">
            <v>184.57474199999999</v>
          </cell>
          <cell r="W259">
            <v>189.95388700000001</v>
          </cell>
          <cell r="X259">
            <v>0.4200501611632772</v>
          </cell>
          <cell r="Y259">
            <v>159.49118899999999</v>
          </cell>
          <cell r="Z259">
            <v>160.93192199999999</v>
          </cell>
          <cell r="AA259">
            <v>208.21063799999999</v>
          </cell>
          <cell r="AB259">
            <v>0.31938849114488876</v>
          </cell>
          <cell r="AC259">
            <v>163.02112</v>
          </cell>
          <cell r="AD259">
            <v>166.00176099999999</v>
          </cell>
          <cell r="AE259">
            <v>208.38326699999999</v>
          </cell>
          <cell r="AF259">
            <v>0.30009215235155184</v>
          </cell>
          <cell r="AG259">
            <v>173.498729</v>
          </cell>
          <cell r="AH259">
            <v>176.983341</v>
          </cell>
          <cell r="AI259">
            <v>225.489869</v>
          </cell>
          <cell r="AJ259">
            <v>0.30323309599321968</v>
          </cell>
          <cell r="AK259">
            <v>189.05109400000001</v>
          </cell>
          <cell r="AL259">
            <v>194.050972</v>
          </cell>
          <cell r="AM259">
            <v>246.57077100000001</v>
          </cell>
          <cell r="AN259">
            <v>0.21126855252894416</v>
          </cell>
          <cell r="AO259">
            <v>204.26030900000001</v>
          </cell>
          <cell r="AP259">
            <v>206.009906</v>
          </cell>
          <cell r="AQ259">
            <v>263.16938499999998</v>
          </cell>
          <cell r="AR259">
            <v>0.27392471871863022</v>
          </cell>
          <cell r="AS259">
            <v>217.14373000000001</v>
          </cell>
          <cell r="AT259">
            <v>216.06075100000001</v>
          </cell>
          <cell r="AU259">
            <v>278.94102299999997</v>
          </cell>
          <cell r="AV259">
            <v>0.32515325075886548</v>
          </cell>
          <cell r="AW259">
            <v>0.25712611992679202</v>
          </cell>
          <cell r="AX259">
            <v>0.28255980883534115</v>
          </cell>
          <cell r="AY259">
            <v>0.24604849098564174</v>
          </cell>
          <cell r="AZ259">
            <v>0.26060449448388834</v>
          </cell>
          <cell r="BA259">
            <v>0.2342372268948627</v>
          </cell>
          <cell r="BB259">
            <v>0.23887805622535097</v>
          </cell>
          <cell r="BC259">
            <v>0.25168815325641325</v>
          </cell>
          <cell r="BD259">
            <v>0.24250095609571276</v>
          </cell>
          <cell r="BE259">
            <v>0.23018161594967523</v>
          </cell>
          <cell r="BF259">
            <v>0.22695944533851686</v>
          </cell>
          <cell r="BG259">
            <v>0.23914853165766226</v>
          </cell>
          <cell r="BH259">
            <v>0.23270005803044569</v>
          </cell>
          <cell r="BI259">
            <v>0.193633120330023</v>
          </cell>
          <cell r="BJ259">
            <v>0.2374855903375066</v>
          </cell>
          <cell r="BK259">
            <v>0.19539666634118591</v>
          </cell>
          <cell r="BL259">
            <v>0.20762846661178957</v>
          </cell>
          <cell r="BM259">
            <v>0.22062450440095804</v>
          </cell>
          <cell r="BN259">
            <v>0.19759329547350912</v>
          </cell>
          <cell r="BO259">
            <v>0.21989451442606534</v>
          </cell>
          <cell r="BP259">
            <v>0.2131417838581382</v>
          </cell>
          <cell r="BQ259">
            <v>0.18880617594619697</v>
          </cell>
          <cell r="BR259">
            <v>3.2811555040562546E-2</v>
          </cell>
          <cell r="BS259">
            <v>-7.5131654611621967E-2</v>
          </cell>
          <cell r="BT259">
            <v>3.6753877327839524E-2</v>
          </cell>
          <cell r="BU259">
            <v>-7.7120463224376712E-2</v>
          </cell>
          <cell r="BV259">
            <v>-6.8268274426366293E-2</v>
          </cell>
          <cell r="BW259">
            <v>-0.11255637075038161</v>
          </cell>
          <cell r="BX259">
            <v>-8.8345351251712834E-2</v>
          </cell>
          <cell r="BY259">
            <v>-0.10383923145044205</v>
          </cell>
          <cell r="BZ259">
            <v>-7.2771207146224537E-2</v>
          </cell>
          <cell r="CA259">
            <v>-9.2439117029162854E-2</v>
          </cell>
          <cell r="CB259">
            <v>-8.976023866535543E-2</v>
          </cell>
        </row>
        <row r="260">
          <cell r="A260" t="str">
            <v xml:space="preserve">  % Change</v>
          </cell>
          <cell r="S260" t="e">
            <v>#DIV/0!</v>
          </cell>
          <cell r="U260">
            <v>0.29160635296297377</v>
          </cell>
          <cell r="V260">
            <v>0.26762258885244306</v>
          </cell>
          <cell r="W260">
            <v>0.25422101021410848</v>
          </cell>
          <cell r="X260">
            <v>0.4200501611632772</v>
          </cell>
          <cell r="Y260">
            <v>0.22665940280556529</v>
          </cell>
          <cell r="Z260">
            <v>0.26787800357670277</v>
          </cell>
          <cell r="AA260">
            <v>0.23192195452585729</v>
          </cell>
          <cell r="AB260">
            <v>0.31938849114488876</v>
          </cell>
          <cell r="AC260">
            <v>0.29656338479944755</v>
          </cell>
          <cell r="AD260">
            <v>0.24359545555803064</v>
          </cell>
          <cell r="AE260">
            <v>0.20271925234588828</v>
          </cell>
          <cell r="AF260">
            <v>0.30009215235155184</v>
          </cell>
          <cell r="AG260">
            <v>0.23385355055495527</v>
          </cell>
          <cell r="AH260">
            <v>0.16527716994426189</v>
          </cell>
          <cell r="AI260">
            <v>0.20201199283179361</v>
          </cell>
          <cell r="AJ260">
            <v>0.30323309599321968</v>
          </cell>
          <cell r="AK260">
            <v>-5.6266280036215699E-2</v>
          </cell>
          <cell r="AL260">
            <v>-6.8644069585556022E-2</v>
          </cell>
          <cell r="AM260">
            <v>-3.1682306278417283E-2</v>
          </cell>
          <cell r="AN260">
            <v>0.21126855252894416</v>
          </cell>
          <cell r="AO260">
            <v>-0.10701523293661119</v>
          </cell>
          <cell r="AP260">
            <v>-0.12448383959979836</v>
          </cell>
          <cell r="AQ260">
            <v>-8.7910126809039868E-2</v>
          </cell>
          <cell r="AR260">
            <v>0.27392471871863022</v>
          </cell>
          <cell r="AS260">
            <v>-9.2090726804721079E-2</v>
          </cell>
          <cell r="AT260">
            <v>-4.7955060187249265E-2</v>
          </cell>
          <cell r="AU260">
            <v>1.0857094474665541E-2</v>
          </cell>
          <cell r="AV260">
            <v>0.32515325075886548</v>
          </cell>
          <cell r="AW260">
            <v>0.25712611992679202</v>
          </cell>
          <cell r="AX260">
            <v>0.28255980883534115</v>
          </cell>
          <cell r="AY260">
            <v>0.24604849098564174</v>
          </cell>
          <cell r="AZ260">
            <v>0.26060449448388834</v>
          </cell>
          <cell r="BA260">
            <v>0.2342372268948627</v>
          </cell>
          <cell r="BB260">
            <v>0.23887805622535097</v>
          </cell>
          <cell r="BC260">
            <v>0.25168815325641325</v>
          </cell>
          <cell r="BD260">
            <v>0.24250095609571276</v>
          </cell>
          <cell r="BE260">
            <v>0.23018161594967523</v>
          </cell>
          <cell r="BF260">
            <v>0.22695944533851686</v>
          </cell>
          <cell r="BG260">
            <v>0.23914853165766226</v>
          </cell>
          <cell r="BH260">
            <v>0.23270005803044569</v>
          </cell>
          <cell r="BI260">
            <v>0.193633120330023</v>
          </cell>
          <cell r="BJ260">
            <v>0.2374855903375066</v>
          </cell>
          <cell r="BK260">
            <v>0.19539666634118591</v>
          </cell>
          <cell r="BL260">
            <v>0.20762846661178957</v>
          </cell>
          <cell r="BM260">
            <v>0.22062450440095804</v>
          </cell>
          <cell r="BN260">
            <v>0.19759329547350912</v>
          </cell>
          <cell r="BO260">
            <v>0.21989451442606534</v>
          </cell>
          <cell r="BP260">
            <v>0.2131417838581382</v>
          </cell>
          <cell r="BQ260">
            <v>0.18880617594619697</v>
          </cell>
          <cell r="BR260">
            <v>3.2811555040562546E-2</v>
          </cell>
          <cell r="BS260">
            <v>-7.5131654611621967E-2</v>
          </cell>
          <cell r="BT260">
            <v>3.6753877327839524E-2</v>
          </cell>
          <cell r="BU260">
            <v>-7.7120463224376712E-2</v>
          </cell>
          <cell r="BV260">
            <v>-6.8268274426366293E-2</v>
          </cell>
          <cell r="BW260">
            <v>-0.11255637075038161</v>
          </cell>
          <cell r="BX260">
            <v>-8.8345351251712834E-2</v>
          </cell>
          <cell r="BY260">
            <v>-0.10383923145044205</v>
          </cell>
          <cell r="BZ260">
            <v>-7.2771207146224537E-2</v>
          </cell>
          <cell r="CA260">
            <v>-9.2439117029162854E-2</v>
          </cell>
          <cell r="CB260">
            <v>-8.976023866535543E-2</v>
          </cell>
        </row>
        <row r="261">
          <cell r="A261" t="str">
            <v>REPORTED SALES/TRx FRX PRODUCTS</v>
          </cell>
          <cell r="H261">
            <v>38.824981078071033</v>
          </cell>
          <cell r="L261">
            <v>37.818665742926008</v>
          </cell>
          <cell r="P261">
            <v>40.806494895229832</v>
          </cell>
          <cell r="T261">
            <v>41.49293262546923</v>
          </cell>
          <cell r="X261">
            <v>39.713128990873805</v>
          </cell>
          <cell r="AB261">
            <v>41.036729421421505</v>
          </cell>
          <cell r="AF261">
            <v>43.608371548339917</v>
          </cell>
          <cell r="AJ261">
            <v>48.85952859105803</v>
          </cell>
          <cell r="AN261">
            <v>49.24060134287209</v>
          </cell>
          <cell r="AR261">
            <v>50.381728183316483</v>
          </cell>
          <cell r="AV261">
            <v>48.095567966017228</v>
          </cell>
          <cell r="AZ261">
            <v>47.971577769853099</v>
          </cell>
          <cell r="BA261">
            <v>1277548</v>
          </cell>
          <cell r="BB261">
            <v>1167426</v>
          </cell>
          <cell r="BC261">
            <v>1275413</v>
          </cell>
          <cell r="BD261">
            <v>50.163852589608616</v>
          </cell>
          <cell r="BE261">
            <v>1171293</v>
          </cell>
          <cell r="BF261">
            <v>1066725</v>
          </cell>
          <cell r="BG261">
            <v>1138359</v>
          </cell>
          <cell r="BH261">
            <v>52.128610073395585</v>
          </cell>
          <cell r="BI261">
            <v>1049049</v>
          </cell>
          <cell r="BJ261">
            <v>1009998</v>
          </cell>
          <cell r="BK261">
            <v>1027896</v>
          </cell>
          <cell r="BL261">
            <v>56.818470650689136</v>
          </cell>
          <cell r="BP261">
            <v>60.84429448729442</v>
          </cell>
          <cell r="BT261">
            <v>58.599904544809576</v>
          </cell>
          <cell r="BX261">
            <v>48.135575116129992</v>
          </cell>
          <cell r="CB261">
            <v>53.093257756802721</v>
          </cell>
        </row>
        <row r="262">
          <cell r="A262" t="str">
            <v>IMS SALES/REPORTED SALES</v>
          </cell>
          <cell r="H262">
            <v>1.1805616538637669</v>
          </cell>
          <cell r="L262">
            <v>1.2356653549256595</v>
          </cell>
          <cell r="P262">
            <v>1.1793169998972919</v>
          </cell>
          <cell r="T262">
            <v>1.1745813318733773</v>
          </cell>
          <cell r="U262">
            <v>27.460021000000008</v>
          </cell>
          <cell r="X262">
            <v>1.289613479962888</v>
          </cell>
          <cell r="AB262">
            <v>1.2103798188575943</v>
          </cell>
          <cell r="AF262">
            <v>1.1502970917551572</v>
          </cell>
          <cell r="AG262">
            <v>22.950661000000011</v>
          </cell>
          <cell r="AH262">
            <v>22.623218999999985</v>
          </cell>
          <cell r="AI262">
            <v>29.630310999999988</v>
          </cell>
          <cell r="AJ262">
            <v>1.0834706968974734</v>
          </cell>
          <cell r="AK262">
            <v>24.331519000000007</v>
          </cell>
          <cell r="AL262">
            <v>24.120228000000004</v>
          </cell>
          <cell r="AM262">
            <v>29.583020000000008</v>
          </cell>
          <cell r="AN262">
            <v>1.0730620944103615</v>
          </cell>
          <cell r="AO262">
            <v>24.320904000000009</v>
          </cell>
          <cell r="AP262">
            <v>24.414339000000002</v>
          </cell>
          <cell r="AQ262">
            <v>29.415835999999977</v>
          </cell>
          <cell r="AR262">
            <v>1.0842691998067941</v>
          </cell>
          <cell r="AS262">
            <v>26.507576</v>
          </cell>
          <cell r="AT262">
            <v>28.592521000000016</v>
          </cell>
          <cell r="AU262">
            <v>33.779813999999988</v>
          </cell>
          <cell r="AV262">
            <v>1.1757396466897803</v>
          </cell>
          <cell r="AW262">
            <v>25.728770999999995</v>
          </cell>
          <cell r="AX262">
            <v>26.984072999999988</v>
          </cell>
          <cell r="AY262">
            <v>34.256639000000014</v>
          </cell>
          <cell r="AZ262">
            <v>1.1725982154392764</v>
          </cell>
          <cell r="BA262">
            <v>27.151362999999989</v>
          </cell>
          <cell r="BB262">
            <v>28.445342000000014</v>
          </cell>
          <cell r="BC262">
            <v>43.405036999999972</v>
          </cell>
          <cell r="BD262">
            <v>1.1170318418046832</v>
          </cell>
          <cell r="BE262">
            <v>37.565207999999998</v>
          </cell>
          <cell r="BF262">
            <v>36.675849000000014</v>
          </cell>
          <cell r="BG262">
            <v>49.515926999999976</v>
          </cell>
          <cell r="BH262">
            <v>1.1448752365191008</v>
          </cell>
          <cell r="BI262">
            <v>42.319755000000022</v>
          </cell>
          <cell r="BJ262">
            <v>44.735036000000022</v>
          </cell>
          <cell r="BK262">
            <v>57.220379000000015</v>
          </cell>
          <cell r="BL262">
            <v>1.0991911848159508</v>
          </cell>
          <cell r="BM262">
            <v>47.205652999999984</v>
          </cell>
          <cell r="BN262">
            <v>48.939731000000023</v>
          </cell>
          <cell r="BO262">
            <v>64.55908100000002</v>
          </cell>
          <cell r="BP262">
            <v>1.0281893705934537</v>
          </cell>
          <cell r="BT262">
            <v>1.0202820125786163</v>
          </cell>
          <cell r="BX262">
            <v>1.224045910866348</v>
          </cell>
          <cell r="CB262">
            <v>1.1603190573524462</v>
          </cell>
        </row>
        <row r="263">
          <cell r="A263" t="str">
            <v>(1)  TRx Other = TRx FRX Products - Celexa - Lexapro - Tiazac - Namenda.</v>
          </cell>
          <cell r="C263">
            <v>101.109179</v>
          </cell>
          <cell r="D263">
            <v>129.783469</v>
          </cell>
          <cell r="E263">
            <v>108.712907</v>
          </cell>
          <cell r="F263">
            <v>108.774777</v>
          </cell>
          <cell r="G263">
            <v>148.58795699999999</v>
          </cell>
          <cell r="H263">
            <v>1.1805616538637669</v>
          </cell>
          <cell r="I263">
            <v>119.666382</v>
          </cell>
          <cell r="J263">
            <v>123.953686</v>
          </cell>
          <cell r="K263">
            <v>157.045659</v>
          </cell>
          <cell r="L263">
            <v>1.2356653549256595</v>
          </cell>
          <cell r="M263">
            <v>121.690923</v>
          </cell>
          <cell r="N263">
            <v>130.751912</v>
          </cell>
          <cell r="O263">
            <v>160.91720799999999</v>
          </cell>
          <cell r="P263">
            <v>1.1793169998972919</v>
          </cell>
          <cell r="Q263">
            <v>131.25651500000001</v>
          </cell>
          <cell r="R263">
            <v>138.601395</v>
          </cell>
          <cell r="S263">
            <v>172.09828400000001</v>
          </cell>
          <cell r="T263">
            <v>1.1745813318733773</v>
          </cell>
          <cell r="U263">
            <v>145.31714400000001</v>
          </cell>
          <cell r="V263">
            <v>184.57474199999999</v>
          </cell>
          <cell r="W263">
            <v>189.95388700000001</v>
          </cell>
          <cell r="X263">
            <v>1.289613479962888</v>
          </cell>
          <cell r="Y263">
            <v>159.49118899999999</v>
          </cell>
          <cell r="Z263">
            <v>160.93192199999999</v>
          </cell>
          <cell r="AA263">
            <v>208.21063799999999</v>
          </cell>
          <cell r="AB263">
            <v>1.2103798188575943</v>
          </cell>
          <cell r="AC263">
            <v>163.02112</v>
          </cell>
          <cell r="AD263">
            <v>166.00176099999999</v>
          </cell>
          <cell r="AE263">
            <v>208.38326699999999</v>
          </cell>
          <cell r="AF263">
            <v>1.1502970917551572</v>
          </cell>
          <cell r="AG263">
            <v>173.498729</v>
          </cell>
          <cell r="AH263">
            <v>176.983341</v>
          </cell>
          <cell r="AI263">
            <v>225.489869</v>
          </cell>
          <cell r="AJ263">
            <v>1.0834706968974734</v>
          </cell>
          <cell r="AK263">
            <v>189.05109400000001</v>
          </cell>
          <cell r="AL263">
            <v>194.050972</v>
          </cell>
          <cell r="AM263">
            <v>246.57077100000001</v>
          </cell>
          <cell r="AN263">
            <v>1.0730620944103615</v>
          </cell>
          <cell r="AO263">
            <v>204.26030900000001</v>
          </cell>
          <cell r="AP263">
            <v>206.009906</v>
          </cell>
          <cell r="AQ263">
            <v>263.16938499999998</v>
          </cell>
          <cell r="AR263">
            <v>1.0842691998067941</v>
          </cell>
          <cell r="AS263">
            <v>217.14373000000001</v>
          </cell>
          <cell r="AT263">
            <v>216.06075100000001</v>
          </cell>
          <cell r="AU263">
            <v>278.94102299999997</v>
          </cell>
          <cell r="AV263">
            <v>1.1757396466897803</v>
          </cell>
          <cell r="AW263">
            <v>218.10978399999999</v>
          </cell>
          <cell r="AX263">
            <v>226.99171999999999</v>
          </cell>
          <cell r="AY263">
            <v>280.97131100000001</v>
          </cell>
          <cell r="AZ263">
            <v>1.1725982154392764</v>
          </cell>
          <cell r="BA263">
            <v>233.333898</v>
          </cell>
          <cell r="BB263">
            <v>240.40549100000001</v>
          </cell>
          <cell r="BC263">
            <v>308.62971299999998</v>
          </cell>
          <cell r="BD263">
            <v>1.1170318418046832</v>
          </cell>
          <cell r="BE263">
            <v>251.277277</v>
          </cell>
          <cell r="BF263">
            <v>252.76580000000001</v>
          </cell>
          <cell r="BG263">
            <v>326.10595699999999</v>
          </cell>
          <cell r="BH263">
            <v>1.1448752365191008</v>
          </cell>
          <cell r="BI263">
            <v>259.18994800000002</v>
          </cell>
          <cell r="BJ263">
            <v>267.37206600000002</v>
          </cell>
          <cell r="BK263">
            <v>333.44516900000002</v>
          </cell>
          <cell r="BL263">
            <v>1.0991911848159508</v>
          </cell>
          <cell r="BM263">
            <v>266.23014699999999</v>
          </cell>
          <cell r="BN263">
            <v>271.84376200000003</v>
          </cell>
          <cell r="BO263">
            <v>342.75536099999999</v>
          </cell>
          <cell r="BP263">
            <v>1.0281893705934537</v>
          </cell>
          <cell r="BQ263">
            <v>277.388779</v>
          </cell>
          <cell r="BR263">
            <v>248.29356899999999</v>
          </cell>
          <cell r="BT263">
            <v>1.0202820125786163</v>
          </cell>
          <cell r="BX263">
            <v>1.224045910866348</v>
          </cell>
          <cell r="CB263">
            <v>1.1603190573524462</v>
          </cell>
        </row>
        <row r="264">
          <cell r="A264" t="str">
            <v>(1)  TRx Other = TRx FRX Products - Celexa - Lexapro - Tiazac - Namenda.</v>
          </cell>
          <cell r="C264">
            <v>2488268</v>
          </cell>
          <cell r="D264">
            <v>2437806</v>
          </cell>
          <cell r="E264">
            <v>2623091</v>
          </cell>
          <cell r="F264">
            <v>2620018</v>
          </cell>
          <cell r="G264">
            <v>2743656</v>
          </cell>
          <cell r="H264">
            <v>7986765</v>
          </cell>
          <cell r="I264">
            <v>2969954</v>
          </cell>
          <cell r="J264">
            <v>2676767</v>
          </cell>
          <cell r="K264">
            <v>2927114</v>
          </cell>
          <cell r="L264">
            <v>8573835</v>
          </cell>
          <cell r="M264">
            <v>2793359</v>
          </cell>
          <cell r="N264">
            <v>2944784</v>
          </cell>
          <cell r="O264">
            <v>2851372</v>
          </cell>
          <cell r="P264">
            <v>8589515</v>
          </cell>
          <cell r="Q264">
            <v>2968888</v>
          </cell>
          <cell r="R264">
            <v>3116716</v>
          </cell>
          <cell r="S264">
            <v>2982615</v>
          </cell>
          <cell r="T264">
            <v>9068219</v>
          </cell>
          <cell r="U264">
            <v>3388001</v>
          </cell>
          <cell r="V264">
            <v>3321194</v>
          </cell>
          <cell r="W264">
            <v>3441151</v>
          </cell>
          <cell r="X264">
            <v>0.4200501611632772</v>
          </cell>
          <cell r="Y264">
            <v>3643122</v>
          </cell>
          <cell r="Z264">
            <v>3393814</v>
          </cell>
          <cell r="AA264">
            <v>3605976</v>
          </cell>
          <cell r="AB264">
            <v>0.31938849114488876</v>
          </cell>
          <cell r="AC264">
            <v>3621767</v>
          </cell>
          <cell r="AD264">
            <v>3662120</v>
          </cell>
          <cell r="AE264">
            <v>3429400</v>
          </cell>
          <cell r="AF264">
            <v>0.30009215235155184</v>
          </cell>
          <cell r="AG264">
            <v>3663173</v>
          </cell>
          <cell r="AH264">
            <v>3631838</v>
          </cell>
          <cell r="AI264">
            <v>3585139</v>
          </cell>
          <cell r="AJ264">
            <v>0.30323309599321968</v>
          </cell>
          <cell r="AK264">
            <v>3905628</v>
          </cell>
          <cell r="AL264">
            <v>3850515</v>
          </cell>
          <cell r="AM264">
            <v>4160852</v>
          </cell>
          <cell r="AN264">
            <v>0.21126855252894416</v>
          </cell>
          <cell r="AO264">
            <v>4195926</v>
          </cell>
          <cell r="AP264">
            <v>3880564</v>
          </cell>
          <cell r="AQ264">
            <v>4251392</v>
          </cell>
          <cell r="AR264">
            <v>0.27392471871863022</v>
          </cell>
          <cell r="AS264">
            <v>4179020</v>
          </cell>
          <cell r="AT264">
            <v>4256223</v>
          </cell>
          <cell r="AU264">
            <v>4158433</v>
          </cell>
          <cell r="AV264">
            <v>0.32515325075886548</v>
          </cell>
          <cell r="AW264">
            <v>0.25712611992679202</v>
          </cell>
          <cell r="AX264">
            <v>0.28255980883534115</v>
          </cell>
          <cell r="AY264">
            <v>0.24604849098564174</v>
          </cell>
          <cell r="AZ264">
            <v>0.26060449448388834</v>
          </cell>
          <cell r="BA264">
            <v>0.2342372268948627</v>
          </cell>
          <cell r="BB264">
            <v>0.23887805622535097</v>
          </cell>
          <cell r="BC264">
            <v>0.25168815325641325</v>
          </cell>
          <cell r="BD264">
            <v>0.24250095609571276</v>
          </cell>
          <cell r="BE264">
            <v>0.23018161594967523</v>
          </cell>
          <cell r="BF264">
            <v>0.22695944533851686</v>
          </cell>
          <cell r="BG264">
            <v>0.23914853165766226</v>
          </cell>
          <cell r="BH264">
            <v>0.23270005803044569</v>
          </cell>
          <cell r="BI264">
            <v>0.193633120330023</v>
          </cell>
          <cell r="BJ264">
            <v>0.2374855903375066</v>
          </cell>
          <cell r="BK264">
            <v>0.19539666634118591</v>
          </cell>
          <cell r="BL264">
            <v>0.20762846661178957</v>
          </cell>
          <cell r="BM264">
            <v>0.22062450440095804</v>
          </cell>
          <cell r="BN264">
            <v>0.19759329547350912</v>
          </cell>
          <cell r="BO264">
            <v>0.21989451442606534</v>
          </cell>
          <cell r="BP264">
            <v>0.2131417838581382</v>
          </cell>
          <cell r="BQ264">
            <v>0.18880617594619697</v>
          </cell>
          <cell r="BR264">
            <v>3.2811555040562546E-2</v>
          </cell>
          <cell r="BS264">
            <v>4407653</v>
          </cell>
          <cell r="BT264">
            <v>13566575</v>
          </cell>
        </row>
        <row r="265">
          <cell r="A265" t="str">
            <v>TOTAL OTHER SALES (IMS)</v>
          </cell>
          <cell r="S265">
            <v>0.22348332886209987</v>
          </cell>
          <cell r="U265">
            <v>27.460021000000008</v>
          </cell>
          <cell r="V265">
            <v>0.26762258885244306</v>
          </cell>
          <cell r="W265">
            <v>0.25422101021410848</v>
          </cell>
          <cell r="X265">
            <v>92.816577000000024</v>
          </cell>
          <cell r="Y265">
            <v>0.22665940280556529</v>
          </cell>
          <cell r="Z265">
            <v>0.26787800357670277</v>
          </cell>
          <cell r="AA265">
            <v>0.23192195452585729</v>
          </cell>
          <cell r="AB265">
            <v>86.574285999999901</v>
          </cell>
          <cell r="AC265">
            <v>0.29656338479944755</v>
          </cell>
          <cell r="AD265">
            <v>0.24359545555803064</v>
          </cell>
          <cell r="AE265">
            <v>0.20271925234588828</v>
          </cell>
          <cell r="AF265">
            <v>75.730041</v>
          </cell>
          <cell r="AG265">
            <v>22.950661000000011</v>
          </cell>
          <cell r="AH265">
            <v>22.623218999999985</v>
          </cell>
          <cell r="AI265">
            <v>29.630310999999988</v>
          </cell>
          <cell r="AJ265">
            <v>75.204191000000023</v>
          </cell>
          <cell r="AK265">
            <v>24.331519000000007</v>
          </cell>
          <cell r="AL265">
            <v>24.120228000000004</v>
          </cell>
          <cell r="AM265">
            <v>29.583020000000008</v>
          </cell>
          <cell r="AN265">
            <v>78.034767000000087</v>
          </cell>
          <cell r="AO265">
            <v>24.320904000000009</v>
          </cell>
          <cell r="AP265">
            <v>24.414339000000002</v>
          </cell>
          <cell r="AQ265">
            <v>29.415835999999977</v>
          </cell>
          <cell r="AR265">
            <v>78.151078999999939</v>
          </cell>
          <cell r="AS265">
            <v>26.507576</v>
          </cell>
          <cell r="AT265">
            <v>28.592521000000016</v>
          </cell>
          <cell r="AU265">
            <v>33.779813999999988</v>
          </cell>
          <cell r="AV265">
            <v>88.879910999999993</v>
          </cell>
          <cell r="AW265">
            <v>25.728770999999995</v>
          </cell>
          <cell r="AX265">
            <v>26.984072999999988</v>
          </cell>
          <cell r="AY265">
            <v>34.256639000000014</v>
          </cell>
          <cell r="AZ265">
            <v>86.969483000000011</v>
          </cell>
          <cell r="BA265">
            <v>27.151362999999989</v>
          </cell>
          <cell r="BB265">
            <v>28.445342000000014</v>
          </cell>
          <cell r="BC265">
            <v>43.405036999999972</v>
          </cell>
          <cell r="BD265">
            <v>99.001742000000036</v>
          </cell>
          <cell r="BE265">
            <v>37.565207999999998</v>
          </cell>
          <cell r="BF265">
            <v>36.675849000000014</v>
          </cell>
          <cell r="BG265">
            <v>49.515926999999976</v>
          </cell>
          <cell r="BH265">
            <v>123.75698400000003</v>
          </cell>
          <cell r="BI265">
            <v>42.319755000000022</v>
          </cell>
          <cell r="BJ265">
            <v>44.735036000000022</v>
          </cell>
          <cell r="BK265">
            <v>57.220379000000015</v>
          </cell>
          <cell r="BL265">
            <v>144.27516999999983</v>
          </cell>
          <cell r="BM265">
            <v>47.205652999999984</v>
          </cell>
          <cell r="BN265">
            <v>48.939731000000023</v>
          </cell>
          <cell r="BO265">
            <v>64.55908100000002</v>
          </cell>
          <cell r="BP265">
            <v>160.70446499999991</v>
          </cell>
          <cell r="BQ265">
            <v>54.497441999999999</v>
          </cell>
          <cell r="BR265">
            <v>57.889191999999987</v>
          </cell>
          <cell r="BS265">
            <v>72.913957000000011</v>
          </cell>
          <cell r="BT265">
            <v>185.30059099999991</v>
          </cell>
          <cell r="BU265">
            <v>65.840975</v>
          </cell>
          <cell r="BV265">
            <v>66.68959000000001</v>
          </cell>
          <cell r="BW265">
            <v>83.155996999999999</v>
          </cell>
          <cell r="BX265">
            <v>215.68656199999998</v>
          </cell>
          <cell r="BY265">
            <v>65.633246999999997</v>
          </cell>
          <cell r="BZ265">
            <v>68.465913</v>
          </cell>
        </row>
        <row r="266">
          <cell r="A266" t="str">
            <v xml:space="preserve">  % Change</v>
          </cell>
          <cell r="H266">
            <v>38.824981078071033</v>
          </cell>
          <cell r="L266">
            <v>37.818665742926008</v>
          </cell>
          <cell r="P266">
            <v>40.806494895229832</v>
          </cell>
          <cell r="T266">
            <v>41.49293262546923</v>
          </cell>
          <cell r="X266" t="e">
            <v>#DIV/0!</v>
          </cell>
          <cell r="AB266" t="e">
            <v>#DIV/0!</v>
          </cell>
          <cell r="AF266" t="e">
            <v>#DIV/0!</v>
          </cell>
          <cell r="AG266" t="e">
            <v>#DIV/0!</v>
          </cell>
          <cell r="AH266" t="e">
            <v>#DIV/0!</v>
          </cell>
          <cell r="AI266" t="e">
            <v>#DIV/0!</v>
          </cell>
          <cell r="AJ266">
            <v>48.85952859105803</v>
          </cell>
          <cell r="AK266">
            <v>-0.11392933749030998</v>
          </cell>
          <cell r="AL266" t="e">
            <v>#DIV/0!</v>
          </cell>
          <cell r="AM266" t="e">
            <v>#DIV/0!</v>
          </cell>
          <cell r="AN266">
            <v>49.24060134287209</v>
          </cell>
          <cell r="AO266" t="e">
            <v>#DIV/0!</v>
          </cell>
          <cell r="AP266" t="e">
            <v>#DIV/0!</v>
          </cell>
          <cell r="AQ266" t="e">
            <v>#DIV/0!</v>
          </cell>
          <cell r="AR266">
            <v>50.381728183316483</v>
          </cell>
          <cell r="AS266" t="e">
            <v>#DIV/0!</v>
          </cell>
          <cell r="AT266" t="e">
            <v>#DIV/0!</v>
          </cell>
          <cell r="AU266" t="e">
            <v>#DIV/0!</v>
          </cell>
          <cell r="AV266">
            <v>48.095567966017228</v>
          </cell>
          <cell r="AW266">
            <v>0.12104705829605433</v>
          </cell>
          <cell r="AX266">
            <v>0.19276010191122706</v>
          </cell>
          <cell r="AY266">
            <v>0.15613497948097899</v>
          </cell>
          <cell r="AZ266">
            <v>47.971577769853099</v>
          </cell>
          <cell r="BA266">
            <v>0.11589264114583142</v>
          </cell>
          <cell r="BB266">
            <v>0.17931480581361048</v>
          </cell>
          <cell r="BC266">
            <v>0.46722805852816784</v>
          </cell>
          <cell r="BD266">
            <v>50.163852589608616</v>
          </cell>
          <cell r="BE266">
            <v>0.54456462638066339</v>
          </cell>
          <cell r="BF266">
            <v>0.50222576167227029</v>
          </cell>
          <cell r="BG266">
            <v>0.68330850770313023</v>
          </cell>
          <cell r="BH266">
            <v>52.128610073395585</v>
          </cell>
          <cell r="BI266">
            <v>0.5965154641073187</v>
          </cell>
          <cell r="BJ266">
            <v>0.56457123875156023</v>
          </cell>
          <cell r="BK266">
            <v>0.69392226375195665</v>
          </cell>
          <cell r="BL266">
            <v>56.818470650689136</v>
          </cell>
          <cell r="BM266">
            <v>0.83474185377917953</v>
          </cell>
          <cell r="BN266">
            <v>0.81365248307770455</v>
          </cell>
          <cell r="BO266">
            <v>0.88457136731948505</v>
          </cell>
          <cell r="BP266">
            <v>60.84429448729442</v>
          </cell>
          <cell r="BQ266">
            <v>1.0071715000090427</v>
          </cell>
          <cell r="BR266">
            <v>1.0351026892206097</v>
          </cell>
          <cell r="BS266">
            <v>0.67985012891476293</v>
          </cell>
          <cell r="BT266">
            <v>58.599904544809576</v>
          </cell>
          <cell r="BU266">
            <v>0.75271157822419088</v>
          </cell>
          <cell r="BV266">
            <v>0.81835163515914755</v>
          </cell>
          <cell r="BW266">
            <v>0.6793787784685934</v>
          </cell>
          <cell r="BX266">
            <v>0.74282335451872306</v>
          </cell>
          <cell r="BY266">
            <v>0.55088910604515462</v>
          </cell>
          <cell r="BZ266">
            <v>0.53047631391198546</v>
          </cell>
        </row>
        <row r="267">
          <cell r="A267" t="str">
            <v>IMS SALES/REPORTED SALES</v>
          </cell>
          <cell r="H267">
            <v>1.1805616538637669</v>
          </cell>
          <cell r="L267">
            <v>1.2356653549256595</v>
          </cell>
          <cell r="P267">
            <v>1.1793169998972919</v>
          </cell>
          <cell r="T267">
            <v>1.1745813318733773</v>
          </cell>
          <cell r="X267">
            <v>1.289613479962888</v>
          </cell>
          <cell r="AB267">
            <v>1.2103798188575943</v>
          </cell>
          <cell r="AF267">
            <v>1.1502970917551572</v>
          </cell>
          <cell r="AJ267">
            <v>1.0834706968974734</v>
          </cell>
          <cell r="AN267">
            <v>1.0730620944103615</v>
          </cell>
          <cell r="AR267">
            <v>1.0842691998067941</v>
          </cell>
          <cell r="AV267">
            <v>1.1757396466897803</v>
          </cell>
          <cell r="AZ267">
            <v>1.1725982154392764</v>
          </cell>
          <cell r="BD267">
            <v>1.1170318418046832</v>
          </cell>
          <cell r="BH267">
            <v>1.1448752365191008</v>
          </cell>
          <cell r="BL267">
            <v>1.0991911848159508</v>
          </cell>
          <cell r="BP267">
            <v>1.0281893705934537</v>
          </cell>
          <cell r="BT267">
            <v>0.13506567675613934</v>
          </cell>
        </row>
        <row r="268">
          <cell r="A268" t="str">
            <v>REPORTED OTHER SALES/TRx OTHER</v>
          </cell>
          <cell r="C268">
            <v>101.109179</v>
          </cell>
          <cell r="D268">
            <v>129.783469</v>
          </cell>
          <cell r="E268">
            <v>108.712907</v>
          </cell>
          <cell r="F268">
            <v>108.774777</v>
          </cell>
          <cell r="G268">
            <v>148.58795699999999</v>
          </cell>
          <cell r="H268">
            <v>366.07564100000002</v>
          </cell>
          <cell r="I268">
            <v>119.666382</v>
          </cell>
          <cell r="J268">
            <v>123.953686</v>
          </cell>
          <cell r="K268">
            <v>157.045659</v>
          </cell>
          <cell r="L268">
            <v>400.665727</v>
          </cell>
          <cell r="M268">
            <v>121.690923</v>
          </cell>
          <cell r="N268">
            <v>130.751912</v>
          </cell>
          <cell r="O268">
            <v>160.91720799999999</v>
          </cell>
          <cell r="P268">
            <v>413.36004300000002</v>
          </cell>
          <cell r="Q268">
            <v>131.25651500000001</v>
          </cell>
          <cell r="R268">
            <v>138.601395</v>
          </cell>
          <cell r="S268">
            <v>172.09828400000001</v>
          </cell>
          <cell r="T268">
            <v>441.95619399999998</v>
          </cell>
          <cell r="U268">
            <v>145.31714400000001</v>
          </cell>
          <cell r="V268">
            <v>184.57474199999999</v>
          </cell>
          <cell r="W268">
            <v>189.95388700000001</v>
          </cell>
          <cell r="X268">
            <v>17.256710454605599</v>
          </cell>
          <cell r="Y268">
            <v>159.49118899999999</v>
          </cell>
          <cell r="Z268">
            <v>160.93192199999999</v>
          </cell>
          <cell r="AA268">
            <v>208.21063799999999</v>
          </cell>
          <cell r="AB268">
            <v>17.158210573355269</v>
          </cell>
          <cell r="AC268">
            <v>163.02112</v>
          </cell>
          <cell r="AD268">
            <v>166.00176099999999</v>
          </cell>
          <cell r="AE268">
            <v>208.38326699999999</v>
          </cell>
          <cell r="AF268">
            <v>17.505168279370814</v>
          </cell>
          <cell r="AG268">
            <v>173.498729</v>
          </cell>
          <cell r="AH268">
            <v>176.983341</v>
          </cell>
          <cell r="AI268">
            <v>225.489869</v>
          </cell>
          <cell r="AJ268">
            <v>18.790952295195016</v>
          </cell>
          <cell r="AK268">
            <v>189.05109400000001</v>
          </cell>
          <cell r="AL268">
            <v>194.050972</v>
          </cell>
          <cell r="AM268">
            <v>246.57077100000001</v>
          </cell>
          <cell r="AN268">
            <v>19.669541933950363</v>
          </cell>
          <cell r="AO268">
            <v>204.26030900000001</v>
          </cell>
          <cell r="AP268">
            <v>206.009906</v>
          </cell>
          <cell r="AQ268">
            <v>263.16938499999998</v>
          </cell>
          <cell r="AR268">
            <v>20.354621627136421</v>
          </cell>
          <cell r="AS268">
            <v>217.14373000000001</v>
          </cell>
          <cell r="AT268">
            <v>216.06075100000001</v>
          </cell>
          <cell r="AU268">
            <v>278.94102299999997</v>
          </cell>
          <cell r="AV268">
            <v>19.344826366183817</v>
          </cell>
          <cell r="AW268">
            <v>218.10978399999999</v>
          </cell>
          <cell r="AX268">
            <v>226.99171999999999</v>
          </cell>
          <cell r="AY268">
            <v>280.97131100000001</v>
          </cell>
          <cell r="AZ268">
            <v>19.500560641118433</v>
          </cell>
          <cell r="BA268">
            <v>233.333898</v>
          </cell>
          <cell r="BB268">
            <v>240.40549100000001</v>
          </cell>
          <cell r="BC268">
            <v>308.62971299999998</v>
          </cell>
          <cell r="BD268">
            <v>16.888443233885535</v>
          </cell>
          <cell r="BE268">
            <v>251.277277</v>
          </cell>
          <cell r="BF268">
            <v>252.76580000000001</v>
          </cell>
          <cell r="BG268">
            <v>326.10595699999999</v>
          </cell>
          <cell r="BH268">
            <v>18.102933278622245</v>
          </cell>
          <cell r="BI268">
            <v>259.18994800000002</v>
          </cell>
          <cell r="BJ268">
            <v>267.37206600000002</v>
          </cell>
          <cell r="BK268">
            <v>333.44516900000002</v>
          </cell>
          <cell r="BL268">
            <v>20.811269402024756</v>
          </cell>
          <cell r="BM268">
            <v>266.23014699999999</v>
          </cell>
          <cell r="BN268">
            <v>271.84376200000003</v>
          </cell>
          <cell r="BO268">
            <v>342.75536099999999</v>
          </cell>
          <cell r="BP268">
            <v>22.409482081218719</v>
          </cell>
          <cell r="BQ268">
            <v>277.388779</v>
          </cell>
          <cell r="BR268">
            <v>248.29356899999999</v>
          </cell>
          <cell r="BS268">
            <v>285.44185199999998</v>
          </cell>
          <cell r="BT268">
            <v>31.38298125876171</v>
          </cell>
          <cell r="BX268">
            <v>21.849189199629354</v>
          </cell>
          <cell r="CB268">
            <v>19.801750210220359</v>
          </cell>
        </row>
        <row r="269">
          <cell r="A269" t="str">
            <v>IMS SALES/REPORTED SALES</v>
          </cell>
          <cell r="X269">
            <v>1.2441900402144777</v>
          </cell>
          <cell r="AB269">
            <v>1.1302126109660562</v>
          </cell>
          <cell r="AF269">
            <v>1.0518061249999999</v>
          </cell>
          <cell r="AJ269">
            <v>1.0094522281879197</v>
          </cell>
          <cell r="AN269">
            <v>0.96817328784119228</v>
          </cell>
          <cell r="AR269">
            <v>0.96245171182265932</v>
          </cell>
          <cell r="AV269">
            <v>1.1694725131578947</v>
          </cell>
          <cell r="AZ269">
            <v>1.1149933717948719</v>
          </cell>
          <cell r="BD269">
            <v>1.2924509399477813</v>
          </cell>
          <cell r="BH269">
            <v>1.7188470000000005</v>
          </cell>
          <cell r="BL269">
            <v>1.9736685362517079</v>
          </cell>
          <cell r="BP269">
            <v>2.1549086167131533</v>
          </cell>
          <cell r="BT269">
            <v>1.5635333462713255</v>
          </cell>
          <cell r="BX269">
            <v>2.3251607554817704</v>
          </cell>
        </row>
        <row r="270">
          <cell r="A270" t="str">
            <v>Projected Sales for Quarter (based on TRx and Price)</v>
          </cell>
          <cell r="AJ270">
            <v>69.402285542846201</v>
          </cell>
        </row>
        <row r="272">
          <cell r="A272" t="str">
            <v>TRx FRX PRODUCTS</v>
          </cell>
          <cell r="C272">
            <v>2488268</v>
          </cell>
          <cell r="D272">
            <v>2437806</v>
          </cell>
          <cell r="E272">
            <v>2623091</v>
          </cell>
          <cell r="F272">
            <v>2620018</v>
          </cell>
          <cell r="G272">
            <v>2743656</v>
          </cell>
          <cell r="H272">
            <v>7986765</v>
          </cell>
          <cell r="I272">
            <v>2969954</v>
          </cell>
          <cell r="J272">
            <v>2676767</v>
          </cell>
          <cell r="K272">
            <v>2927114</v>
          </cell>
          <cell r="L272">
            <v>8573835</v>
          </cell>
          <cell r="M272">
            <v>2793359</v>
          </cell>
          <cell r="N272">
            <v>2944784</v>
          </cell>
          <cell r="O272">
            <v>2851372</v>
          </cell>
          <cell r="P272">
            <v>8589515</v>
          </cell>
          <cell r="Q272">
            <v>2968888</v>
          </cell>
          <cell r="R272">
            <v>3116716</v>
          </cell>
          <cell r="S272">
            <v>2982615</v>
          </cell>
          <cell r="T272">
            <v>9068219</v>
          </cell>
          <cell r="U272">
            <v>3388001</v>
          </cell>
          <cell r="V272">
            <v>3321194</v>
          </cell>
          <cell r="W272">
            <v>3441151</v>
          </cell>
          <cell r="X272">
            <v>10150346</v>
          </cell>
          <cell r="Y272">
            <v>3643122</v>
          </cell>
          <cell r="Z272">
            <v>3393814</v>
          </cell>
          <cell r="AA272">
            <v>3605976</v>
          </cell>
          <cell r="AB272">
            <v>10642912</v>
          </cell>
          <cell r="AC272">
            <v>3621767</v>
          </cell>
          <cell r="AD272">
            <v>3662120</v>
          </cell>
          <cell r="AE272">
            <v>3429400</v>
          </cell>
          <cell r="AF272">
            <v>10713287</v>
          </cell>
          <cell r="AG272">
            <v>3663173</v>
          </cell>
          <cell r="AH272">
            <v>3631838</v>
          </cell>
          <cell r="AI272">
            <v>3585139</v>
          </cell>
          <cell r="AJ272">
            <v>10880150</v>
          </cell>
          <cell r="AK272">
            <v>3905628</v>
          </cell>
          <cell r="AL272">
            <v>3850515</v>
          </cell>
          <cell r="AM272">
            <v>4160852</v>
          </cell>
          <cell r="AN272">
            <v>11916995</v>
          </cell>
          <cell r="AO272">
            <v>4195926</v>
          </cell>
          <cell r="AP272">
            <v>3880564</v>
          </cell>
          <cell r="AQ272">
            <v>4251392</v>
          </cell>
          <cell r="AR272">
            <v>12327882</v>
          </cell>
          <cell r="AS272">
            <v>4179020</v>
          </cell>
          <cell r="AT272">
            <v>4256223</v>
          </cell>
          <cell r="AU272">
            <v>4158433</v>
          </cell>
          <cell r="AV272">
            <v>12593676</v>
          </cell>
          <cell r="AW272">
            <v>4304040</v>
          </cell>
          <cell r="AX272">
            <v>4232446</v>
          </cell>
          <cell r="AY272">
            <v>4371157</v>
          </cell>
          <cell r="AZ272">
            <v>12907643</v>
          </cell>
          <cell r="BA272">
            <v>4594712</v>
          </cell>
          <cell r="BB272">
            <v>4360598</v>
          </cell>
          <cell r="BC272">
            <v>5006935</v>
          </cell>
          <cell r="BD272">
            <v>13962245</v>
          </cell>
          <cell r="BE272">
            <v>4679774</v>
          </cell>
          <cell r="BF272">
            <v>4380708</v>
          </cell>
          <cell r="BG272">
            <v>4849346</v>
          </cell>
          <cell r="BH272">
            <v>13909828</v>
          </cell>
          <cell r="BI272">
            <v>4577703</v>
          </cell>
          <cell r="BJ272">
            <v>4504969</v>
          </cell>
          <cell r="BK272">
            <v>4687498</v>
          </cell>
          <cell r="BL272">
            <v>13770170</v>
          </cell>
          <cell r="BM272">
            <v>4648030</v>
          </cell>
          <cell r="BN272">
            <v>4744540</v>
          </cell>
          <cell r="BO272">
            <v>4687304</v>
          </cell>
          <cell r="BP272">
            <v>14079874</v>
          </cell>
          <cell r="BQ272">
            <v>4717154</v>
          </cell>
          <cell r="BR272">
            <v>4441768</v>
          </cell>
          <cell r="BS272">
            <v>4407653</v>
          </cell>
          <cell r="BT272">
            <v>13566575</v>
          </cell>
          <cell r="BU272">
            <v>4337814</v>
          </cell>
          <cell r="BV272">
            <v>4063096</v>
          </cell>
          <cell r="BW272">
            <v>4443748</v>
          </cell>
          <cell r="BX272">
            <v>12844658</v>
          </cell>
          <cell r="BY272">
            <v>4189099</v>
          </cell>
          <cell r="BZ272">
            <v>4294051</v>
          </cell>
          <cell r="CA272">
            <v>4223793</v>
          </cell>
          <cell r="CB272">
            <v>12706943</v>
          </cell>
        </row>
        <row r="273">
          <cell r="A273" t="str">
            <v xml:space="preserve">  % Change</v>
          </cell>
          <cell r="S273">
            <v>0.22348332886209987</v>
          </cell>
          <cell r="U273">
            <v>0.29160635296297377</v>
          </cell>
          <cell r="V273">
            <v>0.26762258885244306</v>
          </cell>
          <cell r="W273">
            <v>0.25422101021410848</v>
          </cell>
          <cell r="X273">
            <v>0.27089578821963589</v>
          </cell>
          <cell r="Y273">
            <v>0.22665940280556529</v>
          </cell>
          <cell r="Z273">
            <v>0.26787800357670277</v>
          </cell>
          <cell r="AA273">
            <v>0.23192195452585729</v>
          </cell>
          <cell r="AB273">
            <v>0.24132456479510034</v>
          </cell>
          <cell r="AC273">
            <v>0.29656338479944755</v>
          </cell>
          <cell r="AD273">
            <v>0.24359545555803064</v>
          </cell>
          <cell r="AE273">
            <v>0.20271925234588828</v>
          </cell>
          <cell r="AF273">
            <v>0.24725167835436568</v>
          </cell>
          <cell r="AG273">
            <v>0.23385355055495527</v>
          </cell>
          <cell r="AH273">
            <v>0.16527716994426189</v>
          </cell>
          <cell r="AI273">
            <v>0.20201199283179361</v>
          </cell>
          <cell r="AJ273">
            <v>0.19981112057395167</v>
          </cell>
          <cell r="AK273">
            <v>0.15278242243730156</v>
          </cell>
          <cell r="AL273">
            <v>0.15937671813209353</v>
          </cell>
          <cell r="AM273">
            <v>0.20914542837556382</v>
          </cell>
          <cell r="AN273">
            <v>0.17404815559981901</v>
          </cell>
          <cell r="AO273">
            <v>0.15173908532297298</v>
          </cell>
          <cell r="AP273">
            <v>0.1434227096711842</v>
          </cell>
          <cell r="AQ273">
            <v>0.17898510694469394</v>
          </cell>
          <cell r="AR273">
            <v>0.15831851282806819</v>
          </cell>
          <cell r="AS273">
            <v>0.15386218936778651</v>
          </cell>
          <cell r="AT273">
            <v>0.16222925518552089</v>
          </cell>
          <cell r="AU273">
            <v>0.21258325071441075</v>
          </cell>
          <cell r="AV273">
            <v>0.175519334075527</v>
          </cell>
          <cell r="AW273">
            <v>0.17494860330101791</v>
          </cell>
          <cell r="AX273">
            <v>0.16537301498580059</v>
          </cell>
          <cell r="AY273">
            <v>0.2192433821952231</v>
          </cell>
          <cell r="AZ273">
            <v>0.18634789042430477</v>
          </cell>
          <cell r="BA273">
            <v>0.17643359787465673</v>
          </cell>
          <cell r="BB273">
            <v>0.13247137071274873</v>
          </cell>
          <cell r="BC273">
            <v>0.20334369018652909</v>
          </cell>
          <cell r="BD273">
            <v>0.17162464195042459</v>
          </cell>
          <cell r="BE273">
            <v>0.11531375910823982</v>
          </cell>
          <cell r="BF273">
            <v>0.128884358046923</v>
          </cell>
          <cell r="BG273">
            <v>0.14064899214186788</v>
          </cell>
          <cell r="BH273">
            <v>0.12832261048572668</v>
          </cell>
          <cell r="BI273">
            <v>9.5401074893156856E-2</v>
          </cell>
          <cell r="BJ273">
            <v>5.8442896436582403E-2</v>
          </cell>
          <cell r="BK273">
            <v>0.12722701075140574</v>
          </cell>
          <cell r="BL273">
            <v>9.3419427337974925E-2</v>
          </cell>
          <cell r="BM273">
            <v>7.9922584362598803E-2</v>
          </cell>
          <cell r="BN273">
            <v>0.12099244739330395</v>
          </cell>
          <cell r="BO273">
            <v>7.2325702325494179E-2</v>
          </cell>
          <cell r="BP273">
            <v>9.0816812953379733E-2</v>
          </cell>
          <cell r="BQ273">
            <v>2.6648460229933946E-2</v>
          </cell>
          <cell r="BR273">
            <v>1.8614419398440329E-2</v>
          </cell>
          <cell r="BS273">
            <v>-0.11969038942986077</v>
          </cell>
          <cell r="BT273">
            <v>-2.8338565896816714E-2</v>
          </cell>
          <cell r="BU273">
            <v>-7.3071904754374861E-2</v>
          </cell>
          <cell r="BV273">
            <v>-7.2502435679346777E-2</v>
          </cell>
          <cell r="BW273">
            <v>-8.3639732038093384E-2</v>
          </cell>
          <cell r="BX273">
            <v>-7.6576791603749528E-2</v>
          </cell>
          <cell r="BY273">
            <v>-8.4890609984964116E-2</v>
          </cell>
          <cell r="BZ273">
            <v>-4.681896812164521E-2</v>
          </cell>
          <cell r="CA273">
            <v>-9.8923775540810888E-2</v>
          </cell>
          <cell r="CB273">
            <v>-7.7212336521626068E-2</v>
          </cell>
        </row>
        <row r="274">
          <cell r="A274" t="str">
            <v xml:space="preserve">TOTAL FRX REPORTED SALES </v>
          </cell>
          <cell r="H274">
            <v>310.08600000000001</v>
          </cell>
          <cell r="L274">
            <v>324.25099999999998</v>
          </cell>
          <cell r="P274">
            <v>350.50800000000004</v>
          </cell>
          <cell r="T274">
            <v>376.26699999999994</v>
          </cell>
          <cell r="X274">
            <v>403.10199999999998</v>
          </cell>
          <cell r="AB274">
            <v>436.75029999999998</v>
          </cell>
          <cell r="AF274">
            <v>467.18899999999996</v>
          </cell>
          <cell r="AJ274">
            <v>531.59900000000005</v>
          </cell>
          <cell r="AN274">
            <v>586.79999999999995</v>
          </cell>
          <cell r="AR274">
            <v>621.1</v>
          </cell>
          <cell r="AV274">
            <v>605.70000000000005</v>
          </cell>
          <cell r="AZ274">
            <v>619.20000000000005</v>
          </cell>
          <cell r="BD274">
            <v>700.4</v>
          </cell>
          <cell r="BH274">
            <v>725.1</v>
          </cell>
          <cell r="BL274">
            <v>782.4</v>
          </cell>
          <cell r="BP274">
            <v>856.68</v>
          </cell>
          <cell r="BT274">
            <v>795</v>
          </cell>
          <cell r="BX274">
            <v>618.28499999999997</v>
          </cell>
          <cell r="CB274">
            <v>674.65300000000002</v>
          </cell>
        </row>
        <row r="275">
          <cell r="A275" t="str">
            <v xml:space="preserve">  % Change</v>
          </cell>
          <cell r="X275">
            <v>0.29996839586437307</v>
          </cell>
          <cell r="AB275">
            <v>0.34695128156890798</v>
          </cell>
          <cell r="AF275">
            <v>0.33289111803439564</v>
          </cell>
          <cell r="AJ275">
            <v>0.41282387240975194</v>
          </cell>
          <cell r="AN275">
            <v>0.45571096149361701</v>
          </cell>
          <cell r="AR275">
            <v>0.42209404320958699</v>
          </cell>
          <cell r="AV275">
            <v>0.29647744274801013</v>
          </cell>
          <cell r="AZ275">
            <v>0.16478774414549302</v>
          </cell>
          <cell r="BD275">
            <v>0.19359236537150659</v>
          </cell>
          <cell r="BH275">
            <v>0.16744485590082103</v>
          </cell>
          <cell r="BL275">
            <v>0.29172857850420986</v>
          </cell>
          <cell r="BP275">
            <v>0.38352713178294562</v>
          </cell>
          <cell r="BT275">
            <v>0.13506567675613934</v>
          </cell>
          <cell r="BX275">
            <v>-0.14731071576334309</v>
          </cell>
          <cell r="CB275">
            <v>-0.1377134458077709</v>
          </cell>
        </row>
        <row r="276">
          <cell r="A276" t="str">
            <v>TOTAL FRX SALES (IMS)</v>
          </cell>
          <cell r="C276">
            <v>101.109179</v>
          </cell>
          <cell r="D276">
            <v>129.783469</v>
          </cell>
          <cell r="E276">
            <v>108.712907</v>
          </cell>
          <cell r="F276">
            <v>108.774777</v>
          </cell>
          <cell r="G276">
            <v>148.58795699999999</v>
          </cell>
          <cell r="H276">
            <v>366.07564100000002</v>
          </cell>
          <cell r="I276">
            <v>119.666382</v>
          </cell>
          <cell r="J276">
            <v>123.953686</v>
          </cell>
          <cell r="K276">
            <v>157.045659</v>
          </cell>
          <cell r="L276">
            <v>400.665727</v>
          </cell>
          <cell r="M276">
            <v>121.690923</v>
          </cell>
          <cell r="N276">
            <v>130.751912</v>
          </cell>
          <cell r="O276">
            <v>160.91720799999999</v>
          </cell>
          <cell r="P276">
            <v>413.36004300000002</v>
          </cell>
          <cell r="Q276">
            <v>131.25651500000001</v>
          </cell>
          <cell r="R276">
            <v>138.601395</v>
          </cell>
          <cell r="S276">
            <v>172.09828400000001</v>
          </cell>
          <cell r="T276">
            <v>441.95619399999998</v>
          </cell>
          <cell r="U276">
            <v>145.31714400000001</v>
          </cell>
          <cell r="V276">
            <v>184.57474199999999</v>
          </cell>
          <cell r="W276">
            <v>189.95388700000001</v>
          </cell>
          <cell r="X276">
            <v>519.84577300000001</v>
          </cell>
          <cell r="Y276">
            <v>159.49118899999999</v>
          </cell>
          <cell r="Z276">
            <v>160.93192199999999</v>
          </cell>
          <cell r="AA276">
            <v>208.21063799999999</v>
          </cell>
          <cell r="AB276">
            <v>528.63374899999997</v>
          </cell>
          <cell r="AC276">
            <v>163.02112</v>
          </cell>
          <cell r="AD276">
            <v>166.00176099999999</v>
          </cell>
          <cell r="AE276">
            <v>208.38326699999999</v>
          </cell>
          <cell r="AF276">
            <v>537.40614800000003</v>
          </cell>
          <cell r="AG276">
            <v>173.498729</v>
          </cell>
          <cell r="AH276">
            <v>176.983341</v>
          </cell>
          <cell r="AI276">
            <v>225.489869</v>
          </cell>
          <cell r="AJ276">
            <v>575.97193900000002</v>
          </cell>
          <cell r="AK276">
            <v>189.05109400000001</v>
          </cell>
          <cell r="AL276">
            <v>194.050972</v>
          </cell>
          <cell r="AM276">
            <v>246.57077100000001</v>
          </cell>
          <cell r="AN276">
            <v>629.67283700000007</v>
          </cell>
          <cell r="AO276">
            <v>204.26030900000001</v>
          </cell>
          <cell r="AP276">
            <v>206.009906</v>
          </cell>
          <cell r="AQ276">
            <v>263.16938499999998</v>
          </cell>
          <cell r="AR276">
            <v>673.43959999999993</v>
          </cell>
          <cell r="AS276">
            <v>217.14373000000001</v>
          </cell>
          <cell r="AT276">
            <v>216.06075100000001</v>
          </cell>
          <cell r="AU276">
            <v>278.94102299999997</v>
          </cell>
          <cell r="AV276">
            <v>712.14550399999996</v>
          </cell>
          <cell r="AW276">
            <v>218.10978399999999</v>
          </cell>
          <cell r="AX276">
            <v>226.99171999999999</v>
          </cell>
          <cell r="AY276">
            <v>280.97131100000001</v>
          </cell>
          <cell r="AZ276">
            <v>726.07281499999999</v>
          </cell>
          <cell r="BA276">
            <v>233.333898</v>
          </cell>
          <cell r="BB276">
            <v>240.40549100000001</v>
          </cell>
          <cell r="BC276">
            <v>308.62971299999998</v>
          </cell>
          <cell r="BD276">
            <v>782.369102</v>
          </cell>
          <cell r="BE276">
            <v>251.277277</v>
          </cell>
          <cell r="BF276">
            <v>252.76580000000001</v>
          </cell>
          <cell r="BG276">
            <v>326.10595699999999</v>
          </cell>
          <cell r="BH276">
            <v>830.14903400000003</v>
          </cell>
          <cell r="BI276">
            <v>259.18994800000002</v>
          </cell>
          <cell r="BJ276">
            <v>267.37206600000002</v>
          </cell>
          <cell r="BK276">
            <v>333.44516900000002</v>
          </cell>
          <cell r="BL276">
            <v>860.00718299999994</v>
          </cell>
          <cell r="BM276">
            <v>266.23014699999999</v>
          </cell>
          <cell r="BN276">
            <v>271.84376200000003</v>
          </cell>
          <cell r="BO276">
            <v>342.75536099999999</v>
          </cell>
          <cell r="BP276">
            <v>880.82926999999995</v>
          </cell>
          <cell r="BQ276">
            <v>277.388779</v>
          </cell>
          <cell r="BR276">
            <v>248.29356899999999</v>
          </cell>
          <cell r="BS276">
            <v>285.44185199999998</v>
          </cell>
          <cell r="BT276">
            <v>811.12419999999997</v>
          </cell>
          <cell r="BU276">
            <v>231.89865699999999</v>
          </cell>
          <cell r="BV276">
            <v>235.50991500000001</v>
          </cell>
          <cell r="BW276">
            <v>289.40065399999997</v>
          </cell>
          <cell r="BX276">
            <v>756.80922599999997</v>
          </cell>
          <cell r="BY276">
            <v>232.27586299999999</v>
          </cell>
          <cell r="BZ276">
            <v>247.91507799999999</v>
          </cell>
        </row>
        <row r="277">
          <cell r="A277" t="str">
            <v xml:space="preserve">  % Change</v>
          </cell>
          <cell r="X277">
            <v>0.4200501611632772</v>
          </cell>
          <cell r="AB277">
            <v>0.31938849114488876</v>
          </cell>
          <cell r="AF277">
            <v>0.30009215235155184</v>
          </cell>
          <cell r="AJ277">
            <v>0.30323309599321968</v>
          </cell>
          <cell r="AN277">
            <v>0.21126855252894416</v>
          </cell>
          <cell r="AR277">
            <v>0.27392471871863022</v>
          </cell>
          <cell r="AV277">
            <v>0.32515325075886548</v>
          </cell>
          <cell r="AW277">
            <v>0.25712611992679202</v>
          </cell>
          <cell r="AX277">
            <v>0.28255980883534115</v>
          </cell>
          <cell r="AY277">
            <v>0.24604849098564174</v>
          </cell>
          <cell r="AZ277">
            <v>0.26060449448388834</v>
          </cell>
          <cell r="BA277">
            <v>0.2342372268948627</v>
          </cell>
          <cell r="BB277">
            <v>0.23887805622535097</v>
          </cell>
          <cell r="BC277">
            <v>0.25168815325641325</v>
          </cell>
          <cell r="BD277">
            <v>0.24250095609571276</v>
          </cell>
          <cell r="BE277">
            <v>0.23018161594967523</v>
          </cell>
          <cell r="BF277">
            <v>0.22695944533851686</v>
          </cell>
          <cell r="BG277">
            <v>0.23914853165766226</v>
          </cell>
          <cell r="BH277">
            <v>0.23270005803044569</v>
          </cell>
          <cell r="BI277">
            <v>0.193633120330023</v>
          </cell>
          <cell r="BJ277">
            <v>0.2374855903375066</v>
          </cell>
          <cell r="BK277">
            <v>0.19539666634118591</v>
          </cell>
          <cell r="BL277">
            <v>0.20762846661178957</v>
          </cell>
          <cell r="BM277">
            <v>0.22062450440095804</v>
          </cell>
          <cell r="BN277">
            <v>0.19759329547350912</v>
          </cell>
          <cell r="BO277">
            <v>0.21989451442606534</v>
          </cell>
          <cell r="BP277">
            <v>0.2131417838581382</v>
          </cell>
          <cell r="BQ277">
            <v>0.18880617594619697</v>
          </cell>
          <cell r="BR277">
            <v>3.2811555040562546E-2</v>
          </cell>
          <cell r="BS277">
            <v>-7.5131654611621967E-2</v>
          </cell>
          <cell r="BT277">
            <v>3.6753877327839524E-2</v>
          </cell>
          <cell r="BU277">
            <v>-7.7120463224376712E-2</v>
          </cell>
          <cell r="BV277">
            <v>-6.8268274426366293E-2</v>
          </cell>
          <cell r="BW277">
            <v>-0.11255637075038161</v>
          </cell>
          <cell r="BX277">
            <v>-8.8345351251712834E-2</v>
          </cell>
          <cell r="BY277">
            <v>-0.10383923145044205</v>
          </cell>
          <cell r="BZ277">
            <v>-7.2771207146224537E-2</v>
          </cell>
        </row>
        <row r="279">
          <cell r="A279" t="str">
            <v>REPORTED SALES/TRx FRX PRODUCTS</v>
          </cell>
          <cell r="H279">
            <v>38.824981078071033</v>
          </cell>
          <cell r="L279">
            <v>37.818665742926008</v>
          </cell>
          <cell r="P279">
            <v>40.806494895229832</v>
          </cell>
          <cell r="T279">
            <v>41.49293262546923</v>
          </cell>
          <cell r="X279">
            <v>39.713128990873805</v>
          </cell>
          <cell r="AB279">
            <v>41.036729421421505</v>
          </cell>
          <cell r="AF279">
            <v>43.608371548339917</v>
          </cell>
          <cell r="AJ279">
            <v>48.85952859105803</v>
          </cell>
          <cell r="AN279">
            <v>49.24060134287209</v>
          </cell>
          <cell r="AR279">
            <v>50.381728183316483</v>
          </cell>
          <cell r="AV279">
            <v>48.095567966017228</v>
          </cell>
          <cell r="AZ279">
            <v>47.971577769853099</v>
          </cell>
          <cell r="BD279">
            <v>50.163852589608616</v>
          </cell>
          <cell r="BH279">
            <v>52.128610073395585</v>
          </cell>
          <cell r="BL279">
            <v>56.818470650689136</v>
          </cell>
          <cell r="BP279">
            <v>60.84429448729442</v>
          </cell>
          <cell r="BT279">
            <v>58.599904544809576</v>
          </cell>
          <cell r="BX279">
            <v>48.135575116129992</v>
          </cell>
          <cell r="CB279">
            <v>53.093257756802721</v>
          </cell>
        </row>
        <row r="280">
          <cell r="A280" t="str">
            <v>IMS SALES/REPORTED SALES</v>
          </cell>
          <cell r="H280">
            <v>1.1805616538637669</v>
          </cell>
          <cell r="L280">
            <v>1.2356653549256595</v>
          </cell>
          <cell r="P280">
            <v>1.1793169998972919</v>
          </cell>
          <cell r="T280">
            <v>1.1745813318733773</v>
          </cell>
          <cell r="X280">
            <v>1.289613479962888</v>
          </cell>
          <cell r="AB280">
            <v>1.2103798188575943</v>
          </cell>
          <cell r="AF280">
            <v>1.1502970917551572</v>
          </cell>
          <cell r="AJ280">
            <v>1.0834706968974734</v>
          </cell>
          <cell r="AN280">
            <v>1.0730620944103615</v>
          </cell>
          <cell r="AR280">
            <v>1.0842691998067941</v>
          </cell>
          <cell r="AV280">
            <v>1.1757396466897803</v>
          </cell>
          <cell r="AZ280">
            <v>1.1725982154392764</v>
          </cell>
          <cell r="BD280">
            <v>1.1170318418046832</v>
          </cell>
          <cell r="BH280">
            <v>1.1448752365191008</v>
          </cell>
          <cell r="BL280">
            <v>1.0991911848159508</v>
          </cell>
          <cell r="BP280">
            <v>1.0281893705934537</v>
          </cell>
          <cell r="BT280">
            <v>1.0202820125786163</v>
          </cell>
          <cell r="BX280">
            <v>1.224045910866348</v>
          </cell>
        </row>
        <row r="282">
          <cell r="A282" t="str">
            <v>(1)  TRx Other = TRx FRX Products - Celexa - Lexapro - Tiazac - Namenda.</v>
          </cell>
        </row>
      </sheetData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>
        <row r="6">
          <cell r="C6" t="str">
            <v>Celexa</v>
          </cell>
          <cell r="D6" t="str">
            <v>Y-O-Y</v>
          </cell>
          <cell r="F6" t="str">
            <v>Lexapro</v>
          </cell>
          <cell r="G6" t="str">
            <v>Y-O-Y</v>
          </cell>
          <cell r="I6" t="str">
            <v>Market (1)</v>
          </cell>
          <cell r="J6" t="str">
            <v>Y-O-Y</v>
          </cell>
          <cell r="L6" t="str">
            <v>Celexa</v>
          </cell>
          <cell r="M6" t="str">
            <v>Lexapro</v>
          </cell>
          <cell r="N6" t="str">
            <v>Franchise</v>
          </cell>
          <cell r="O6" t="str">
            <v>Lexapro /</v>
          </cell>
          <cell r="Q6" t="str">
            <v>Celexa</v>
          </cell>
          <cell r="R6" t="str">
            <v>Celexa</v>
          </cell>
          <cell r="T6" t="str">
            <v>Lexapro</v>
          </cell>
          <cell r="U6" t="str">
            <v>Lexapro</v>
          </cell>
          <cell r="V6" t="str">
            <v>Franchise</v>
          </cell>
        </row>
        <row r="7">
          <cell r="A7" t="str">
            <v xml:space="preserve">Date </v>
          </cell>
          <cell r="C7" t="str">
            <v>TRx</v>
          </cell>
          <cell r="D7" t="str">
            <v>Growth</v>
          </cell>
          <cell r="F7" t="str">
            <v>TRx</v>
          </cell>
          <cell r="G7" t="str">
            <v>Growth</v>
          </cell>
          <cell r="I7" t="str">
            <v>TRx</v>
          </cell>
          <cell r="J7" t="str">
            <v>Growth</v>
          </cell>
          <cell r="L7" t="str">
            <v>Share</v>
          </cell>
          <cell r="M7" t="str">
            <v>Share</v>
          </cell>
          <cell r="N7" t="str">
            <v>Share</v>
          </cell>
          <cell r="O7" t="str">
            <v>Franchise</v>
          </cell>
          <cell r="Q7" t="str">
            <v>Sales</v>
          </cell>
          <cell r="R7" t="str">
            <v>Sales / TRx (2)</v>
          </cell>
          <cell r="T7" t="str">
            <v>Sales</v>
          </cell>
          <cell r="U7" t="str">
            <v>Sales / TRx (2)</v>
          </cell>
          <cell r="V7" t="str">
            <v>Sales</v>
          </cell>
        </row>
        <row r="10">
          <cell r="A10">
            <v>36892</v>
          </cell>
          <cell r="C10">
            <v>1214273</v>
          </cell>
          <cell r="D10">
            <v>0</v>
          </cell>
          <cell r="F10">
            <v>0</v>
          </cell>
          <cell r="G10">
            <v>0</v>
          </cell>
          <cell r="I10">
            <v>9069374</v>
          </cell>
          <cell r="J10">
            <v>0</v>
          </cell>
          <cell r="L10">
            <v>0.13388719000892454</v>
          </cell>
          <cell r="M10">
            <v>0</v>
          </cell>
          <cell r="N10">
            <v>0.13388719000892454</v>
          </cell>
          <cell r="O10">
            <v>0</v>
          </cell>
          <cell r="Q10">
            <v>0</v>
          </cell>
          <cell r="R10">
            <v>0</v>
          </cell>
          <cell r="T10">
            <v>0</v>
          </cell>
          <cell r="U10">
            <v>0</v>
          </cell>
          <cell r="V10">
            <v>0</v>
          </cell>
        </row>
        <row r="11">
          <cell r="A11">
            <v>36923</v>
          </cell>
          <cell r="C11">
            <v>1123734</v>
          </cell>
          <cell r="D11">
            <v>0</v>
          </cell>
          <cell r="F11">
            <v>0</v>
          </cell>
          <cell r="G11">
            <v>0</v>
          </cell>
          <cell r="I11">
            <v>8200217</v>
          </cell>
          <cell r="J11">
            <v>0</v>
          </cell>
          <cell r="L11">
            <v>0.13703710523758092</v>
          </cell>
          <cell r="M11">
            <v>0</v>
          </cell>
          <cell r="N11">
            <v>0.13703710523758092</v>
          </cell>
          <cell r="O11">
            <v>0</v>
          </cell>
          <cell r="Q11">
            <v>0</v>
          </cell>
          <cell r="R11">
            <v>0</v>
          </cell>
          <cell r="T11">
            <v>0</v>
          </cell>
          <cell r="U11">
            <v>0</v>
          </cell>
          <cell r="V11">
            <v>0</v>
          </cell>
        </row>
        <row r="12">
          <cell r="A12">
            <v>36951</v>
          </cell>
          <cell r="C12">
            <v>1281256</v>
          </cell>
          <cell r="D12">
            <v>0</v>
          </cell>
          <cell r="F12">
            <v>0</v>
          </cell>
          <cell r="G12">
            <v>0</v>
          </cell>
          <cell r="I12">
            <v>9162890</v>
          </cell>
          <cell r="J12">
            <v>0</v>
          </cell>
          <cell r="L12">
            <v>0.13983099218696285</v>
          </cell>
          <cell r="M12">
            <v>0</v>
          </cell>
          <cell r="N12">
            <v>0.13983099218696285</v>
          </cell>
          <cell r="O12">
            <v>0</v>
          </cell>
          <cell r="Q12">
            <v>0</v>
          </cell>
          <cell r="R12">
            <v>0</v>
          </cell>
          <cell r="T12">
            <v>0</v>
          </cell>
          <cell r="U12">
            <v>0</v>
          </cell>
          <cell r="V12">
            <v>0</v>
          </cell>
        </row>
        <row r="13">
          <cell r="A13" t="str">
            <v>F4Q:01A</v>
          </cell>
          <cell r="C13">
            <v>3619263</v>
          </cell>
          <cell r="D13">
            <v>0</v>
          </cell>
          <cell r="F13">
            <v>0</v>
          </cell>
          <cell r="G13">
            <v>0</v>
          </cell>
          <cell r="I13">
            <v>26432481</v>
          </cell>
          <cell r="J13">
            <v>0</v>
          </cell>
          <cell r="L13">
            <v>0.13692483123320887</v>
          </cell>
          <cell r="M13">
            <v>0</v>
          </cell>
          <cell r="N13">
            <v>0.13692483123320887</v>
          </cell>
          <cell r="O13">
            <v>0</v>
          </cell>
          <cell r="Q13">
            <v>206</v>
          </cell>
          <cell r="R13">
            <v>56.917665281578046</v>
          </cell>
          <cell r="T13">
            <v>0</v>
          </cell>
          <cell r="U13">
            <v>0</v>
          </cell>
          <cell r="V13">
            <v>206</v>
          </cell>
        </row>
        <row r="15">
          <cell r="A15">
            <v>36982</v>
          </cell>
          <cell r="C15">
            <v>1257041</v>
          </cell>
          <cell r="D15">
            <v>0</v>
          </cell>
          <cell r="F15">
            <v>0</v>
          </cell>
          <cell r="G15">
            <v>0</v>
          </cell>
          <cell r="I15">
            <v>8743287</v>
          </cell>
          <cell r="J15">
            <v>0</v>
          </cell>
          <cell r="L15">
            <v>0.14377213054998653</v>
          </cell>
          <cell r="M15">
            <v>0</v>
          </cell>
          <cell r="N15">
            <v>0.14377213054998653</v>
          </cell>
          <cell r="O15">
            <v>0</v>
          </cell>
          <cell r="Q15">
            <v>0</v>
          </cell>
          <cell r="R15">
            <v>0</v>
          </cell>
          <cell r="T15">
            <v>0</v>
          </cell>
          <cell r="U15">
            <v>0</v>
          </cell>
          <cell r="V15">
            <v>0</v>
          </cell>
        </row>
        <row r="16">
          <cell r="A16">
            <v>37012</v>
          </cell>
          <cell r="C16">
            <v>1346922</v>
          </cell>
          <cell r="D16">
            <v>0</v>
          </cell>
          <cell r="F16">
            <v>0</v>
          </cell>
          <cell r="G16">
            <v>0</v>
          </cell>
          <cell r="I16">
            <v>9230346</v>
          </cell>
          <cell r="J16">
            <v>0</v>
          </cell>
          <cell r="L16">
            <v>0.14592324058058062</v>
          </cell>
          <cell r="M16">
            <v>0</v>
          </cell>
          <cell r="N16">
            <v>0.14592324058058062</v>
          </cell>
          <cell r="O16">
            <v>0</v>
          </cell>
          <cell r="Q16">
            <v>0</v>
          </cell>
          <cell r="R16">
            <v>0</v>
          </cell>
          <cell r="T16">
            <v>0</v>
          </cell>
          <cell r="U16">
            <v>0</v>
          </cell>
          <cell r="V16">
            <v>0</v>
          </cell>
        </row>
        <row r="17">
          <cell r="A17">
            <v>37043</v>
          </cell>
          <cell r="C17">
            <v>1327379</v>
          </cell>
          <cell r="D17">
            <v>0</v>
          </cell>
          <cell r="F17">
            <v>0</v>
          </cell>
          <cell r="G17">
            <v>0</v>
          </cell>
          <cell r="I17">
            <v>8977235</v>
          </cell>
          <cell r="J17">
            <v>0</v>
          </cell>
          <cell r="L17">
            <v>0.14786056062919151</v>
          </cell>
          <cell r="M17">
            <v>0</v>
          </cell>
          <cell r="N17">
            <v>0.14786056062919151</v>
          </cell>
          <cell r="O17">
            <v>0</v>
          </cell>
          <cell r="Q17">
            <v>0</v>
          </cell>
          <cell r="R17">
            <v>0</v>
          </cell>
          <cell r="T17">
            <v>0</v>
          </cell>
          <cell r="U17">
            <v>0</v>
          </cell>
          <cell r="V17">
            <v>0</v>
          </cell>
        </row>
        <row r="18">
          <cell r="A18" t="str">
            <v>F1Q:02A</v>
          </cell>
          <cell r="C18">
            <v>3931342</v>
          </cell>
          <cell r="D18">
            <v>0</v>
          </cell>
          <cell r="F18">
            <v>0</v>
          </cell>
          <cell r="G18">
            <v>0</v>
          </cell>
          <cell r="I18">
            <v>26950868</v>
          </cell>
          <cell r="J18">
            <v>0</v>
          </cell>
          <cell r="L18">
            <v>0.14587070071360966</v>
          </cell>
          <cell r="M18">
            <v>0</v>
          </cell>
          <cell r="N18">
            <v>0.14587070071360966</v>
          </cell>
          <cell r="O18">
            <v>0</v>
          </cell>
          <cell r="Q18">
            <v>238.08600000000001</v>
          </cell>
          <cell r="R18">
            <v>60.560999272004317</v>
          </cell>
          <cell r="T18">
            <v>0</v>
          </cell>
          <cell r="U18">
            <v>0</v>
          </cell>
          <cell r="V18">
            <v>238.08600000000001</v>
          </cell>
        </row>
        <row r="20">
          <cell r="A20">
            <v>37073</v>
          </cell>
          <cell r="C20">
            <v>1396804</v>
          </cell>
          <cell r="D20">
            <v>0</v>
          </cell>
          <cell r="F20">
            <v>0</v>
          </cell>
          <cell r="G20">
            <v>0</v>
          </cell>
          <cell r="I20">
            <v>9281372</v>
          </cell>
          <cell r="J20">
            <v>0</v>
          </cell>
          <cell r="L20">
            <v>0.15049542244400935</v>
          </cell>
          <cell r="M20">
            <v>0</v>
          </cell>
          <cell r="N20">
            <v>0.15049542244400935</v>
          </cell>
          <cell r="O20">
            <v>0</v>
          </cell>
          <cell r="Q20">
            <v>0</v>
          </cell>
          <cell r="R20">
            <v>0</v>
          </cell>
          <cell r="T20">
            <v>0</v>
          </cell>
          <cell r="U20">
            <v>0</v>
          </cell>
          <cell r="V20">
            <v>0</v>
          </cell>
        </row>
        <row r="21">
          <cell r="A21">
            <v>37104</v>
          </cell>
          <cell r="C21">
            <v>1468005</v>
          </cell>
          <cell r="D21">
            <v>0</v>
          </cell>
          <cell r="F21">
            <v>0</v>
          </cell>
          <cell r="G21">
            <v>0</v>
          </cell>
          <cell r="I21">
            <v>9629573</v>
          </cell>
          <cell r="J21">
            <v>0</v>
          </cell>
          <cell r="L21">
            <v>0.15244756958589961</v>
          </cell>
          <cell r="M21">
            <v>0</v>
          </cell>
          <cell r="N21">
            <v>0.15244756958589961</v>
          </cell>
          <cell r="O21">
            <v>0</v>
          </cell>
          <cell r="Q21">
            <v>0</v>
          </cell>
          <cell r="R21">
            <v>0</v>
          </cell>
          <cell r="T21">
            <v>0</v>
          </cell>
          <cell r="U21">
            <v>0</v>
          </cell>
          <cell r="V21">
            <v>0</v>
          </cell>
        </row>
        <row r="22">
          <cell r="A22">
            <v>37135</v>
          </cell>
          <cell r="C22">
            <v>1403120</v>
          </cell>
          <cell r="D22">
            <v>0</v>
          </cell>
          <cell r="F22">
            <v>0</v>
          </cell>
          <cell r="G22">
            <v>0</v>
          </cell>
          <cell r="I22">
            <v>9056560</v>
          </cell>
          <cell r="J22">
            <v>0</v>
          </cell>
          <cell r="L22">
            <v>0.15492858215481375</v>
          </cell>
          <cell r="M22">
            <v>0</v>
          </cell>
          <cell r="N22">
            <v>0.15492858215481375</v>
          </cell>
          <cell r="O22">
            <v>0</v>
          </cell>
          <cell r="Q22">
            <v>0</v>
          </cell>
          <cell r="R22">
            <v>0</v>
          </cell>
          <cell r="T22">
            <v>0</v>
          </cell>
          <cell r="U22">
            <v>0</v>
          </cell>
          <cell r="V22">
            <v>0</v>
          </cell>
        </row>
        <row r="23">
          <cell r="A23" t="str">
            <v>F2Q:02A</v>
          </cell>
          <cell r="C23">
            <v>4267929</v>
          </cell>
          <cell r="D23">
            <v>0</v>
          </cell>
          <cell r="F23">
            <v>0</v>
          </cell>
          <cell r="G23">
            <v>0</v>
          </cell>
          <cell r="I23">
            <v>27967505</v>
          </cell>
          <cell r="J23">
            <v>0</v>
          </cell>
          <cell r="L23">
            <v>0.15260313710500811</v>
          </cell>
          <cell r="M23">
            <v>0</v>
          </cell>
          <cell r="N23">
            <v>0.15260313710500811</v>
          </cell>
          <cell r="O23">
            <v>0</v>
          </cell>
          <cell r="Q23">
            <v>256.07799999999997</v>
          </cell>
          <cell r="R23">
            <v>60.000529530833333</v>
          </cell>
          <cell r="T23">
            <v>0</v>
          </cell>
          <cell r="U23">
            <v>0</v>
          </cell>
          <cell r="V23">
            <v>256.07799999999997</v>
          </cell>
        </row>
        <row r="25">
          <cell r="A25">
            <v>37165</v>
          </cell>
          <cell r="C25">
            <v>1583122</v>
          </cell>
          <cell r="D25">
            <v>0</v>
          </cell>
          <cell r="F25">
            <v>0</v>
          </cell>
          <cell r="G25">
            <v>0</v>
          </cell>
          <cell r="I25">
            <v>10048978</v>
          </cell>
          <cell r="J25">
            <v>0</v>
          </cell>
          <cell r="L25">
            <v>0.15754059766077705</v>
          </cell>
          <cell r="M25">
            <v>0</v>
          </cell>
          <cell r="N25">
            <v>0.15754059766077705</v>
          </cell>
          <cell r="O25">
            <v>0</v>
          </cell>
          <cell r="Q25">
            <v>0</v>
          </cell>
          <cell r="R25">
            <v>0</v>
          </cell>
          <cell r="T25">
            <v>0</v>
          </cell>
          <cell r="U25">
            <v>0</v>
          </cell>
          <cell r="V25">
            <v>0</v>
          </cell>
        </row>
        <row r="26">
          <cell r="A26">
            <v>37196</v>
          </cell>
          <cell r="C26">
            <v>1564262</v>
          </cell>
          <cell r="D26">
            <v>0</v>
          </cell>
          <cell r="F26">
            <v>0</v>
          </cell>
          <cell r="G26">
            <v>0</v>
          </cell>
          <cell r="I26">
            <v>9785289</v>
          </cell>
          <cell r="J26">
            <v>0</v>
          </cell>
          <cell r="L26">
            <v>0.15985853866962949</v>
          </cell>
          <cell r="M26">
            <v>0</v>
          </cell>
          <cell r="N26">
            <v>0.15985853866962949</v>
          </cell>
          <cell r="O26">
            <v>0</v>
          </cell>
          <cell r="Q26">
            <v>0</v>
          </cell>
          <cell r="R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A27">
            <v>37226</v>
          </cell>
          <cell r="C27">
            <v>1646163</v>
          </cell>
          <cell r="D27">
            <v>0</v>
          </cell>
          <cell r="F27">
            <v>0</v>
          </cell>
          <cell r="G27">
            <v>0</v>
          </cell>
          <cell r="I27">
            <v>10091247</v>
          </cell>
          <cell r="J27">
            <v>0</v>
          </cell>
          <cell r="L27">
            <v>0.16312780769314239</v>
          </cell>
          <cell r="M27">
            <v>0</v>
          </cell>
          <cell r="N27">
            <v>0.16312780769314239</v>
          </cell>
          <cell r="O27">
            <v>0</v>
          </cell>
          <cell r="Q27">
            <v>0</v>
          </cell>
          <cell r="R27">
            <v>0</v>
          </cell>
          <cell r="T27">
            <v>0</v>
          </cell>
          <cell r="U27">
            <v>0</v>
          </cell>
          <cell r="V27">
            <v>0</v>
          </cell>
        </row>
        <row r="28">
          <cell r="A28" t="str">
            <v>F3Q:02A</v>
          </cell>
          <cell r="C28">
            <v>4793547</v>
          </cell>
          <cell r="D28">
            <v>0</v>
          </cell>
          <cell r="F28">
            <v>0</v>
          </cell>
          <cell r="G28">
            <v>0</v>
          </cell>
          <cell r="I28">
            <v>29925514</v>
          </cell>
          <cell r="J28">
            <v>0</v>
          </cell>
          <cell r="L28">
            <v>0.16018261206808343</v>
          </cell>
          <cell r="M28">
            <v>0</v>
          </cell>
          <cell r="N28">
            <v>0.16018261206808343</v>
          </cell>
          <cell r="O28">
            <v>0</v>
          </cell>
          <cell r="Q28">
            <v>280.50200000000001</v>
          </cell>
          <cell r="R28">
            <v>58.516584900492269</v>
          </cell>
          <cell r="T28">
            <v>0</v>
          </cell>
          <cell r="U28">
            <v>0</v>
          </cell>
          <cell r="V28">
            <v>280.50200000000001</v>
          </cell>
        </row>
        <row r="30">
          <cell r="A30">
            <v>37257</v>
          </cell>
          <cell r="C30">
            <v>1747570</v>
          </cell>
          <cell r="D30">
            <v>0.4391903632873333</v>
          </cell>
          <cell r="F30">
            <v>0</v>
          </cell>
          <cell r="G30">
            <v>0</v>
          </cell>
          <cell r="I30">
            <v>10516823</v>
          </cell>
          <cell r="J30">
            <v>0.15959745402494163</v>
          </cell>
          <cell r="L30">
            <v>0.16616900370007179</v>
          </cell>
          <cell r="M30">
            <v>0</v>
          </cell>
          <cell r="N30">
            <v>0.16616900370007179</v>
          </cell>
          <cell r="O30">
            <v>0</v>
          </cell>
          <cell r="Q30">
            <v>0</v>
          </cell>
          <cell r="R30">
            <v>0</v>
          </cell>
          <cell r="T30">
            <v>0</v>
          </cell>
          <cell r="U30">
            <v>0</v>
          </cell>
          <cell r="V30">
            <v>0</v>
          </cell>
        </row>
        <row r="31">
          <cell r="A31">
            <v>37288</v>
          </cell>
          <cell r="C31">
            <v>1622011</v>
          </cell>
          <cell r="D31">
            <v>0.44341187505228108</v>
          </cell>
          <cell r="F31">
            <v>0</v>
          </cell>
          <cell r="G31">
            <v>0</v>
          </cell>
          <cell r="I31">
            <v>9600933</v>
          </cell>
          <cell r="J31">
            <v>0.1708145040551976</v>
          </cell>
          <cell r="L31">
            <v>0.16894306001302165</v>
          </cell>
          <cell r="M31">
            <v>0</v>
          </cell>
          <cell r="N31">
            <v>0.16894306001302165</v>
          </cell>
          <cell r="O31">
            <v>0</v>
          </cell>
          <cell r="Q31">
            <v>0</v>
          </cell>
          <cell r="R31">
            <v>0</v>
          </cell>
          <cell r="T31">
            <v>0</v>
          </cell>
          <cell r="U31">
            <v>0</v>
          </cell>
          <cell r="V31">
            <v>0</v>
          </cell>
        </row>
        <row r="32">
          <cell r="A32">
            <v>37316</v>
          </cell>
          <cell r="C32">
            <v>1792279</v>
          </cell>
          <cell r="D32">
            <v>0.39884535174859659</v>
          </cell>
          <cell r="F32">
            <v>0</v>
          </cell>
          <cell r="G32">
            <v>0</v>
          </cell>
          <cell r="I32">
            <v>10474021</v>
          </cell>
          <cell r="J32">
            <v>0.14309142639494743</v>
          </cell>
          <cell r="L32">
            <v>0.17111661318991053</v>
          </cell>
          <cell r="M32">
            <v>0</v>
          </cell>
          <cell r="N32">
            <v>0.17111661318991053</v>
          </cell>
          <cell r="O32">
            <v>0</v>
          </cell>
          <cell r="Q32">
            <v>0</v>
          </cell>
          <cell r="R32">
            <v>0</v>
          </cell>
          <cell r="T32">
            <v>0</v>
          </cell>
          <cell r="U32">
            <v>0</v>
          </cell>
          <cell r="V32">
            <v>0</v>
          </cell>
        </row>
        <row r="33">
          <cell r="A33" t="str">
            <v>F4Q:02A</v>
          </cell>
          <cell r="C33">
            <v>5161860</v>
          </cell>
          <cell r="D33">
            <v>0.42621854228333222</v>
          </cell>
          <cell r="F33">
            <v>0</v>
          </cell>
          <cell r="G33">
            <v>0</v>
          </cell>
          <cell r="I33">
            <v>30591777</v>
          </cell>
          <cell r="J33">
            <v>0.15735549001245852</v>
          </cell>
          <cell r="L33">
            <v>0.16873357830766092</v>
          </cell>
          <cell r="M33">
            <v>0</v>
          </cell>
          <cell r="N33">
            <v>0.16873357830766092</v>
          </cell>
          <cell r="O33">
            <v>0</v>
          </cell>
          <cell r="Q33">
            <v>313.12799999999999</v>
          </cell>
          <cell r="R33">
            <v>60.661854447815315</v>
          </cell>
          <cell r="T33">
            <v>0</v>
          </cell>
          <cell r="U33">
            <v>0</v>
          </cell>
          <cell r="V33">
            <v>313.12799999999999</v>
          </cell>
        </row>
        <row r="35">
          <cell r="A35">
            <v>37347</v>
          </cell>
          <cell r="C35">
            <v>1846490</v>
          </cell>
          <cell r="D35">
            <v>0.4689178793690898</v>
          </cell>
          <cell r="F35">
            <v>0</v>
          </cell>
          <cell r="G35">
            <v>0</v>
          </cell>
          <cell r="I35">
            <v>10698107</v>
          </cell>
          <cell r="J35">
            <v>0.22357953021558141</v>
          </cell>
          <cell r="L35">
            <v>0.17259969450670104</v>
          </cell>
          <cell r="M35">
            <v>0</v>
          </cell>
          <cell r="N35">
            <v>0.17259969450670104</v>
          </cell>
          <cell r="O35">
            <v>0</v>
          </cell>
          <cell r="Q35">
            <v>0</v>
          </cell>
          <cell r="R35">
            <v>0</v>
          </cell>
          <cell r="T35">
            <v>0</v>
          </cell>
          <cell r="U35">
            <v>0</v>
          </cell>
          <cell r="V35">
            <v>0</v>
          </cell>
        </row>
        <row r="36">
          <cell r="A36">
            <v>37377</v>
          </cell>
          <cell r="C36">
            <v>1906020</v>
          </cell>
          <cell r="D36">
            <v>0.41509307888652791</v>
          </cell>
          <cell r="F36">
            <v>0</v>
          </cell>
          <cell r="G36">
            <v>0</v>
          </cell>
          <cell r="I36">
            <v>10909878</v>
          </cell>
          <cell r="J36">
            <v>0.18195764275792037</v>
          </cell>
          <cell r="L36">
            <v>0.17470589496967795</v>
          </cell>
          <cell r="M36">
            <v>0</v>
          </cell>
          <cell r="N36">
            <v>0.17470589496967795</v>
          </cell>
          <cell r="O36">
            <v>0</v>
          </cell>
          <cell r="Q36">
            <v>0</v>
          </cell>
          <cell r="R36">
            <v>0</v>
          </cell>
          <cell r="T36">
            <v>0</v>
          </cell>
          <cell r="U36">
            <v>0</v>
          </cell>
          <cell r="V36">
            <v>0</v>
          </cell>
        </row>
        <row r="37">
          <cell r="A37">
            <v>37408</v>
          </cell>
          <cell r="C37">
            <v>1807579</v>
          </cell>
          <cell r="D37">
            <v>0.3617655545251206</v>
          </cell>
          <cell r="F37">
            <v>0</v>
          </cell>
          <cell r="G37">
            <v>0</v>
          </cell>
          <cell r="I37">
            <v>10334245</v>
          </cell>
          <cell r="J37">
            <v>0.15116124285484345</v>
          </cell>
          <cell r="L37">
            <v>0.17491156828583027</v>
          </cell>
          <cell r="M37">
            <v>0</v>
          </cell>
          <cell r="N37">
            <v>0.17491156828583027</v>
          </cell>
          <cell r="O37">
            <v>0</v>
          </cell>
          <cell r="Q37">
            <v>0</v>
          </cell>
          <cell r="R37">
            <v>0</v>
          </cell>
          <cell r="T37">
            <v>0</v>
          </cell>
          <cell r="U37">
            <v>0</v>
          </cell>
          <cell r="V37">
            <v>0</v>
          </cell>
        </row>
        <row r="38">
          <cell r="A38" t="str">
            <v>F1Q:03A</v>
          </cell>
          <cell r="C38">
            <v>5560089</v>
          </cell>
          <cell r="D38">
            <v>0.41429796746251024</v>
          </cell>
          <cell r="F38">
            <v>0</v>
          </cell>
          <cell r="G38">
            <v>0</v>
          </cell>
          <cell r="I38">
            <v>31942230</v>
          </cell>
          <cell r="J38">
            <v>0.18520227252049914</v>
          </cell>
          <cell r="L38">
            <v>0.17406702662901119</v>
          </cell>
          <cell r="M38">
            <v>0</v>
          </cell>
          <cell r="N38">
            <v>0.17406702662901119</v>
          </cell>
          <cell r="O38">
            <v>0</v>
          </cell>
          <cell r="Q38">
            <v>351.435</v>
          </cell>
          <cell r="R38">
            <v>63.206722050672212</v>
          </cell>
          <cell r="T38">
            <v>0</v>
          </cell>
          <cell r="U38">
            <v>0</v>
          </cell>
          <cell r="V38">
            <v>351.435</v>
          </cell>
        </row>
        <row r="40">
          <cell r="A40">
            <v>37438</v>
          </cell>
          <cell r="C40">
            <v>1953698</v>
          </cell>
          <cell r="D40">
            <v>0.39869158450290798</v>
          </cell>
          <cell r="F40">
            <v>0</v>
          </cell>
          <cell r="G40">
            <v>0</v>
          </cell>
          <cell r="I40">
            <v>11082345</v>
          </cell>
          <cell r="J40">
            <v>0.19404167832083452</v>
          </cell>
          <cell r="L40">
            <v>0.1762892239864397</v>
          </cell>
          <cell r="M40">
            <v>0</v>
          </cell>
          <cell r="N40">
            <v>0.1762892239864397</v>
          </cell>
          <cell r="O40">
            <v>0</v>
          </cell>
          <cell r="Q40">
            <v>0</v>
          </cell>
          <cell r="R40">
            <v>0</v>
          </cell>
          <cell r="T40">
            <v>0</v>
          </cell>
          <cell r="U40">
            <v>0</v>
          </cell>
          <cell r="V40">
            <v>0</v>
          </cell>
        </row>
        <row r="41">
          <cell r="A41">
            <v>37469</v>
          </cell>
          <cell r="C41">
            <v>1956552</v>
          </cell>
          <cell r="D41">
            <v>0.33279655042046863</v>
          </cell>
          <cell r="F41">
            <v>1033</v>
          </cell>
          <cell r="G41">
            <v>0</v>
          </cell>
          <cell r="I41">
            <v>11048582</v>
          </cell>
          <cell r="J41">
            <v>0.14735949351025224</v>
          </cell>
          <cell r="L41">
            <v>0.17708625414555459</v>
          </cell>
          <cell r="M41">
            <v>9.3496160864806001E-5</v>
          </cell>
          <cell r="N41">
            <v>0.17717975030641939</v>
          </cell>
          <cell r="O41">
            <v>5.2769100703162317E-4</v>
          </cell>
          <cell r="Q41">
            <v>0</v>
          </cell>
          <cell r="R41">
            <v>0</v>
          </cell>
          <cell r="T41">
            <v>0</v>
          </cell>
          <cell r="U41">
            <v>0</v>
          </cell>
          <cell r="V41">
            <v>0</v>
          </cell>
        </row>
        <row r="42">
          <cell r="A42">
            <v>37500</v>
          </cell>
          <cell r="C42">
            <v>1882368</v>
          </cell>
          <cell r="D42">
            <v>0.34155881179086611</v>
          </cell>
          <cell r="F42">
            <v>70988</v>
          </cell>
          <cell r="G42">
            <v>0</v>
          </cell>
          <cell r="I42">
            <v>10684220</v>
          </cell>
          <cell r="J42">
            <v>0.17972166032135828</v>
          </cell>
          <cell r="L42">
            <v>0.17618207038043021</v>
          </cell>
          <cell r="M42">
            <v>6.6441911529339526E-3</v>
          </cell>
          <cell r="N42">
            <v>0.18282626153336418</v>
          </cell>
          <cell r="O42">
            <v>3.6341557811274544E-2</v>
          </cell>
          <cell r="Q42">
            <v>0</v>
          </cell>
          <cell r="R42">
            <v>0</v>
          </cell>
          <cell r="T42">
            <v>0</v>
          </cell>
          <cell r="U42">
            <v>0</v>
          </cell>
          <cell r="V42">
            <v>0</v>
          </cell>
        </row>
        <row r="43">
          <cell r="A43" t="str">
            <v>F2Q:03A</v>
          </cell>
          <cell r="C43">
            <v>5792618</v>
          </cell>
          <cell r="D43">
            <v>0.35724329059832072</v>
          </cell>
          <cell r="F43">
            <v>72021</v>
          </cell>
          <cell r="G43">
            <v>0</v>
          </cell>
          <cell r="I43">
            <v>32815147</v>
          </cell>
          <cell r="J43">
            <v>0.17333122850965799</v>
          </cell>
          <cell r="L43">
            <v>0.17652268935440088</v>
          </cell>
          <cell r="M43">
            <v>2.1947486628659625E-3</v>
          </cell>
          <cell r="N43">
            <v>0.17871743801726683</v>
          </cell>
          <cell r="O43">
            <v>1.2280551283719254E-2</v>
          </cell>
          <cell r="Q43">
            <v>386.39800000000002</v>
          </cell>
          <cell r="R43">
            <v>66.705244502572071</v>
          </cell>
          <cell r="T43">
            <v>21.748999999999999</v>
          </cell>
          <cell r="U43">
            <v>301.98136654586858</v>
          </cell>
          <cell r="V43">
            <v>408.14700000000005</v>
          </cell>
        </row>
        <row r="45">
          <cell r="A45" t="str">
            <v>Oct-02</v>
          </cell>
          <cell r="C45">
            <v>1937145</v>
          </cell>
          <cell r="D45">
            <v>0.22362332151280828</v>
          </cell>
          <cell r="F45">
            <v>244447</v>
          </cell>
          <cell r="G45">
            <v>0</v>
          </cell>
          <cell r="I45">
            <v>11407262</v>
          </cell>
          <cell r="J45">
            <v>0.13516638209378118</v>
          </cell>
          <cell r="L45">
            <v>0.16981682370405798</v>
          </cell>
          <cell r="M45">
            <v>2.1429068605595278E-2</v>
          </cell>
          <cell r="N45">
            <v>0.19124589230965328</v>
          </cell>
          <cell r="O45">
            <v>0.11204982416510512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</row>
        <row r="46">
          <cell r="A46" t="str">
            <v>Nov-02</v>
          </cell>
          <cell r="C46">
            <v>1801260</v>
          </cell>
          <cell r="D46">
            <v>0.15150786760785606</v>
          </cell>
          <cell r="F46">
            <v>389360</v>
          </cell>
          <cell r="G46">
            <v>0</v>
          </cell>
          <cell r="I46">
            <v>11048393</v>
          </cell>
          <cell r="J46">
            <v>0.12908193104976262</v>
          </cell>
          <cell r="L46">
            <v>0.16303366471485944</v>
          </cell>
          <cell r="M46">
            <v>3.524132423602238E-2</v>
          </cell>
          <cell r="N46">
            <v>0.19827498895088183</v>
          </cell>
          <cell r="O46">
            <v>0.17773963535437456</v>
          </cell>
          <cell r="Q46">
            <v>0</v>
          </cell>
          <cell r="R46">
            <v>0</v>
          </cell>
          <cell r="T46">
            <v>0</v>
          </cell>
          <cell r="U46">
            <v>0</v>
          </cell>
          <cell r="V46">
            <v>0</v>
          </cell>
        </row>
        <row r="47">
          <cell r="A47" t="str">
            <v>Dec-02</v>
          </cell>
          <cell r="C47">
            <v>1862493</v>
          </cell>
          <cell r="D47">
            <v>0.13141468979681847</v>
          </cell>
          <cell r="F47">
            <v>550497</v>
          </cell>
          <cell r="G47">
            <v>0</v>
          </cell>
          <cell r="I47">
            <v>11808277</v>
          </cell>
          <cell r="J47">
            <v>0.17015042838610528</v>
          </cell>
          <cell r="L47">
            <v>0.15772775316839197</v>
          </cell>
          <cell r="M47">
            <v>4.6619587260698578E-2</v>
          </cell>
          <cell r="N47">
            <v>0.20434734042909053</v>
          </cell>
          <cell r="O47">
            <v>0.22813894794425174</v>
          </cell>
          <cell r="Q47">
            <v>0</v>
          </cell>
          <cell r="R47">
            <v>0</v>
          </cell>
          <cell r="T47">
            <v>0</v>
          </cell>
          <cell r="U47">
            <v>0</v>
          </cell>
          <cell r="V47">
            <v>0</v>
          </cell>
        </row>
        <row r="48">
          <cell r="A48" t="str">
            <v>F3Q:03A</v>
          </cell>
          <cell r="C48">
            <v>5600898</v>
          </cell>
          <cell r="D48">
            <v>0.16842455075542184</v>
          </cell>
          <cell r="F48">
            <v>1184304</v>
          </cell>
          <cell r="G48">
            <v>0</v>
          </cell>
          <cell r="I48">
            <v>34263932</v>
          </cell>
          <cell r="J48">
            <v>0.14497388415784607</v>
          </cell>
          <cell r="L48">
            <v>0.16346337600716696</v>
          </cell>
          <cell r="M48">
            <v>3.4564159186400441E-2</v>
          </cell>
          <cell r="N48">
            <v>0.19802753519356739</v>
          </cell>
          <cell r="O48">
            <v>0.17454218754283218</v>
          </cell>
          <cell r="Q48">
            <v>371.20699999999999</v>
          </cell>
          <cell r="R48">
            <v>66.276336401769854</v>
          </cell>
          <cell r="T48">
            <v>80.986999999999995</v>
          </cell>
          <cell r="U48">
            <v>68.383624474797017</v>
          </cell>
          <cell r="V48">
            <v>452.19399999999996</v>
          </cell>
        </row>
        <row r="50">
          <cell r="A50">
            <v>37622</v>
          </cell>
          <cell r="C50">
            <v>1790874</v>
          </cell>
          <cell r="D50">
            <v>2.4779551033721203E-2</v>
          </cell>
          <cell r="F50">
            <v>676813</v>
          </cell>
          <cell r="G50">
            <v>0</v>
          </cell>
          <cell r="I50">
            <v>11762120</v>
          </cell>
          <cell r="J50">
            <v>0.11840999891316994</v>
          </cell>
          <cell r="L50">
            <v>0.15225775625482482</v>
          </cell>
          <cell r="M50">
            <v>5.7541752677238454E-2</v>
          </cell>
          <cell r="N50">
            <v>0.20979950893206328</v>
          </cell>
          <cell r="O50">
            <v>0.27427019715223205</v>
          </cell>
          <cell r="Q50">
            <v>0</v>
          </cell>
          <cell r="R50">
            <v>0</v>
          </cell>
          <cell r="T50">
            <v>0</v>
          </cell>
          <cell r="U50">
            <v>0</v>
          </cell>
          <cell r="V50">
            <v>0</v>
          </cell>
        </row>
        <row r="51">
          <cell r="A51" t="str">
            <v>Feb-03</v>
          </cell>
          <cell r="C51">
            <v>1568828</v>
          </cell>
          <cell r="D51">
            <v>-3.2788310313555225E-2</v>
          </cell>
          <cell r="F51">
            <v>726646</v>
          </cell>
          <cell r="G51">
            <v>0</v>
          </cell>
          <cell r="I51">
            <v>10711026</v>
          </cell>
          <cell r="J51">
            <v>0.11562345034591948</v>
          </cell>
          <cell r="L51">
            <v>0.1464685082456153</v>
          </cell>
          <cell r="M51">
            <v>6.7840933258868016E-2</v>
          </cell>
          <cell r="N51">
            <v>0.21430944150448333</v>
          </cell>
          <cell r="O51">
            <v>0.31655597057514046</v>
          </cell>
          <cell r="Q51">
            <v>0</v>
          </cell>
          <cell r="R51">
            <v>0</v>
          </cell>
          <cell r="T51">
            <v>0</v>
          </cell>
          <cell r="U51">
            <v>0</v>
          </cell>
          <cell r="V51">
            <v>0</v>
          </cell>
        </row>
        <row r="52">
          <cell r="A52" t="str">
            <v>Mar-03</v>
          </cell>
          <cell r="C52">
            <v>1665339</v>
          </cell>
          <cell r="D52">
            <v>-7.0826026528235886E-2</v>
          </cell>
          <cell r="F52">
            <v>905681</v>
          </cell>
          <cell r="G52">
            <v>0</v>
          </cell>
          <cell r="I52">
            <v>11751138</v>
          </cell>
          <cell r="J52">
            <v>0.12193187315549592</v>
          </cell>
          <cell r="L52">
            <v>0.14171725325666332</v>
          </cell>
          <cell r="M52">
            <v>7.7071769559680092E-2</v>
          </cell>
          <cell r="N52">
            <v>0.21878902281634341</v>
          </cell>
          <cell r="O52">
            <v>0.35226524881175564</v>
          </cell>
          <cell r="Q52">
            <v>0</v>
          </cell>
          <cell r="R52">
            <v>0</v>
          </cell>
          <cell r="T52">
            <v>0</v>
          </cell>
          <cell r="U52">
            <v>0</v>
          </cell>
          <cell r="V52">
            <v>0</v>
          </cell>
        </row>
        <row r="53">
          <cell r="A53" t="str">
            <v>F4Q:03A</v>
          </cell>
          <cell r="C53">
            <v>5025041</v>
          </cell>
          <cell r="D53">
            <v>-2.6505755677217135E-2</v>
          </cell>
          <cell r="F53">
            <v>2309140</v>
          </cell>
          <cell r="G53">
            <v>0</v>
          </cell>
          <cell r="I53">
            <v>34224284</v>
          </cell>
          <cell r="J53">
            <v>0.11874128789576366</v>
          </cell>
          <cell r="L53">
            <v>0.14682676780031395</v>
          </cell>
          <cell r="M53">
            <v>6.7470805232915904E-2</v>
          </cell>
          <cell r="N53">
            <v>0.21429757303322985</v>
          </cell>
          <cell r="O53">
            <v>0.31484633389876798</v>
          </cell>
          <cell r="Q53">
            <v>342.93900000000002</v>
          </cell>
          <cell r="R53">
            <v>68.246010331059992</v>
          </cell>
          <cell r="T53">
            <v>141.994</v>
          </cell>
          <cell r="U53">
            <v>61.492157253349731</v>
          </cell>
          <cell r="V53">
            <v>484.93299999999999</v>
          </cell>
        </row>
        <row r="55">
          <cell r="A55" t="str">
            <v>F2003A</v>
          </cell>
          <cell r="C55">
            <v>21978646</v>
          </cell>
          <cell r="D55">
            <v>0.2106326534681584</v>
          </cell>
          <cell r="F55">
            <v>3565465</v>
          </cell>
          <cell r="G55">
            <v>0</v>
          </cell>
          <cell r="I55">
            <v>133245593</v>
          </cell>
          <cell r="J55">
            <v>0.15428445926381995</v>
          </cell>
          <cell r="L55">
            <v>0.16494838970021319</v>
          </cell>
          <cell r="M55">
            <v>2.6758596061034454E-2</v>
          </cell>
          <cell r="N55">
            <v>0.19170698576124764</v>
          </cell>
          <cell r="O55">
            <v>0.139580704139596</v>
          </cell>
          <cell r="Q55">
            <v>1451.979</v>
          </cell>
          <cell r="R55">
            <v>66.06316876844916</v>
          </cell>
          <cell r="T55">
            <v>244.73</v>
          </cell>
          <cell r="U55">
            <v>68.639013424616422</v>
          </cell>
          <cell r="V55">
            <v>1696.7090000000001</v>
          </cell>
        </row>
        <row r="57">
          <cell r="A57" t="str">
            <v>Apr-03</v>
          </cell>
          <cell r="C57">
            <v>1573826</v>
          </cell>
          <cell r="D57">
            <v>-0.14766611246202255</v>
          </cell>
          <cell r="F57">
            <v>1012467</v>
          </cell>
          <cell r="G57">
            <v>0</v>
          </cell>
          <cell r="I57">
            <v>11567092</v>
          </cell>
          <cell r="J57">
            <v>8.12279219117924E-2</v>
          </cell>
          <cell r="L57">
            <v>0.13606064514745797</v>
          </cell>
          <cell r="M57">
            <v>8.7529951348186738E-2</v>
          </cell>
          <cell r="N57">
            <v>0.22359059649564472</v>
          </cell>
          <cell r="O57">
            <v>0.39147420651875098</v>
          </cell>
          <cell r="Q57">
            <v>0</v>
          </cell>
          <cell r="R57">
            <v>0</v>
          </cell>
          <cell r="T57">
            <v>0</v>
          </cell>
          <cell r="U57">
            <v>0</v>
          </cell>
          <cell r="V57">
            <v>0</v>
          </cell>
        </row>
        <row r="58">
          <cell r="A58">
            <v>37744</v>
          </cell>
          <cell r="C58">
            <v>1559384</v>
          </cell>
          <cell r="D58">
            <v>-0.18186377897398764</v>
          </cell>
          <cell r="F58">
            <v>1146722</v>
          </cell>
          <cell r="G58">
            <v>0</v>
          </cell>
          <cell r="I58">
            <v>11913857</v>
          </cell>
          <cell r="J58">
            <v>9.2024768746268304E-2</v>
          </cell>
          <cell r="L58">
            <v>0.13088825894082831</v>
          </cell>
          <cell r="M58">
            <v>9.6251113304448757E-2</v>
          </cell>
          <cell r="N58">
            <v>0.22713937224527708</v>
          </cell>
          <cell r="O58">
            <v>0.42375354106601887</v>
          </cell>
          <cell r="Q58">
            <v>0</v>
          </cell>
          <cell r="R58">
            <v>0</v>
          </cell>
          <cell r="T58">
            <v>0</v>
          </cell>
          <cell r="U58">
            <v>0</v>
          </cell>
          <cell r="V58">
            <v>0</v>
          </cell>
        </row>
        <row r="59">
          <cell r="A59">
            <v>37775</v>
          </cell>
          <cell r="C59">
            <v>1473660</v>
          </cell>
          <cell r="D59">
            <v>-0.18473272814078945</v>
          </cell>
          <cell r="F59">
            <v>1219844</v>
          </cell>
          <cell r="G59">
            <v>0</v>
          </cell>
          <cell r="I59">
            <v>11698036</v>
          </cell>
          <cell r="J59">
            <v>0.13196813119874751</v>
          </cell>
          <cell r="L59">
            <v>0.12597499272527457</v>
          </cell>
          <cell r="M59">
            <v>0.10427767532943137</v>
          </cell>
          <cell r="N59">
            <v>0.23025266805470596</v>
          </cell>
          <cell r="O59">
            <v>0.45288367865798601</v>
          </cell>
          <cell r="Q59">
            <v>0</v>
          </cell>
          <cell r="R59">
            <v>0</v>
          </cell>
          <cell r="T59">
            <v>0</v>
          </cell>
          <cell r="U59">
            <v>0</v>
          </cell>
          <cell r="V59">
            <v>0</v>
          </cell>
        </row>
        <row r="60">
          <cell r="A60" t="str">
            <v>F1Q:04A</v>
          </cell>
          <cell r="C60">
            <v>4606870</v>
          </cell>
          <cell r="D60">
            <v>-0.17143952192132172</v>
          </cell>
          <cell r="F60">
            <v>3379033</v>
          </cell>
          <cell r="G60">
            <v>0</v>
          </cell>
          <cell r="I60">
            <v>35178985</v>
          </cell>
          <cell r="J60">
            <v>0.10133152882563312</v>
          </cell>
          <cell r="L60">
            <v>0.13095517110570415</v>
          </cell>
          <cell r="M60">
            <v>9.6052600721709278E-2</v>
          </cell>
          <cell r="N60">
            <v>0.22700777182741344</v>
          </cell>
          <cell r="O60">
            <v>0.42312472365366821</v>
          </cell>
          <cell r="Q60">
            <v>284.71699999999998</v>
          </cell>
          <cell r="R60">
            <v>61.802699012561675</v>
          </cell>
          <cell r="T60">
            <v>190.99199999999999</v>
          </cell>
          <cell r="U60">
            <v>56.522679713397295</v>
          </cell>
          <cell r="V60">
            <v>475.70899999999995</v>
          </cell>
        </row>
        <row r="62">
          <cell r="A62">
            <v>37803</v>
          </cell>
          <cell r="C62">
            <v>1476683</v>
          </cell>
          <cell r="D62">
            <v>-0.24416004930137614</v>
          </cell>
          <cell r="F62">
            <v>1355549</v>
          </cell>
          <cell r="G62">
            <v>0</v>
          </cell>
          <cell r="I62">
            <v>12098066</v>
          </cell>
          <cell r="J62">
            <v>9.1652172893011308E-2</v>
          </cell>
          <cell r="L62">
            <v>0.12205942668853022</v>
          </cell>
          <cell r="M62">
            <v>0.11204675193539199</v>
          </cell>
          <cell r="N62">
            <v>0.23410617862392219</v>
          </cell>
          <cell r="O62">
            <v>0.47861509932802115</v>
          </cell>
          <cell r="Q62">
            <v>0</v>
          </cell>
          <cell r="R62">
            <v>0</v>
          </cell>
          <cell r="T62">
            <v>0</v>
          </cell>
          <cell r="U62">
            <v>0</v>
          </cell>
          <cell r="V62">
            <v>0</v>
          </cell>
        </row>
        <row r="63">
          <cell r="A63">
            <v>37834</v>
          </cell>
          <cell r="C63">
            <v>1397216</v>
          </cell>
          <cell r="D63">
            <v>-0.28587842285817089</v>
          </cell>
          <cell r="F63">
            <v>1413145</v>
          </cell>
          <cell r="G63">
            <v>0</v>
          </cell>
          <cell r="I63">
            <v>11836996</v>
          </cell>
          <cell r="J63">
            <v>7.1358840437623527E-2</v>
          </cell>
          <cell r="L63">
            <v>0.11803805627711625</v>
          </cell>
          <cell r="M63">
            <v>0.11938375243178252</v>
          </cell>
          <cell r="N63">
            <v>0.23742180870889878</v>
          </cell>
          <cell r="O63">
            <v>0.50283397755661996</v>
          </cell>
          <cell r="Q63">
            <v>0</v>
          </cell>
          <cell r="R63">
            <v>0</v>
          </cell>
          <cell r="T63">
            <v>0</v>
          </cell>
          <cell r="U63">
            <v>0</v>
          </cell>
          <cell r="V63">
            <v>0</v>
          </cell>
        </row>
        <row r="64">
          <cell r="A64">
            <v>37865</v>
          </cell>
          <cell r="C64">
            <v>1369219</v>
          </cell>
          <cell r="D64">
            <v>-0.27260822538419693</v>
          </cell>
          <cell r="F64">
            <v>1512388</v>
          </cell>
          <cell r="G64">
            <v>0</v>
          </cell>
          <cell r="I64">
            <v>12016633</v>
          </cell>
          <cell r="J64">
            <v>0.12470849533236872</v>
          </cell>
          <cell r="L64">
            <v>0.11394364794198175</v>
          </cell>
          <cell r="M64">
            <v>0.12585788381820431</v>
          </cell>
          <cell r="N64">
            <v>0.23980153176018607</v>
          </cell>
          <cell r="O64">
            <v>0.52484186774948838</v>
          </cell>
          <cell r="Q64">
            <v>0</v>
          </cell>
          <cell r="R64">
            <v>0</v>
          </cell>
          <cell r="T64">
            <v>0</v>
          </cell>
          <cell r="U64">
            <v>0</v>
          </cell>
          <cell r="V64">
            <v>0</v>
          </cell>
        </row>
        <row r="65">
          <cell r="A65" t="str">
            <v>F2Q:04A</v>
          </cell>
          <cell r="C65">
            <v>4243118</v>
          </cell>
          <cell r="D65">
            <v>-0.26749562978259567</v>
          </cell>
          <cell r="F65">
            <v>4281082</v>
          </cell>
          <cell r="G65">
            <v>0</v>
          </cell>
          <cell r="I65">
            <v>35951695</v>
          </cell>
          <cell r="J65">
            <v>9.5582323614152864E-2</v>
          </cell>
          <cell r="L65">
            <v>0.11802275247384024</v>
          </cell>
          <cell r="M65">
            <v>0.11907872493911623</v>
          </cell>
          <cell r="N65">
            <v>0.23710147741295645</v>
          </cell>
          <cell r="O65">
            <v>0.50222683653597988</v>
          </cell>
          <cell r="Q65">
            <v>282.71300000000002</v>
          </cell>
          <cell r="R65">
            <v>66.628597177830088</v>
          </cell>
          <cell r="T65">
            <v>232.43100000000001</v>
          </cell>
          <cell r="U65">
            <v>54.292583043258695</v>
          </cell>
          <cell r="V65">
            <v>515.14400000000001</v>
          </cell>
        </row>
        <row r="67">
          <cell r="A67">
            <v>37895</v>
          </cell>
          <cell r="C67">
            <v>1365347</v>
          </cell>
          <cell r="D67">
            <v>-0.29517563218034792</v>
          </cell>
          <cell r="F67">
            <v>1663201</v>
          </cell>
          <cell r="G67">
            <v>5.8039329588827027</v>
          </cell>
          <cell r="I67">
            <v>12472557</v>
          </cell>
          <cell r="J67">
            <v>9.3387440386659026E-2</v>
          </cell>
          <cell r="L67">
            <v>0.10946809062488148</v>
          </cell>
          <cell r="M67">
            <v>0.13334883937591946</v>
          </cell>
          <cell r="N67">
            <v>0.24281693000080096</v>
          </cell>
          <cell r="O67">
            <v>0.54917438983961953</v>
          </cell>
          <cell r="Q67">
            <v>0</v>
          </cell>
          <cell r="R67">
            <v>0</v>
          </cell>
          <cell r="T67">
            <v>0</v>
          </cell>
          <cell r="U67">
            <v>0</v>
          </cell>
          <cell r="V67">
            <v>0</v>
          </cell>
        </row>
        <row r="68">
          <cell r="A68">
            <v>37926</v>
          </cell>
          <cell r="C68">
            <v>1234014</v>
          </cell>
          <cell r="D68">
            <v>-0.31491622530895036</v>
          </cell>
          <cell r="F68">
            <v>1638180</v>
          </cell>
          <cell r="G68">
            <v>3.2073659338401477</v>
          </cell>
          <cell r="I68">
            <v>11658500</v>
          </cell>
          <cell r="J68">
            <v>5.5221333998528133E-2</v>
          </cell>
          <cell r="L68">
            <v>0.105846721276322</v>
          </cell>
          <cell r="M68">
            <v>0.1405137882231848</v>
          </cell>
          <cell r="N68">
            <v>0.2463605094995068</v>
          </cell>
          <cell r="O68">
            <v>0.57035840893755785</v>
          </cell>
          <cell r="Q68">
            <v>0</v>
          </cell>
          <cell r="R68">
            <v>0</v>
          </cell>
          <cell r="T68">
            <v>0</v>
          </cell>
          <cell r="U68">
            <v>0</v>
          </cell>
          <cell r="V68">
            <v>0</v>
          </cell>
        </row>
        <row r="69">
          <cell r="A69">
            <v>37956</v>
          </cell>
          <cell r="C69">
            <v>1316592</v>
          </cell>
          <cell r="D69">
            <v>-0.29310230964626449</v>
          </cell>
          <cell r="F69">
            <v>1884136</v>
          </cell>
          <cell r="G69">
            <v>2.422609024209033</v>
          </cell>
          <cell r="I69">
            <v>12824984</v>
          </cell>
          <cell r="J69">
            <v>8.6101215274675624E-2</v>
          </cell>
          <cell r="L69">
            <v>0.10265837368685996</v>
          </cell>
          <cell r="M69">
            <v>0.14691137236506494</v>
          </cell>
          <cell r="N69">
            <v>0.24956974605192489</v>
          </cell>
          <cell r="O69">
            <v>0.58865858017301065</v>
          </cell>
          <cell r="Q69">
            <v>0</v>
          </cell>
          <cell r="R69">
            <v>0</v>
          </cell>
          <cell r="T69">
            <v>0</v>
          </cell>
          <cell r="U69">
            <v>0</v>
          </cell>
          <cell r="V69">
            <v>0</v>
          </cell>
        </row>
        <row r="70">
          <cell r="A70" t="str">
            <v>F3Q:04A</v>
          </cell>
          <cell r="C70">
            <v>3915953</v>
          </cell>
          <cell r="D70">
            <v>-0.30083479470613461</v>
          </cell>
          <cell r="F70">
            <v>5185517</v>
          </cell>
          <cell r="G70">
            <v>3.3785354098272062</v>
          </cell>
          <cell r="I70">
            <v>36956041</v>
          </cell>
          <cell r="J70">
            <v>7.8569762512953778E-2</v>
          </cell>
          <cell r="L70">
            <v>0.1059624595610769</v>
          </cell>
          <cell r="M70">
            <v>0.14031581467289744</v>
          </cell>
          <cell r="N70">
            <v>0.24627827423397436</v>
          </cell>
          <cell r="O70">
            <v>0.56974499723671013</v>
          </cell>
          <cell r="Q70">
            <v>274.19600000000003</v>
          </cell>
          <cell r="R70">
            <v>70.020247944753166</v>
          </cell>
          <cell r="T70">
            <v>313.69600000000003</v>
          </cell>
          <cell r="U70">
            <v>60.494643060663002</v>
          </cell>
          <cell r="V70">
            <v>587.89200000000005</v>
          </cell>
        </row>
        <row r="72">
          <cell r="A72">
            <v>37987</v>
          </cell>
          <cell r="C72">
            <v>1223941</v>
          </cell>
          <cell r="D72">
            <v>-0.31656777640414679</v>
          </cell>
          <cell r="F72">
            <v>1904111</v>
          </cell>
          <cell r="G72">
            <v>1.8133487388687866</v>
          </cell>
          <cell r="I72">
            <v>12450800</v>
          </cell>
          <cell r="J72">
            <v>5.8550669437142266E-2</v>
          </cell>
          <cell r="L72">
            <v>9.8302197449159898E-2</v>
          </cell>
          <cell r="M72">
            <v>0.15293081569055803</v>
          </cell>
          <cell r="N72">
            <v>0.25123301313971791</v>
          </cell>
          <cell r="O72">
            <v>0.60872101870429263</v>
          </cell>
          <cell r="Q72">
            <v>0</v>
          </cell>
          <cell r="R72">
            <v>0</v>
          </cell>
          <cell r="T72">
            <v>0</v>
          </cell>
          <cell r="U72">
            <v>0</v>
          </cell>
          <cell r="V72">
            <v>0</v>
          </cell>
        </row>
        <row r="73">
          <cell r="A73">
            <v>38018</v>
          </cell>
          <cell r="C73">
            <v>1109187</v>
          </cell>
          <cell r="D73">
            <v>-0.29298367953657123</v>
          </cell>
          <cell r="F73">
            <v>1849720</v>
          </cell>
          <cell r="G73">
            <v>1.545558635153844</v>
          </cell>
          <cell r="I73">
            <v>11619058</v>
          </cell>
          <cell r="J73">
            <v>8.4775445414846384E-2</v>
          </cell>
          <cell r="L73">
            <v>9.5462730283298353E-2</v>
          </cell>
          <cell r="M73">
            <v>0.15919707088130552</v>
          </cell>
          <cell r="N73">
            <v>0.25465980116460385</v>
          </cell>
          <cell r="O73">
            <v>0.62513624118635702</v>
          </cell>
          <cell r="Q73">
            <v>0</v>
          </cell>
          <cell r="R73">
            <v>0</v>
          </cell>
          <cell r="T73">
            <v>0</v>
          </cell>
          <cell r="U73">
            <v>0</v>
          </cell>
          <cell r="V73">
            <v>0</v>
          </cell>
        </row>
        <row r="74">
          <cell r="A74">
            <v>38047</v>
          </cell>
          <cell r="C74">
            <v>1185786</v>
          </cell>
          <cell r="D74">
            <v>-0.28796118988386143</v>
          </cell>
          <cell r="F74">
            <v>2112791</v>
          </cell>
          <cell r="G74">
            <v>1.3328202755716418</v>
          </cell>
          <cell r="I74">
            <v>12849893</v>
          </cell>
          <cell r="J74">
            <v>9.3502008060836417E-2</v>
          </cell>
          <cell r="L74">
            <v>9.2279834548038647E-2</v>
          </cell>
          <cell r="M74">
            <v>0.16442090218183139</v>
          </cell>
          <cell r="N74">
            <v>0.25670073672987004</v>
          </cell>
          <cell r="O74">
            <v>0.64051589518753083</v>
          </cell>
          <cell r="Q74">
            <v>0</v>
          </cell>
          <cell r="R74">
            <v>0</v>
          </cell>
          <cell r="T74">
            <v>0</v>
          </cell>
          <cell r="U74">
            <v>0</v>
          </cell>
          <cell r="V74">
            <v>0</v>
          </cell>
        </row>
        <row r="75">
          <cell r="A75" t="str">
            <v>F4Q:04A</v>
          </cell>
          <cell r="C75">
            <v>3518914</v>
          </cell>
          <cell r="D75">
            <v>-0.29972432065728416</v>
          </cell>
          <cell r="F75">
            <v>5866622</v>
          </cell>
          <cell r="G75">
            <v>1.5406090579176661</v>
          </cell>
          <cell r="I75">
            <v>36919751</v>
          </cell>
          <cell r="J75">
            <v>7.8758901135813408E-2</v>
          </cell>
          <cell r="L75">
            <v>9.5312506305906555E-2</v>
          </cell>
          <cell r="M75">
            <v>0.15890199259469545</v>
          </cell>
          <cell r="N75">
            <v>0.25421449890060199</v>
          </cell>
          <cell r="O75">
            <v>0.62507053406433044</v>
          </cell>
          <cell r="Q75">
            <v>245.655</v>
          </cell>
          <cell r="R75">
            <v>69.809890210445616</v>
          </cell>
          <cell r="T75">
            <v>351.83800000000002</v>
          </cell>
          <cell r="U75">
            <v>59.972842975054476</v>
          </cell>
          <cell r="V75">
            <v>597.49300000000005</v>
          </cell>
        </row>
        <row r="77">
          <cell r="A77" t="str">
            <v>F2004A</v>
          </cell>
          <cell r="C77">
            <v>16284855</v>
          </cell>
          <cell r="D77">
            <v>-0.25906013500558678</v>
          </cell>
          <cell r="F77">
            <v>18712254</v>
          </cell>
          <cell r="G77">
            <v>4.2481945552683875</v>
          </cell>
          <cell r="I77">
            <v>145006472</v>
          </cell>
          <cell r="J77">
            <v>8.8264675290236516E-2</v>
          </cell>
          <cell r="L77">
            <v>0.11230433218180771</v>
          </cell>
          <cell r="M77">
            <v>0.12904426776206238</v>
          </cell>
          <cell r="N77">
            <v>0.24134859994387009</v>
          </cell>
          <cell r="O77">
            <v>0.53467999313886183</v>
          </cell>
          <cell r="Q77">
            <v>1087.2810000000002</v>
          </cell>
          <cell r="R77">
            <v>66.766391226694992</v>
          </cell>
          <cell r="T77">
            <v>1088.9570000000001</v>
          </cell>
          <cell r="U77">
            <v>58.194859903034668</v>
          </cell>
          <cell r="V77">
            <v>2176.2380000000003</v>
          </cell>
        </row>
        <row r="79">
          <cell r="A79">
            <v>38078</v>
          </cell>
          <cell r="C79">
            <v>1083594</v>
          </cell>
          <cell r="D79">
            <v>-0.31149059680040869</v>
          </cell>
          <cell r="F79">
            <v>2037402</v>
          </cell>
          <cell r="G79">
            <v>1.0123144754347551</v>
          </cell>
          <cell r="I79">
            <v>12041847</v>
          </cell>
          <cell r="J79">
            <v>4.1043591595882445E-2</v>
          </cell>
          <cell r="L79">
            <v>8.9985697376822674E-2</v>
          </cell>
          <cell r="M79">
            <v>0.16919348003674187</v>
          </cell>
          <cell r="N79">
            <v>0.25917917741356455</v>
          </cell>
          <cell r="O79">
            <v>0.65280506607506061</v>
          </cell>
          <cell r="Q79">
            <v>0</v>
          </cell>
          <cell r="R79">
            <v>0</v>
          </cell>
          <cell r="T79">
            <v>0</v>
          </cell>
          <cell r="U79">
            <v>0</v>
          </cell>
          <cell r="V79">
            <v>0</v>
          </cell>
        </row>
        <row r="80">
          <cell r="A80">
            <v>38108</v>
          </cell>
          <cell r="C80">
            <v>1043428</v>
          </cell>
          <cell r="D80">
            <v>-0.33087167753420577</v>
          </cell>
          <cell r="F80">
            <v>2063877</v>
          </cell>
          <cell r="G80">
            <v>0.79980588146037146</v>
          </cell>
          <cell r="I80">
            <v>11905185</v>
          </cell>
          <cell r="J80">
            <v>-7.2789189932365161E-4</v>
          </cell>
          <cell r="L80">
            <v>8.7644837102489381E-2</v>
          </cell>
          <cell r="M80">
            <v>0.17335950680312823</v>
          </cell>
          <cell r="N80">
            <v>0.26100434390561761</v>
          </cell>
          <cell r="O80">
            <v>0.66420161522605603</v>
          </cell>
          <cell r="Q80">
            <v>0</v>
          </cell>
          <cell r="R80">
            <v>0</v>
          </cell>
          <cell r="T80">
            <v>0</v>
          </cell>
          <cell r="U80">
            <v>0</v>
          </cell>
          <cell r="V80">
            <v>0</v>
          </cell>
        </row>
        <row r="81">
          <cell r="A81">
            <v>38139</v>
          </cell>
          <cell r="C81">
            <v>1056845</v>
          </cell>
          <cell r="D81">
            <v>-0.282843396712946</v>
          </cell>
          <cell r="F81">
            <v>2196822</v>
          </cell>
          <cell r="G81">
            <v>0.8009040500260689</v>
          </cell>
          <cell r="I81">
            <v>12357033</v>
          </cell>
          <cell r="J81">
            <v>5.6333986320438845E-2</v>
          </cell>
          <cell r="L81">
            <v>8.5525789240831512E-2</v>
          </cell>
          <cell r="M81">
            <v>0.17777908337705337</v>
          </cell>
          <cell r="N81">
            <v>0.26330487261788488</v>
          </cell>
          <cell r="O81">
            <v>0.67518341612709598</v>
          </cell>
          <cell r="Q81">
            <v>0</v>
          </cell>
          <cell r="R81">
            <v>0</v>
          </cell>
          <cell r="T81">
            <v>0</v>
          </cell>
          <cell r="U81">
            <v>0</v>
          </cell>
          <cell r="V81">
            <v>0</v>
          </cell>
        </row>
        <row r="82">
          <cell r="A82" t="str">
            <v>F1Q:05A</v>
          </cell>
          <cell r="C82">
            <v>3183867</v>
          </cell>
          <cell r="D82">
            <v>-0.30888716199936184</v>
          </cell>
          <cell r="F82">
            <v>6298101</v>
          </cell>
          <cell r="G82">
            <v>0.86387673633255435</v>
          </cell>
          <cell r="I82">
            <v>36304065</v>
          </cell>
          <cell r="J82">
            <v>3.1981593556493992E-2</v>
          </cell>
          <cell r="L82">
            <v>8.7700013758789816E-2</v>
          </cell>
          <cell r="M82">
            <v>0.17348197784462979</v>
          </cell>
          <cell r="N82">
            <v>0.26118199160341959</v>
          </cell>
          <cell r="O82">
            <v>0.66421875711877532</v>
          </cell>
          <cell r="Q82">
            <v>261.053</v>
          </cell>
          <cell r="R82">
            <v>81.992432472838843</v>
          </cell>
          <cell r="T82">
            <v>363.87200000000001</v>
          </cell>
          <cell r="U82">
            <v>57.77487531559116</v>
          </cell>
          <cell r="V82">
            <v>624.92499999999995</v>
          </cell>
        </row>
        <row r="84">
          <cell r="A84">
            <v>38169</v>
          </cell>
          <cell r="C84">
            <v>1020626</v>
          </cell>
          <cell r="D84">
            <v>-0.30883879613972665</v>
          </cell>
          <cell r="F84">
            <v>2223308</v>
          </cell>
          <cell r="G84">
            <v>0.64015317778995806</v>
          </cell>
          <cell r="I84">
            <v>12204580</v>
          </cell>
          <cell r="J84">
            <v>8.8042171368547528E-3</v>
          </cell>
          <cell r="L84">
            <v>8.3626474651319421E-2</v>
          </cell>
          <cell r="M84">
            <v>0.1821699722563169</v>
          </cell>
          <cell r="N84">
            <v>0.26579644690763632</v>
          </cell>
          <cell r="O84">
            <v>0.68537399342896621</v>
          </cell>
          <cell r="Q84">
            <v>0</v>
          </cell>
          <cell r="R84">
            <v>0</v>
          </cell>
          <cell r="T84">
            <v>0</v>
          </cell>
          <cell r="U84">
            <v>0</v>
          </cell>
          <cell r="V84">
            <v>0</v>
          </cell>
        </row>
        <row r="85">
          <cell r="A85">
            <v>38200</v>
          </cell>
          <cell r="C85">
            <v>1008578</v>
          </cell>
          <cell r="D85">
            <v>-0.27815169594393419</v>
          </cell>
          <cell r="F85">
            <v>2303721</v>
          </cell>
          <cell r="G85">
            <v>0.63020850655806737</v>
          </cell>
          <cell r="I85">
            <v>12374184</v>
          </cell>
          <cell r="J85">
            <v>4.5382122288458948E-2</v>
          </cell>
          <cell r="L85">
            <v>8.150662702284045E-2</v>
          </cell>
          <cell r="M85">
            <v>0.18617154876636713</v>
          </cell>
          <cell r="N85">
            <v>0.26767817578920761</v>
          </cell>
          <cell r="O85">
            <v>0.69550514612358361</v>
          </cell>
          <cell r="Q85">
            <v>0</v>
          </cell>
          <cell r="R85">
            <v>0</v>
          </cell>
          <cell r="T85">
            <v>0</v>
          </cell>
          <cell r="U85">
            <v>0</v>
          </cell>
          <cell r="V85">
            <v>0</v>
          </cell>
        </row>
        <row r="86">
          <cell r="A86">
            <v>38231</v>
          </cell>
          <cell r="C86">
            <v>961299</v>
          </cell>
          <cell r="D86">
            <v>-0.29792166191091418</v>
          </cell>
          <cell r="F86">
            <v>2294890</v>
          </cell>
          <cell r="G86">
            <v>0.51739500710135222</v>
          </cell>
          <cell r="I86">
            <v>12113957</v>
          </cell>
          <cell r="J86">
            <v>8.099107295695962E-3</v>
          </cell>
          <cell r="L86">
            <v>7.9354665036370856E-2</v>
          </cell>
          <cell r="M86">
            <v>0.18944181492471865</v>
          </cell>
          <cell r="N86">
            <v>0.26879647996108952</v>
          </cell>
          <cell r="O86">
            <v>0.70477788605022618</v>
          </cell>
          <cell r="Q86">
            <v>0</v>
          </cell>
          <cell r="R86">
            <v>0</v>
          </cell>
          <cell r="T86">
            <v>0</v>
          </cell>
          <cell r="U86">
            <v>0</v>
          </cell>
          <cell r="V86">
            <v>0</v>
          </cell>
        </row>
        <row r="87">
          <cell r="A87" t="str">
            <v>F2Q:05A</v>
          </cell>
          <cell r="C87">
            <v>2990503</v>
          </cell>
          <cell r="D87">
            <v>-0.29521097457105838</v>
          </cell>
          <cell r="F87">
            <v>6821919</v>
          </cell>
          <cell r="G87">
            <v>0.59350346477829663</v>
          </cell>
          <cell r="I87">
            <v>36692721</v>
          </cell>
          <cell r="J87">
            <v>2.0611712465851806E-2</v>
          </cell>
          <cell r="L87">
            <v>8.1501260154568531E-2</v>
          </cell>
          <cell r="M87">
            <v>0.185920226521222</v>
          </cell>
          <cell r="N87">
            <v>0.26742148667579052</v>
          </cell>
          <cell r="O87">
            <v>0.69523294045038009</v>
          </cell>
          <cell r="Q87">
            <v>256.38799999999998</v>
          </cell>
          <cell r="R87">
            <v>85.734072161104663</v>
          </cell>
          <cell r="T87">
            <v>414.92500000000001</v>
          </cell>
          <cell r="U87">
            <v>60.82232873184217</v>
          </cell>
          <cell r="V87">
            <v>671.31299999999999</v>
          </cell>
        </row>
        <row r="89">
          <cell r="A89">
            <v>38261</v>
          </cell>
          <cell r="C89">
            <v>938974</v>
          </cell>
          <cell r="D89">
            <v>-0.31228178624188574</v>
          </cell>
          <cell r="F89">
            <v>2324930</v>
          </cell>
          <cell r="G89">
            <v>0.39786471989855698</v>
          </cell>
          <cell r="I89">
            <v>12160708</v>
          </cell>
          <cell r="J89">
            <v>-2.5002812173959166E-2</v>
          </cell>
          <cell r="L89">
            <v>7.7213760909315476E-2</v>
          </cell>
          <cell r="M89">
            <v>0.19118376989234509</v>
          </cell>
          <cell r="N89">
            <v>0.26839753080166057</v>
          </cell>
          <cell r="O89">
            <v>0.71231568085335839</v>
          </cell>
          <cell r="Q89">
            <v>0</v>
          </cell>
          <cell r="R89">
            <v>0</v>
          </cell>
          <cell r="T89">
            <v>0</v>
          </cell>
          <cell r="U89">
            <v>0</v>
          </cell>
          <cell r="V89">
            <v>0</v>
          </cell>
        </row>
        <row r="90">
          <cell r="A90">
            <v>38292</v>
          </cell>
          <cell r="C90">
            <v>481704</v>
          </cell>
          <cell r="D90">
            <v>-0.60964462315662549</v>
          </cell>
          <cell r="F90">
            <v>2359114</v>
          </cell>
          <cell r="G90">
            <v>0.4400822864398295</v>
          </cell>
          <cell r="I90">
            <v>12245947</v>
          </cell>
          <cell r="J90">
            <v>5.038787151005697E-2</v>
          </cell>
          <cell r="L90">
            <v>3.9335790037307854E-2</v>
          </cell>
          <cell r="M90">
            <v>0.19264447249363401</v>
          </cell>
          <cell r="N90">
            <v>0.23198026253094187</v>
          </cell>
          <cell r="O90">
            <v>0.83043475505998621</v>
          </cell>
          <cell r="Q90">
            <v>0</v>
          </cell>
          <cell r="R90">
            <v>0</v>
          </cell>
          <cell r="T90">
            <v>0</v>
          </cell>
          <cell r="U90">
            <v>0</v>
          </cell>
          <cell r="V90">
            <v>0</v>
          </cell>
        </row>
        <row r="91">
          <cell r="A91">
            <v>38322</v>
          </cell>
          <cell r="C91">
            <v>226777</v>
          </cell>
          <cell r="D91">
            <v>-0.82775453595343129</v>
          </cell>
          <cell r="F91">
            <v>2452019</v>
          </cell>
          <cell r="G91">
            <v>0.30140234038307212</v>
          </cell>
          <cell r="I91">
            <v>12637111</v>
          </cell>
          <cell r="J91">
            <v>-1.4648985137135417E-2</v>
          </cell>
          <cell r="L91">
            <v>1.7945319939027204E-2</v>
          </cell>
          <cell r="M91">
            <v>0.19403319318790505</v>
          </cell>
          <cell r="N91">
            <v>0.21197851312693225</v>
          </cell>
          <cell r="O91">
            <v>0.91534368425217894</v>
          </cell>
          <cell r="Q91">
            <v>0</v>
          </cell>
          <cell r="R91">
            <v>0</v>
          </cell>
          <cell r="T91">
            <v>0</v>
          </cell>
          <cell r="U91">
            <v>0</v>
          </cell>
          <cell r="V91">
            <v>0</v>
          </cell>
        </row>
        <row r="92">
          <cell r="A92" t="str">
            <v>F3Q:05A</v>
          </cell>
          <cell r="C92">
            <v>1647455</v>
          </cell>
          <cell r="D92">
            <v>-0.57929653394716429</v>
          </cell>
          <cell r="F92">
            <v>7136063</v>
          </cell>
          <cell r="G92">
            <v>0.37615265748815396</v>
          </cell>
          <cell r="I92">
            <v>37043766</v>
          </cell>
          <cell r="J92">
            <v>2.3737661726266346E-3</v>
          </cell>
          <cell r="L92">
            <v>4.4473205019165706E-2</v>
          </cell>
          <cell r="M92">
            <v>0.19263870201534045</v>
          </cell>
          <cell r="N92">
            <v>0.23711190703450616</v>
          </cell>
          <cell r="O92">
            <v>0.81243790927507631</v>
          </cell>
          <cell r="Q92">
            <v>129.81200000000001</v>
          </cell>
          <cell r="R92">
            <v>78.795475445459829</v>
          </cell>
          <cell r="T92">
            <v>427.11799999999999</v>
          </cell>
          <cell r="U92">
            <v>59.853451405908267</v>
          </cell>
          <cell r="V92">
            <v>556.93000000000006</v>
          </cell>
        </row>
        <row r="94">
          <cell r="A94">
            <v>38353</v>
          </cell>
          <cell r="C94">
            <v>156465</v>
          </cell>
          <cell r="D94">
            <v>-0.87216295556730272</v>
          </cell>
          <cell r="F94">
            <v>2414543</v>
          </cell>
          <cell r="G94">
            <v>0.26806840567592971</v>
          </cell>
          <cell r="I94">
            <v>12398761</v>
          </cell>
          <cell r="J94">
            <v>-4.1795707906319146E-3</v>
          </cell>
          <cell r="L94">
            <v>1.2619406084204704E-2</v>
          </cell>
          <cell r="M94">
            <v>0.19474066803933071</v>
          </cell>
          <cell r="N94">
            <v>0.20736007412353541</v>
          </cell>
          <cell r="O94">
            <v>0.93914254642537087</v>
          </cell>
          <cell r="Q94">
            <v>0</v>
          </cell>
          <cell r="R94">
            <v>0</v>
          </cell>
          <cell r="T94">
            <v>0</v>
          </cell>
          <cell r="U94">
            <v>0</v>
          </cell>
          <cell r="V94">
            <v>0</v>
          </cell>
        </row>
        <row r="95">
          <cell r="A95">
            <v>38384</v>
          </cell>
          <cell r="C95">
            <v>111341</v>
          </cell>
          <cell r="D95">
            <v>-0.89961927069105574</v>
          </cell>
          <cell r="F95">
            <v>2220917</v>
          </cell>
          <cell r="G95">
            <v>0.20067739982267585</v>
          </cell>
          <cell r="I95">
            <v>11385615</v>
          </cell>
          <cell r="J95">
            <v>-2.0091387787202764E-2</v>
          </cell>
          <cell r="L95">
            <v>9.7790940585993826E-3</v>
          </cell>
          <cell r="M95">
            <v>0.19506341993822907</v>
          </cell>
          <cell r="N95">
            <v>0.20484251399682846</v>
          </cell>
          <cell r="O95">
            <v>0.95226042744842121</v>
          </cell>
          <cell r="Q95">
            <v>0</v>
          </cell>
          <cell r="R95">
            <v>0</v>
          </cell>
          <cell r="T95">
            <v>0</v>
          </cell>
          <cell r="U95">
            <v>0</v>
          </cell>
          <cell r="V95">
            <v>0</v>
          </cell>
        </row>
        <row r="96">
          <cell r="A96">
            <v>38412</v>
          </cell>
          <cell r="C96">
            <v>102557</v>
          </cell>
          <cell r="D96">
            <v>-0.91351137557704343</v>
          </cell>
          <cell r="F96">
            <v>2493267</v>
          </cell>
          <cell r="G96">
            <v>0.18008217566242957</v>
          </cell>
          <cell r="I96">
            <v>12643449</v>
          </cell>
          <cell r="J96">
            <v>-1.6065814711453186E-2</v>
          </cell>
          <cell r="L96">
            <v>8.1114733804043496E-3</v>
          </cell>
          <cell r="M96">
            <v>0.1971983277664188</v>
          </cell>
          <cell r="N96">
            <v>0.20530980114682315</v>
          </cell>
          <cell r="O96">
            <v>0.96049154334038056</v>
          </cell>
          <cell r="Q96">
            <v>0</v>
          </cell>
          <cell r="R96">
            <v>0</v>
          </cell>
          <cell r="T96">
            <v>0</v>
          </cell>
          <cell r="U96">
            <v>0</v>
          </cell>
          <cell r="V96">
            <v>0</v>
          </cell>
        </row>
        <row r="97">
          <cell r="A97" t="str">
            <v>F4Q:05A</v>
          </cell>
          <cell r="C97">
            <v>370363</v>
          </cell>
          <cell r="D97">
            <v>-0.89475076685591071</v>
          </cell>
          <cell r="F97">
            <v>7128727</v>
          </cell>
          <cell r="G97">
            <v>0.21513317203665072</v>
          </cell>
          <cell r="I97">
            <v>36427825</v>
          </cell>
          <cell r="J97">
            <v>-1.332419603805024E-2</v>
          </cell>
          <cell r="L97">
            <v>1.0167035775536969E-2</v>
          </cell>
          <cell r="M97">
            <v>0.19569455491784096</v>
          </cell>
          <cell r="N97">
            <v>0.20586159069337792</v>
          </cell>
          <cell r="O97">
            <v>0.95061227428928041</v>
          </cell>
          <cell r="Q97">
            <v>6.1970000000000001</v>
          </cell>
          <cell r="R97">
            <v>16.73223297143613</v>
          </cell>
          <cell r="T97">
            <v>399.38099999999997</v>
          </cell>
          <cell r="U97">
            <v>56.024168129877886</v>
          </cell>
          <cell r="V97">
            <v>405.57799999999997</v>
          </cell>
        </row>
        <row r="98">
          <cell r="A98" t="str">
            <v>F2005A</v>
          </cell>
          <cell r="C98">
            <v>8192188</v>
          </cell>
          <cell r="D98">
            <v>-0.49694436947703868</v>
          </cell>
          <cell r="F98">
            <v>27384810</v>
          </cell>
          <cell r="G98">
            <v>0.4634693393965259</v>
          </cell>
          <cell r="I98">
            <v>146468377</v>
          </cell>
          <cell r="J98">
            <v>1.008165345888834E-2</v>
          </cell>
          <cell r="L98">
            <v>5.5931445188335774E-2</v>
          </cell>
          <cell r="M98">
            <v>0.18696738887193376</v>
          </cell>
          <cell r="N98">
            <v>0.24289883406026952</v>
          </cell>
          <cell r="O98">
            <v>0.7697335789826899</v>
          </cell>
          <cell r="Q98">
            <v>653.45000000000005</v>
          </cell>
          <cell r="R98">
            <v>79.765015158343544</v>
          </cell>
          <cell r="T98">
            <v>1605.2959999999998</v>
          </cell>
          <cell r="U98">
            <v>58.619942953776196</v>
          </cell>
          <cell r="V98">
            <v>2258.7460000000001</v>
          </cell>
        </row>
        <row r="100">
          <cell r="A100">
            <v>38443</v>
          </cell>
          <cell r="C100">
            <v>84588</v>
          </cell>
          <cell r="D100">
            <v>-0.92193755225665697</v>
          </cell>
          <cell r="F100">
            <v>2413996</v>
          </cell>
          <cell r="G100">
            <v>0.18484030152125119</v>
          </cell>
          <cell r="I100">
            <v>12132448</v>
          </cell>
          <cell r="J100">
            <v>7.523845802060114E-3</v>
          </cell>
          <cell r="L100">
            <v>6.9720471911357048E-3</v>
          </cell>
          <cell r="M100">
            <v>0.19897023255323246</v>
          </cell>
          <cell r="N100">
            <v>0.20594227974436816</v>
          </cell>
          <cell r="O100">
            <v>0.96614562488193312</v>
          </cell>
          <cell r="Q100">
            <v>0</v>
          </cell>
          <cell r="R100">
            <v>0</v>
          </cell>
          <cell r="T100">
            <v>0</v>
          </cell>
          <cell r="U100">
            <v>0</v>
          </cell>
          <cell r="V100">
            <v>0</v>
          </cell>
        </row>
        <row r="101">
          <cell r="A101">
            <v>38473</v>
          </cell>
          <cell r="C101">
            <v>78802</v>
          </cell>
          <cell r="D101">
            <v>-0.92447777901302242</v>
          </cell>
          <cell r="F101">
            <v>2497608</v>
          </cell>
          <cell r="G101">
            <v>0.21015351205522426</v>
          </cell>
          <cell r="I101">
            <v>12502513</v>
          </cell>
          <cell r="J101">
            <v>5.017376882425606E-2</v>
          </cell>
          <cell r="L101">
            <v>6.3028928664181352E-3</v>
          </cell>
          <cell r="M101">
            <v>0.19976847854507329</v>
          </cell>
          <cell r="N101">
            <v>0.20607137141149143</v>
          </cell>
          <cell r="O101">
            <v>0.96941402959932621</v>
          </cell>
          <cell r="Q101">
            <v>0</v>
          </cell>
          <cell r="R101">
            <v>0</v>
          </cell>
          <cell r="T101">
            <v>0</v>
          </cell>
          <cell r="U101">
            <v>0</v>
          </cell>
          <cell r="V101">
            <v>0</v>
          </cell>
        </row>
        <row r="102">
          <cell r="A102">
            <v>38504</v>
          </cell>
          <cell r="C102">
            <v>71150</v>
          </cell>
          <cell r="D102">
            <v>-0.93267697722939502</v>
          </cell>
          <cell r="F102">
            <v>2493361</v>
          </cell>
          <cell r="G102">
            <v>0.13498544715957861</v>
          </cell>
          <cell r="I102">
            <v>12452319</v>
          </cell>
          <cell r="J102">
            <v>7.711074333134782E-3</v>
          </cell>
          <cell r="L102">
            <v>5.7137951573518154E-3</v>
          </cell>
          <cell r="M102">
            <v>0.20023266349023022</v>
          </cell>
          <cell r="N102">
            <v>0.20594645864758204</v>
          </cell>
          <cell r="O102">
            <v>0.97225591935460598</v>
          </cell>
          <cell r="Q102">
            <v>0</v>
          </cell>
          <cell r="R102">
            <v>0</v>
          </cell>
          <cell r="T102">
            <v>0</v>
          </cell>
          <cell r="U102">
            <v>0</v>
          </cell>
          <cell r="V102">
            <v>0</v>
          </cell>
        </row>
        <row r="103">
          <cell r="A103" t="str">
            <v>F1Q:06A</v>
          </cell>
          <cell r="C103">
            <v>234540</v>
          </cell>
          <cell r="D103">
            <v>-0.92633486260575582</v>
          </cell>
          <cell r="F103">
            <v>7404965</v>
          </cell>
          <cell r="G103">
            <v>0.17574567317989986</v>
          </cell>
          <cell r="I103">
            <v>37087280</v>
          </cell>
          <cell r="J103">
            <v>2.1573754894940844E-2</v>
          </cell>
          <cell r="L103">
            <v>6.3240011130500807E-3</v>
          </cell>
          <cell r="M103">
            <v>0.19966319988955783</v>
          </cell>
          <cell r="N103">
            <v>0.20598720100260792</v>
          </cell>
          <cell r="O103">
            <v>0.96929905798870475</v>
          </cell>
          <cell r="Q103">
            <v>4.1550000000000002</v>
          </cell>
          <cell r="R103">
            <v>17.715528268099259</v>
          </cell>
          <cell r="T103">
            <v>461.072</v>
          </cell>
          <cell r="U103">
            <v>62.26525040969134</v>
          </cell>
          <cell r="V103">
            <v>465.22699999999998</v>
          </cell>
        </row>
        <row r="105">
          <cell r="A105">
            <v>38534</v>
          </cell>
          <cell r="C105">
            <v>64059</v>
          </cell>
          <cell r="D105">
            <v>-0.9372355789486061</v>
          </cell>
          <cell r="F105">
            <v>2440935</v>
          </cell>
          <cell r="G105">
            <v>9.7884323719430677E-2</v>
          </cell>
          <cell r="I105">
            <v>12215005</v>
          </cell>
          <cell r="J105">
            <v>8.5418752632215877E-4</v>
          </cell>
          <cell r="L105">
            <v>5.2442876609547027E-3</v>
          </cell>
          <cell r="M105">
            <v>0.19983086376141476</v>
          </cell>
          <cell r="N105">
            <v>0.20507515142236946</v>
          </cell>
          <cell r="O105">
            <v>0.97442748365864351</v>
          </cell>
          <cell r="Q105">
            <v>0</v>
          </cell>
          <cell r="R105">
            <v>0</v>
          </cell>
          <cell r="T105">
            <v>0</v>
          </cell>
          <cell r="U105">
            <v>0</v>
          </cell>
          <cell r="V105">
            <v>0</v>
          </cell>
        </row>
        <row r="106">
          <cell r="A106">
            <v>38565</v>
          </cell>
          <cell r="C106">
            <v>61864</v>
          </cell>
          <cell r="D106">
            <v>-0.93866215602561232</v>
          </cell>
          <cell r="F106">
            <v>2543269</v>
          </cell>
          <cell r="G106">
            <v>0.10398307781193994</v>
          </cell>
          <cell r="I106">
            <v>12752585</v>
          </cell>
          <cell r="J106">
            <v>3.0579875004283164E-2</v>
          </cell>
          <cell r="L106">
            <v>4.8510948956623301E-3</v>
          </cell>
          <cell r="M106">
            <v>0.19943164464302729</v>
          </cell>
          <cell r="N106">
            <v>0.20428273953868961</v>
          </cell>
          <cell r="O106">
            <v>0.97625303583348721</v>
          </cell>
          <cell r="Q106">
            <v>0</v>
          </cell>
          <cell r="R106">
            <v>0</v>
          </cell>
          <cell r="T106">
            <v>0</v>
          </cell>
          <cell r="U106">
            <v>0</v>
          </cell>
          <cell r="V106">
            <v>0</v>
          </cell>
        </row>
        <row r="107">
          <cell r="A107">
            <v>38596</v>
          </cell>
          <cell r="C107">
            <v>55693</v>
          </cell>
          <cell r="D107">
            <v>-0.94206485183069988</v>
          </cell>
          <cell r="F107">
            <v>2463683</v>
          </cell>
          <cell r="G107">
            <v>7.3551673500690695E-2</v>
          </cell>
          <cell r="I107">
            <v>12369697</v>
          </cell>
          <cell r="J107">
            <v>2.1111186047630737E-2</v>
          </cell>
          <cell r="L107">
            <v>4.5023738253249053E-3</v>
          </cell>
          <cell r="M107">
            <v>0.19917084468600968</v>
          </cell>
          <cell r="N107">
            <v>0.20367321851133457</v>
          </cell>
          <cell r="O107">
            <v>0.97789412933996356</v>
          </cell>
          <cell r="Q107">
            <v>0</v>
          </cell>
          <cell r="R107">
            <v>0</v>
          </cell>
          <cell r="T107">
            <v>0</v>
          </cell>
          <cell r="U107">
            <v>0</v>
          </cell>
          <cell r="V107">
            <v>0</v>
          </cell>
        </row>
        <row r="108">
          <cell r="A108" t="str">
            <v>F2Q:06A</v>
          </cell>
          <cell r="C108">
            <v>181616</v>
          </cell>
          <cell r="D108">
            <v>-0.93926907948261551</v>
          </cell>
          <cell r="F108">
            <v>7447887</v>
          </cell>
          <cell r="G108">
            <v>9.1758345415710707E-2</v>
          </cell>
          <cell r="I108">
            <v>37337287</v>
          </cell>
          <cell r="J108">
            <v>1.7566590387232406E-2</v>
          </cell>
          <cell r="L108">
            <v>4.864199158337348E-3</v>
          </cell>
          <cell r="M108">
            <v>0.19947584836573692</v>
          </cell>
          <cell r="N108">
            <v>0.20434004752407428</v>
          </cell>
          <cell r="O108">
            <v>0.97619556608077884</v>
          </cell>
          <cell r="Q108">
            <v>5.0659999999999998</v>
          </cell>
          <cell r="R108">
            <v>27.894018148180777</v>
          </cell>
          <cell r="T108">
            <v>467.37599999999998</v>
          </cell>
          <cell r="U108">
            <v>62.752831776314544</v>
          </cell>
          <cell r="V108">
            <v>472.44199999999995</v>
          </cell>
        </row>
        <row r="110">
          <cell r="A110">
            <v>38626</v>
          </cell>
          <cell r="C110">
            <v>53012</v>
          </cell>
          <cell r="D110">
            <v>-0.94354263270335492</v>
          </cell>
          <cell r="F110">
            <v>2503514</v>
          </cell>
          <cell r="G110">
            <v>7.6812635219124958E-2</v>
          </cell>
          <cell r="I110">
            <v>12558140</v>
          </cell>
          <cell r="J110">
            <v>3.268164978552246E-2</v>
          </cell>
          <cell r="L110">
            <v>4.2213257695805266E-3</v>
          </cell>
          <cell r="M110">
            <v>0.19935388520911537</v>
          </cell>
          <cell r="N110">
            <v>0.20357521097869591</v>
          </cell>
          <cell r="O110">
            <v>0.97926404816536194</v>
          </cell>
          <cell r="Q110">
            <v>0</v>
          </cell>
          <cell r="R110">
            <v>0</v>
          </cell>
          <cell r="T110">
            <v>0</v>
          </cell>
          <cell r="U110">
            <v>0</v>
          </cell>
          <cell r="V110">
            <v>0</v>
          </cell>
        </row>
        <row r="111">
          <cell r="A111">
            <v>38657</v>
          </cell>
          <cell r="C111">
            <v>49800</v>
          </cell>
          <cell r="D111">
            <v>-0.89661700961586366</v>
          </cell>
          <cell r="F111">
            <v>2505977</v>
          </cell>
          <cell r="G111">
            <v>6.2253456170409782E-2</v>
          </cell>
          <cell r="I111">
            <v>12514600</v>
          </cell>
          <cell r="J111">
            <v>2.1938115525079516E-2</v>
          </cell>
          <cell r="L111">
            <v>3.9793521167276625E-3</v>
          </cell>
          <cell r="M111">
            <v>0.20024427468716538</v>
          </cell>
          <cell r="N111">
            <v>0.20422362680389305</v>
          </cell>
          <cell r="O111">
            <v>0.98051473191909932</v>
          </cell>
          <cell r="Q111">
            <v>0</v>
          </cell>
          <cell r="R111">
            <v>0</v>
          </cell>
          <cell r="T111">
            <v>0</v>
          </cell>
          <cell r="U111">
            <v>0</v>
          </cell>
          <cell r="V111">
            <v>0</v>
          </cell>
        </row>
        <row r="112">
          <cell r="A112">
            <v>38687</v>
          </cell>
          <cell r="C112">
            <v>50217</v>
          </cell>
          <cell r="D112">
            <v>-0.77856219987035724</v>
          </cell>
          <cell r="F112">
            <v>2609390</v>
          </cell>
          <cell r="G112">
            <v>6.4180171523956275E-2</v>
          </cell>
          <cell r="I112">
            <v>12944335</v>
          </cell>
          <cell r="J112">
            <v>2.4311252785545578E-2</v>
          </cell>
          <cell r="L112">
            <v>3.8794576932689086E-3</v>
          </cell>
          <cell r="M112">
            <v>0.20158548121630041</v>
          </cell>
          <cell r="N112">
            <v>0.20546493890956932</v>
          </cell>
          <cell r="O112">
            <v>0.98111863895680829</v>
          </cell>
          <cell r="Q112">
            <v>0</v>
          </cell>
          <cell r="R112">
            <v>0</v>
          </cell>
          <cell r="T112">
            <v>0</v>
          </cell>
          <cell r="U112">
            <v>0</v>
          </cell>
          <cell r="V112">
            <v>0</v>
          </cell>
        </row>
        <row r="113">
          <cell r="A113" t="str">
            <v>F3Q:06A</v>
          </cell>
          <cell r="C113">
            <v>153029</v>
          </cell>
          <cell r="D113">
            <v>-0.90711187862490927</v>
          </cell>
          <cell r="F113">
            <v>7618881</v>
          </cell>
          <cell r="G113">
            <v>6.7658875769454285E-2</v>
          </cell>
          <cell r="I113">
            <v>38017075</v>
          </cell>
          <cell r="J113">
            <v>2.627456938368522E-2</v>
          </cell>
          <cell r="L113">
            <v>4.0252702239717284E-3</v>
          </cell>
          <cell r="M113">
            <v>0.20040681719990294</v>
          </cell>
          <cell r="N113">
            <v>0.20443208742387467</v>
          </cell>
          <cell r="O113">
            <v>0.98030998814963122</v>
          </cell>
          <cell r="Q113">
            <v>4.9800000000000004</v>
          </cell>
          <cell r="R113">
            <v>32.542851354971937</v>
          </cell>
          <cell r="T113">
            <v>480.70699999999999</v>
          </cell>
          <cell r="U113">
            <v>63.094173540707615</v>
          </cell>
          <cell r="V113">
            <v>485.68700000000001</v>
          </cell>
        </row>
        <row r="114">
          <cell r="A114" t="str">
            <v>F4Q:06E</v>
          </cell>
          <cell r="C114">
            <v>129409.84831250001</v>
          </cell>
          <cell r="D114">
            <v>-0.65058645622672895</v>
          </cell>
          <cell r="F114">
            <v>7394848.4750000006</v>
          </cell>
          <cell r="G114">
            <v>3.7330855144263486E-2</v>
          </cell>
          <cell r="I114">
            <v>36974242.375</v>
          </cell>
          <cell r="J114">
            <v>1.4999999999999999E-2</v>
          </cell>
          <cell r="L114">
            <v>3.5000000000000001E-3</v>
          </cell>
          <cell r="M114">
            <v>0.2</v>
          </cell>
          <cell r="N114">
            <v>0.20350000000000001</v>
          </cell>
          <cell r="O114">
            <v>0.98280098280098283</v>
          </cell>
          <cell r="Q114">
            <v>3.8822954493750004</v>
          </cell>
          <cell r="R114">
            <v>30</v>
          </cell>
          <cell r="T114">
            <v>473.27030240000005</v>
          </cell>
          <cell r="U114">
            <v>64</v>
          </cell>
          <cell r="V114">
            <v>477.15259784937507</v>
          </cell>
        </row>
        <row r="115">
          <cell r="A115" t="str">
            <v>F2006E</v>
          </cell>
          <cell r="C115">
            <v>698594.84831250005</v>
          </cell>
          <cell r="D115">
            <v>-0.91472426556708664</v>
          </cell>
          <cell r="F115">
            <v>29866581.475000001</v>
          </cell>
          <cell r="G115">
            <v>9.0625842392187517E-2</v>
          </cell>
          <cell r="I115">
            <v>149415884.375</v>
          </cell>
          <cell r="J115">
            <v>2.0123848132761024E-2</v>
          </cell>
          <cell r="L115">
            <v>4.6755058957398754E-3</v>
          </cell>
          <cell r="M115">
            <v>0.19988893148764325</v>
          </cell>
          <cell r="N115">
            <v>0.20456443738338312</v>
          </cell>
          <cell r="O115">
            <v>0.97714409231856214</v>
          </cell>
          <cell r="Q115">
            <v>18.083295449375001</v>
          </cell>
          <cell r="R115">
            <v>25.885240197600002</v>
          </cell>
          <cell r="T115">
            <v>1882.4253024</v>
          </cell>
          <cell r="U115">
            <v>63.027812673361865</v>
          </cell>
          <cell r="V115">
            <v>1900.5085978493748</v>
          </cell>
        </row>
        <row r="116">
          <cell r="A116" t="str">
            <v>F4Q:06E</v>
          </cell>
          <cell r="C116">
            <v>129409.84831250001</v>
          </cell>
          <cell r="D116">
            <v>-0.65058645622672895</v>
          </cell>
          <cell r="F116">
            <v>7394848.4750000006</v>
          </cell>
          <cell r="G116">
            <v>3.7330855144263486E-2</v>
          </cell>
          <cell r="I116">
            <v>36974242.375</v>
          </cell>
          <cell r="J116">
            <v>1.4999999999999999E-2</v>
          </cell>
          <cell r="L116">
            <v>3.5000000000000001E-3</v>
          </cell>
          <cell r="M116">
            <v>0.2</v>
          </cell>
          <cell r="N116">
            <v>0.20350000000000001</v>
          </cell>
          <cell r="O116">
            <v>0.98280098280098283</v>
          </cell>
          <cell r="Q116">
            <v>3.8822954493750004</v>
          </cell>
          <cell r="R116">
            <v>30</v>
          </cell>
          <cell r="T116">
            <v>473.27030240000005</v>
          </cell>
          <cell r="U116">
            <v>64</v>
          </cell>
          <cell r="V116">
            <v>477.15259784937507</v>
          </cell>
        </row>
        <row r="117">
          <cell r="A117" t="str">
            <v>F1Q:07E</v>
          </cell>
          <cell r="C117">
            <v>123611.90423999999</v>
          </cell>
          <cell r="D117">
            <v>-0.47296024456382713</v>
          </cell>
          <cell r="F117">
            <v>7491630.5599999996</v>
          </cell>
          <cell r="G117">
            <v>1.1703709605649593E-2</v>
          </cell>
          <cell r="I117">
            <v>37458152.799999997</v>
          </cell>
          <cell r="J117">
            <v>0.01</v>
          </cell>
          <cell r="L117">
            <v>3.3E-3</v>
          </cell>
          <cell r="M117">
            <v>0.2</v>
          </cell>
          <cell r="N117">
            <v>0.20330000000000001</v>
          </cell>
          <cell r="O117">
            <v>0.98376783079193308</v>
          </cell>
          <cell r="Q117">
            <v>3.8937749835599997</v>
          </cell>
          <cell r="R117">
            <v>31.5</v>
          </cell>
          <cell r="T117">
            <v>503.43757363199995</v>
          </cell>
          <cell r="U117">
            <v>67.2</v>
          </cell>
          <cell r="V117">
            <v>507.33134861555993</v>
          </cell>
        </row>
        <row r="118">
          <cell r="A118" t="str">
            <v>F2Q:07E</v>
          </cell>
          <cell r="C118">
            <v>112851.94995750001</v>
          </cell>
          <cell r="D118">
            <v>-0.37862330434818514</v>
          </cell>
          <cell r="F118">
            <v>7523463.3305000011</v>
          </cell>
          <cell r="G118">
            <v>1.0147351926794945E-2</v>
          </cell>
          <cell r="I118">
            <v>37617316.652500004</v>
          </cell>
          <cell r="J118">
            <v>7.4999999999999997E-3</v>
          </cell>
          <cell r="L118">
            <v>3.0000000000000001E-3</v>
          </cell>
          <cell r="M118">
            <v>0.2</v>
          </cell>
          <cell r="N118">
            <v>0.20300000000000001</v>
          </cell>
          <cell r="O118">
            <v>0.98522167487684731</v>
          </cell>
          <cell r="Q118">
            <v>3.55483642366125</v>
          </cell>
          <cell r="R118">
            <v>31.5</v>
          </cell>
          <cell r="T118">
            <v>505.57673580960011</v>
          </cell>
          <cell r="U118">
            <v>67.2</v>
          </cell>
          <cell r="V118">
            <v>509.13157223326135</v>
          </cell>
        </row>
        <row r="119">
          <cell r="A119" t="str">
            <v>F3Q:07E</v>
          </cell>
          <cell r="C119">
            <v>106713.929525</v>
          </cell>
          <cell r="D119">
            <v>-0.30265551284397074</v>
          </cell>
          <cell r="F119">
            <v>7622423.5375000006</v>
          </cell>
          <cell r="G119">
            <v>4.649682151487422E-4</v>
          </cell>
          <cell r="I119">
            <v>38112117.6875</v>
          </cell>
          <cell r="J119">
            <v>2.5000000000000001E-3</v>
          </cell>
          <cell r="L119">
            <v>2.8E-3</v>
          </cell>
          <cell r="M119">
            <v>0.2</v>
          </cell>
          <cell r="N119">
            <v>0.20280000000000001</v>
          </cell>
          <cell r="O119">
            <v>0.98619329388560162</v>
          </cell>
          <cell r="Q119">
            <v>3.3614887800375</v>
          </cell>
          <cell r="R119">
            <v>31.5</v>
          </cell>
          <cell r="T119">
            <v>512.2268617200001</v>
          </cell>
          <cell r="U119">
            <v>67.2</v>
          </cell>
          <cell r="V119">
            <v>515.58835050003756</v>
          </cell>
        </row>
        <row r="120">
          <cell r="A120" t="str">
            <v>F4Q:07E</v>
          </cell>
          <cell r="C120">
            <v>96133.030174999993</v>
          </cell>
          <cell r="D120">
            <v>-0.25714285714285723</v>
          </cell>
          <cell r="F120">
            <v>7394848.4750000006</v>
          </cell>
          <cell r="G120">
            <v>0</v>
          </cell>
          <cell r="I120">
            <v>36974242.375</v>
          </cell>
          <cell r="J120">
            <v>0</v>
          </cell>
          <cell r="L120">
            <v>2.5999999999999999E-3</v>
          </cell>
          <cell r="M120">
            <v>0.2</v>
          </cell>
          <cell r="N120">
            <v>0.2026</v>
          </cell>
          <cell r="O120">
            <v>0.98716683119447179</v>
          </cell>
          <cell r="Q120">
            <v>3.0281904505124997</v>
          </cell>
          <cell r="R120">
            <v>31.5</v>
          </cell>
          <cell r="T120">
            <v>496.93381752000005</v>
          </cell>
          <cell r="U120">
            <v>67.2</v>
          </cell>
          <cell r="V120">
            <v>499.96200797051256</v>
          </cell>
        </row>
        <row r="121">
          <cell r="A121" t="str">
            <v>F2007E</v>
          </cell>
          <cell r="C121">
            <v>439310.81389749993</v>
          </cell>
          <cell r="D121">
            <v>-0.37115079654726491</v>
          </cell>
          <cell r="F121">
            <v>30032365.903000005</v>
          </cell>
          <cell r="G121">
            <v>5.5508337349814418E-3</v>
          </cell>
          <cell r="I121">
            <v>150161829.51499999</v>
          </cell>
          <cell r="J121">
            <v>4.9924085589712064E-3</v>
          </cell>
          <cell r="L121">
            <v>2.9255824553843508E-3</v>
          </cell>
          <cell r="M121">
            <v>0.20000000000000004</v>
          </cell>
          <cell r="N121">
            <v>0.20292558245538439</v>
          </cell>
          <cell r="O121">
            <v>0.98558297864672839</v>
          </cell>
          <cell r="Q121">
            <v>13.838290637771252</v>
          </cell>
          <cell r="R121">
            <v>31.500000000000007</v>
          </cell>
          <cell r="T121">
            <v>2018.1749886816001</v>
          </cell>
          <cell r="U121">
            <v>67.199999999999989</v>
          </cell>
          <cell r="V121">
            <v>2032.0132793193713</v>
          </cell>
        </row>
        <row r="122">
          <cell r="A122" t="str">
            <v>F4Q:07E</v>
          </cell>
          <cell r="C122">
            <v>96133.030174999993</v>
          </cell>
          <cell r="D122">
            <v>-0.25714285714285723</v>
          </cell>
          <cell r="F122">
            <v>7394848.4750000006</v>
          </cell>
          <cell r="G122">
            <v>0</v>
          </cell>
          <cell r="I122">
            <v>36974242.375</v>
          </cell>
          <cell r="J122">
            <v>0</v>
          </cell>
          <cell r="L122">
            <v>2.5999999999999999E-3</v>
          </cell>
          <cell r="M122">
            <v>0.2</v>
          </cell>
          <cell r="N122">
            <v>0.2026</v>
          </cell>
          <cell r="O122">
            <v>0.98716683119447179</v>
          </cell>
          <cell r="Q122">
            <v>3.0281904505124997</v>
          </cell>
          <cell r="R122">
            <v>31.5</v>
          </cell>
          <cell r="T122">
            <v>496.93381752000005</v>
          </cell>
          <cell r="U122">
            <v>67.2</v>
          </cell>
          <cell r="V122">
            <v>499.96200797051256</v>
          </cell>
        </row>
        <row r="123">
          <cell r="A123" t="str">
            <v>F2008E</v>
          </cell>
          <cell r="C123">
            <v>300323.65902999998</v>
          </cell>
          <cell r="D123">
            <v>-0.31637544642806914</v>
          </cell>
          <cell r="F123">
            <v>30032365.902999997</v>
          </cell>
          <cell r="G123">
            <v>0</v>
          </cell>
          <cell r="I123">
            <v>150161829.51499999</v>
          </cell>
          <cell r="J123">
            <v>0</v>
          </cell>
          <cell r="L123">
            <v>2E-3</v>
          </cell>
          <cell r="M123">
            <v>0.2</v>
          </cell>
          <cell r="N123">
            <v>0.20200000000000001</v>
          </cell>
          <cell r="O123">
            <v>0.99009900990099009</v>
          </cell>
          <cell r="Q123">
            <v>9.9332050224172512</v>
          </cell>
          <cell r="R123">
            <v>33.075000000000003</v>
          </cell>
          <cell r="T123">
            <v>2119.0837381156798</v>
          </cell>
          <cell r="U123">
            <v>70.56</v>
          </cell>
          <cell r="V123">
            <v>2129.0169431380968</v>
          </cell>
        </row>
        <row r="124">
          <cell r="A124" t="str">
            <v>F2007E</v>
          </cell>
          <cell r="C124">
            <v>439310.81389749993</v>
          </cell>
          <cell r="D124">
            <v>-0.37115079654726491</v>
          </cell>
          <cell r="F124">
            <v>30032365.903000005</v>
          </cell>
          <cell r="G124">
            <v>5.5508337349814418E-3</v>
          </cell>
          <cell r="I124">
            <v>150161829.51499999</v>
          </cell>
          <cell r="J124">
            <v>4.9924085589712064E-3</v>
          </cell>
          <cell r="L124">
            <v>2.9255824553843508E-3</v>
          </cell>
          <cell r="M124">
            <v>0.20000000000000004</v>
          </cell>
          <cell r="N124">
            <v>0.20292558245538439</v>
          </cell>
          <cell r="O124">
            <v>0.98558297864672839</v>
          </cell>
          <cell r="Q124">
            <v>13.838290637771252</v>
          </cell>
          <cell r="R124">
            <v>31.500000000000007</v>
          </cell>
          <cell r="T124">
            <v>2018.1749886816001</v>
          </cell>
          <cell r="U124">
            <v>67.199999999999989</v>
          </cell>
          <cell r="V124">
            <v>2032.0132793193713</v>
          </cell>
        </row>
        <row r="125">
          <cell r="A125" t="str">
            <v>F2009E</v>
          </cell>
          <cell r="C125">
            <v>225242.74427249999</v>
          </cell>
          <cell r="D125">
            <v>-0.25</v>
          </cell>
          <cell r="F125">
            <v>30032365.902999997</v>
          </cell>
          <cell r="G125">
            <v>0</v>
          </cell>
          <cell r="I125">
            <v>150161829.51499999</v>
          </cell>
          <cell r="J125">
            <v>0</v>
          </cell>
          <cell r="L125">
            <v>1.5E-3</v>
          </cell>
          <cell r="M125">
            <v>0.2</v>
          </cell>
          <cell r="N125">
            <v>0.20150000000000001</v>
          </cell>
          <cell r="O125">
            <v>0.99255583126550873</v>
          </cell>
          <cell r="Q125">
            <v>7.8223989551535853</v>
          </cell>
          <cell r="R125">
            <v>34.728750000000005</v>
          </cell>
          <cell r="T125">
            <v>2225.0379250214637</v>
          </cell>
          <cell r="U125">
            <v>74.088000000000008</v>
          </cell>
          <cell r="V125">
            <v>2232.8603239766171</v>
          </cell>
        </row>
        <row r="126">
          <cell r="A126" t="str">
            <v>F2008E</v>
          </cell>
          <cell r="C126">
            <v>300323.65902999998</v>
          </cell>
          <cell r="D126">
            <v>-0.31637544642806914</v>
          </cell>
          <cell r="F126">
            <v>30032365.902999997</v>
          </cell>
          <cell r="G126">
            <v>0</v>
          </cell>
          <cell r="I126">
            <v>150161829.51499999</v>
          </cell>
          <cell r="J126">
            <v>0</v>
          </cell>
          <cell r="L126">
            <v>2E-3</v>
          </cell>
          <cell r="M126">
            <v>0.2</v>
          </cell>
          <cell r="N126">
            <v>0.20200000000000001</v>
          </cell>
          <cell r="O126">
            <v>0.99009900990099009</v>
          </cell>
          <cell r="Q126">
            <v>9.9332050224172512</v>
          </cell>
          <cell r="R126">
            <v>33.075000000000003</v>
          </cell>
          <cell r="T126">
            <v>2119.0837381156798</v>
          </cell>
          <cell r="U126">
            <v>70.56</v>
          </cell>
          <cell r="V126">
            <v>2129.0169431380968</v>
          </cell>
        </row>
        <row r="127">
          <cell r="A127" t="str">
            <v>F2010E</v>
          </cell>
          <cell r="C127">
            <v>150161.82951499999</v>
          </cell>
          <cell r="D127">
            <v>-0.33333333333333337</v>
          </cell>
          <cell r="F127">
            <v>30032365.902999997</v>
          </cell>
          <cell r="G127">
            <v>0</v>
          </cell>
          <cell r="I127">
            <v>150161829.51499999</v>
          </cell>
          <cell r="J127">
            <v>0</v>
          </cell>
          <cell r="L127">
            <v>1E-3</v>
          </cell>
          <cell r="M127">
            <v>0.2</v>
          </cell>
          <cell r="N127">
            <v>0.20100000000000001</v>
          </cell>
          <cell r="O127">
            <v>0.99502487562189057</v>
          </cell>
          <cell r="Q127">
            <v>5.4756792686075091</v>
          </cell>
          <cell r="R127">
            <v>36.465187500000006</v>
          </cell>
          <cell r="T127">
            <v>2336.2898212725372</v>
          </cell>
          <cell r="U127">
            <v>77.792400000000015</v>
          </cell>
          <cell r="V127">
            <v>2341.7655005411448</v>
          </cell>
        </row>
        <row r="128">
          <cell r="A128" t="str">
            <v>F2009E</v>
          </cell>
          <cell r="C128">
            <v>225242.74427249999</v>
          </cell>
          <cell r="D128">
            <v>-0.25</v>
          </cell>
          <cell r="F128">
            <v>30032365.902999997</v>
          </cell>
          <cell r="G128">
            <v>0</v>
          </cell>
          <cell r="I128">
            <v>150161829.51499999</v>
          </cell>
          <cell r="J128">
            <v>0</v>
          </cell>
          <cell r="L128">
            <v>1.5E-3</v>
          </cell>
          <cell r="M128">
            <v>0.2</v>
          </cell>
          <cell r="N128">
            <v>0.20150000000000001</v>
          </cell>
          <cell r="O128">
            <v>0.99255583126550873</v>
          </cell>
          <cell r="Q128">
            <v>7.8223989551535853</v>
          </cell>
          <cell r="R128">
            <v>34.728750000000005</v>
          </cell>
          <cell r="T128">
            <v>2225.0379250214637</v>
          </cell>
          <cell r="U128">
            <v>74.088000000000008</v>
          </cell>
          <cell r="V128">
            <v>2232.8603239766171</v>
          </cell>
        </row>
        <row r="129">
          <cell r="A129" t="str">
            <v>F2011E</v>
          </cell>
          <cell r="C129">
            <v>135145.64656349999</v>
          </cell>
          <cell r="D129">
            <v>-9.9999999999999978E-2</v>
          </cell>
          <cell r="F129">
            <v>30032365.902999997</v>
          </cell>
          <cell r="G129">
            <v>0</v>
          </cell>
          <cell r="I129">
            <v>150161829.51499999</v>
          </cell>
          <cell r="J129">
            <v>0</v>
          </cell>
          <cell r="L129">
            <v>8.9999999999999998E-4</v>
          </cell>
          <cell r="M129">
            <v>0.2</v>
          </cell>
          <cell r="N129">
            <v>0.20090000000000002</v>
          </cell>
          <cell r="O129">
            <v>0.99552015928322546</v>
          </cell>
          <cell r="Q129">
            <v>5.1745169088340957</v>
          </cell>
          <cell r="R129">
            <v>38.288446875000005</v>
          </cell>
          <cell r="T129">
            <v>2453.1043123361646</v>
          </cell>
          <cell r="U129">
            <v>81.682020000000023</v>
          </cell>
          <cell r="V129">
            <v>2458.2788292449986</v>
          </cell>
        </row>
        <row r="130">
          <cell r="A130" t="str">
            <v>F2010E</v>
          </cell>
          <cell r="C130">
            <v>150161.82951499999</v>
          </cell>
          <cell r="D130">
            <v>-0.33333333333333337</v>
          </cell>
          <cell r="F130">
            <v>30032365.902999997</v>
          </cell>
          <cell r="G130">
            <v>0</v>
          </cell>
          <cell r="I130">
            <v>150161829.51499999</v>
          </cell>
          <cell r="J130">
            <v>0</v>
          </cell>
          <cell r="L130">
            <v>1E-3</v>
          </cell>
          <cell r="M130">
            <v>0.2</v>
          </cell>
          <cell r="N130">
            <v>0.20100000000000001</v>
          </cell>
          <cell r="O130">
            <v>0.99502487562189057</v>
          </cell>
          <cell r="Q130">
            <v>5.4756792686075091</v>
          </cell>
          <cell r="R130">
            <v>36.465187500000006</v>
          </cell>
          <cell r="T130">
            <v>2336.2898212725372</v>
          </cell>
          <cell r="U130">
            <v>77.792400000000015</v>
          </cell>
          <cell r="V130">
            <v>2341.7655005411448</v>
          </cell>
        </row>
        <row r="131">
          <cell r="A131" t="str">
            <v>F2012E</v>
          </cell>
          <cell r="C131">
            <v>120129.46361199999</v>
          </cell>
          <cell r="D131">
            <v>-0.11111111111111116</v>
          </cell>
          <cell r="F131">
            <v>30032365.902999997</v>
          </cell>
          <cell r="G131">
            <v>0</v>
          </cell>
          <cell r="I131">
            <v>150161829.51499999</v>
          </cell>
          <cell r="J131">
            <v>0</v>
          </cell>
          <cell r="L131">
            <v>8.0000000000000004E-4</v>
          </cell>
          <cell r="M131">
            <v>0.2</v>
          </cell>
          <cell r="N131">
            <v>0.20080000000000001</v>
          </cell>
          <cell r="O131">
            <v>0.99601593625498008</v>
          </cell>
          <cell r="Q131">
            <v>4.8295491149118233</v>
          </cell>
          <cell r="R131">
            <v>40.20286921875001</v>
          </cell>
          <cell r="T131">
            <v>2575.7595279529728</v>
          </cell>
          <cell r="U131">
            <v>85.766121000000027</v>
          </cell>
          <cell r="V131">
            <v>2580.5890770678848</v>
          </cell>
        </row>
        <row r="132">
          <cell r="A132" t="str">
            <v>F2013E</v>
          </cell>
          <cell r="C132">
            <v>105113.28066049999</v>
          </cell>
          <cell r="D132">
            <v>-0.125</v>
          </cell>
          <cell r="F132">
            <v>15016182.951499999</v>
          </cell>
          <cell r="G132">
            <v>-0.5</v>
          </cell>
          <cell r="I132">
            <v>150161829.51499999</v>
          </cell>
          <cell r="J132">
            <v>0</v>
          </cell>
          <cell r="L132">
            <v>6.9999999999999999E-4</v>
          </cell>
          <cell r="M132">
            <v>0.1</v>
          </cell>
          <cell r="N132">
            <v>0.10070000000000001</v>
          </cell>
          <cell r="O132">
            <v>0.99304865938430975</v>
          </cell>
          <cell r="Q132">
            <v>4.4371482493252383</v>
          </cell>
          <cell r="R132">
            <v>42.213012679687509</v>
          </cell>
          <cell r="T132">
            <v>1352.2737521753108</v>
          </cell>
          <cell r="U132">
            <v>90.054427050000029</v>
          </cell>
          <cell r="V132">
            <v>1356.7109004246361</v>
          </cell>
        </row>
        <row r="133">
          <cell r="A133" t="str">
            <v>F2014E</v>
          </cell>
          <cell r="C133">
            <v>90097.09770899998</v>
          </cell>
          <cell r="D133">
            <v>-0.14285714285714302</v>
          </cell>
          <cell r="F133">
            <v>3003236.5903000003</v>
          </cell>
          <cell r="G133">
            <v>-0.79999999999999993</v>
          </cell>
          <cell r="I133">
            <v>150161829.51499999</v>
          </cell>
          <cell r="J133">
            <v>0</v>
          </cell>
          <cell r="L133">
            <v>5.9999999999999995E-4</v>
          </cell>
          <cell r="M133">
            <v>2.0000000000000004E-2</v>
          </cell>
          <cell r="N133">
            <v>2.0600000000000004E-2</v>
          </cell>
          <cell r="O133">
            <v>0.970873786407767</v>
          </cell>
          <cell r="Q133">
            <v>3.9934334243927139</v>
          </cell>
          <cell r="R133">
            <v>44.323663313671886</v>
          </cell>
          <cell r="T133">
            <v>283.97748795681531</v>
          </cell>
          <cell r="U133">
            <v>94.557148402500033</v>
          </cell>
          <cell r="V133">
            <v>287.97092138120803</v>
          </cell>
        </row>
        <row r="134">
          <cell r="A134" t="str">
            <v>F2015E</v>
          </cell>
          <cell r="C134">
            <v>75080.914757499995</v>
          </cell>
          <cell r="D134">
            <v>-0.16666666666666652</v>
          </cell>
          <cell r="F134">
            <v>750809.14757499995</v>
          </cell>
          <cell r="G134">
            <v>-0.75</v>
          </cell>
          <cell r="I134">
            <v>150161829.51499999</v>
          </cell>
          <cell r="J134">
            <v>0</v>
          </cell>
          <cell r="L134">
            <v>5.0000000000000001E-4</v>
          </cell>
          <cell r="M134">
            <v>5.0000000000000001E-3</v>
          </cell>
          <cell r="N134">
            <v>5.4999999999999997E-3</v>
          </cell>
          <cell r="O134">
            <v>0.90909090909090906</v>
          </cell>
          <cell r="Q134">
            <v>3.4942542463436252</v>
          </cell>
          <cell r="R134">
            <v>46.539846479355482</v>
          </cell>
          <cell r="T134">
            <v>74.544090588664005</v>
          </cell>
          <cell r="U134">
            <v>99.285005822625038</v>
          </cell>
          <cell r="V134">
            <v>78.038344835007635</v>
          </cell>
        </row>
        <row r="135">
          <cell r="A135" t="str">
            <v>F2016E</v>
          </cell>
          <cell r="C135">
            <v>60064.731805999996</v>
          </cell>
          <cell r="D135">
            <v>-0.19999999999999996</v>
          </cell>
          <cell r="F135">
            <v>600647.31805999996</v>
          </cell>
          <cell r="G135">
            <v>-0.19999999999999996</v>
          </cell>
          <cell r="I135">
            <v>150161829.51499999</v>
          </cell>
          <cell r="J135">
            <v>0</v>
          </cell>
          <cell r="L135">
            <v>4.0000000000000002E-4</v>
          </cell>
          <cell r="M135">
            <v>4.0000000000000001E-3</v>
          </cell>
          <cell r="N135">
            <v>4.4000000000000003E-3</v>
          </cell>
          <cell r="O135">
            <v>0.90909090909090906</v>
          </cell>
          <cell r="Q135">
            <v>2.9351735669286456</v>
          </cell>
          <cell r="R135">
            <v>48.866838803323262</v>
          </cell>
          <cell r="T135">
            <v>62.617036094477776</v>
          </cell>
          <cell r="U135">
            <v>104.24925611375629</v>
          </cell>
          <cell r="V135">
            <v>65.552209661406422</v>
          </cell>
        </row>
        <row r="136">
          <cell r="A136" t="str">
            <v>F2015E</v>
          </cell>
          <cell r="C136">
            <v>75080.914757499995</v>
          </cell>
          <cell r="D136">
            <v>-0.16666666666666652</v>
          </cell>
          <cell r="F136">
            <v>750809.14757499995</v>
          </cell>
          <cell r="G136">
            <v>-0.75</v>
          </cell>
          <cell r="I136">
            <v>150161829.51499999</v>
          </cell>
          <cell r="J136">
            <v>0</v>
          </cell>
          <cell r="L136">
            <v>5.0000000000000001E-4</v>
          </cell>
          <cell r="M136">
            <v>5.0000000000000001E-3</v>
          </cell>
          <cell r="N136">
            <v>5.4999999999999997E-3</v>
          </cell>
          <cell r="O136">
            <v>0.90909090909090906</v>
          </cell>
          <cell r="Q136">
            <v>3.4942542463436252</v>
          </cell>
          <cell r="R136">
            <v>46.539846479355482</v>
          </cell>
          <cell r="T136">
            <v>74.544090588664005</v>
          </cell>
          <cell r="U136">
            <v>99.285005822625038</v>
          </cell>
          <cell r="V136">
            <v>78.038344835007635</v>
          </cell>
        </row>
        <row r="137">
          <cell r="A137" t="str">
            <v>Source:  IMS, Company Reports, and Merrill Lynch</v>
          </cell>
          <cell r="C137">
            <v>60064.731805999996</v>
          </cell>
          <cell r="D137">
            <v>-0.19999999999999996</v>
          </cell>
          <cell r="F137">
            <v>600647.31805999996</v>
          </cell>
          <cell r="G137">
            <v>-0.19999999999999996</v>
          </cell>
          <cell r="I137">
            <v>150161829.51499999</v>
          </cell>
          <cell r="J137">
            <v>0</v>
          </cell>
          <cell r="L137">
            <v>4.0000000000000002E-4</v>
          </cell>
          <cell r="M137">
            <v>4.0000000000000001E-3</v>
          </cell>
          <cell r="N137">
            <v>4.4000000000000003E-3</v>
          </cell>
          <cell r="O137">
            <v>0.90909090909090906</v>
          </cell>
          <cell r="Q137">
            <v>2.9351735669286456</v>
          </cell>
          <cell r="R137">
            <v>48.866838803323262</v>
          </cell>
          <cell r="T137">
            <v>62.617036094477776</v>
          </cell>
          <cell r="U137">
            <v>104.24925611375629</v>
          </cell>
          <cell r="V137">
            <v>65.552209661406422</v>
          </cell>
        </row>
        <row r="138">
          <cell r="A138" t="str">
            <v>(1)  Total SSRI/SNRI Market, based on IMS data</v>
          </cell>
          <cell r="C138">
            <v>60064.731805999996</v>
          </cell>
          <cell r="D138">
            <v>-0.19999999999999996</v>
          </cell>
          <cell r="F138">
            <v>600647.31805999996</v>
          </cell>
          <cell r="G138">
            <v>-0.19999999999999996</v>
          </cell>
          <cell r="I138">
            <v>150161829.51499999</v>
          </cell>
          <cell r="J138">
            <v>0</v>
          </cell>
          <cell r="L138">
            <v>4.0000000000000002E-4</v>
          </cell>
          <cell r="M138">
            <v>4.0000000000000001E-3</v>
          </cell>
          <cell r="N138">
            <v>4.4000000000000003E-3</v>
          </cell>
          <cell r="O138">
            <v>0.90909090909090906</v>
          </cell>
          <cell r="Q138">
            <v>2.9351735669286456</v>
          </cell>
          <cell r="R138">
            <v>48.866838803323262</v>
          </cell>
          <cell r="T138">
            <v>62.617036094477776</v>
          </cell>
          <cell r="U138">
            <v>104.24925611375629</v>
          </cell>
          <cell r="V138">
            <v>65.552209661406422</v>
          </cell>
        </row>
        <row r="139">
          <cell r="A139" t="str">
            <v>(2)  Assumes 5% price increases per year from F2007-2011</v>
          </cell>
          <cell r="C139">
            <v>60123.258856</v>
          </cell>
          <cell r="D139">
            <v>-0.19999999999999996</v>
          </cell>
          <cell r="F139">
            <v>601232.58855999995</v>
          </cell>
          <cell r="G139">
            <v>-0.20000000000000007</v>
          </cell>
          <cell r="I139">
            <v>150308147.13999999</v>
          </cell>
          <cell r="J139">
            <v>0</v>
          </cell>
          <cell r="L139">
            <v>4.0000000000000002E-4</v>
          </cell>
          <cell r="M139">
            <v>4.0000000000000001E-3</v>
          </cell>
          <cell r="N139">
            <v>4.4000000000000003E-3</v>
          </cell>
          <cell r="O139">
            <v>0.90909090909090906</v>
          </cell>
          <cell r="Q139">
            <v>2.9380335988466295</v>
          </cell>
          <cell r="R139">
            <v>48.866838803323262</v>
          </cell>
          <cell r="T139">
            <v>62.678050108728094</v>
          </cell>
          <cell r="U139">
            <v>104.24925611375629</v>
          </cell>
          <cell r="V139">
            <v>65.616083707574717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MKTD"/>
      <sheetName val="PPLN-brand"/>
      <sheetName val="PPLN-Generic"/>
      <sheetName val="IMS"/>
      <sheetName val="P&amp;LReview"/>
      <sheetName val="SUMMARY"/>
      <sheetName val="VAR"/>
      <sheetName val="iQ_US_CoreIndustria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A4" t="str">
            <v>Product</v>
          </cell>
          <cell r="C4">
            <v>36770</v>
          </cell>
          <cell r="D4">
            <v>36800</v>
          </cell>
          <cell r="E4">
            <v>36831</v>
          </cell>
          <cell r="F4">
            <v>36861</v>
          </cell>
          <cell r="G4" t="str">
            <v>Q2:01</v>
          </cell>
          <cell r="H4">
            <v>36892</v>
          </cell>
          <cell r="I4">
            <v>36923</v>
          </cell>
          <cell r="J4">
            <v>36951</v>
          </cell>
          <cell r="K4" t="str">
            <v>Q3:01</v>
          </cell>
          <cell r="L4">
            <v>36982</v>
          </cell>
          <cell r="M4">
            <v>37012</v>
          </cell>
          <cell r="N4">
            <v>37043</v>
          </cell>
          <cell r="O4" t="str">
            <v>Q4:01</v>
          </cell>
          <cell r="P4">
            <v>37073</v>
          </cell>
          <cell r="Q4">
            <v>37104</v>
          </cell>
          <cell r="R4">
            <v>37135</v>
          </cell>
          <cell r="S4" t="str">
            <v>Q1:02</v>
          </cell>
          <cell r="T4">
            <v>37165</v>
          </cell>
          <cell r="U4">
            <v>37196</v>
          </cell>
          <cell r="V4">
            <v>37226</v>
          </cell>
          <cell r="W4" t="str">
            <v>Q2:02</v>
          </cell>
          <cell r="X4">
            <v>37257</v>
          </cell>
          <cell r="Y4">
            <v>37288</v>
          </cell>
          <cell r="Z4">
            <v>37316</v>
          </cell>
          <cell r="AA4" t="str">
            <v>Q3:02</v>
          </cell>
          <cell r="AB4">
            <v>37347</v>
          </cell>
          <cell r="AC4">
            <v>37377</v>
          </cell>
          <cell r="AD4">
            <v>37408</v>
          </cell>
          <cell r="AE4" t="str">
            <v>Q4:02</v>
          </cell>
          <cell r="AF4">
            <v>37438</v>
          </cell>
          <cell r="AG4">
            <v>37469</v>
          </cell>
          <cell r="AH4">
            <v>37500</v>
          </cell>
          <cell r="AI4" t="str">
            <v>Q1:03</v>
          </cell>
          <cell r="AJ4">
            <v>37530</v>
          </cell>
          <cell r="AK4">
            <v>37561</v>
          </cell>
          <cell r="AL4">
            <v>37591</v>
          </cell>
          <cell r="AM4" t="str">
            <v>Q2:03</v>
          </cell>
          <cell r="AN4">
            <v>37622</v>
          </cell>
          <cell r="AO4">
            <v>37653</v>
          </cell>
          <cell r="AP4">
            <v>37681</v>
          </cell>
          <cell r="AQ4" t="str">
            <v>Q3:03</v>
          </cell>
          <cell r="AR4">
            <v>37712</v>
          </cell>
          <cell r="AS4">
            <v>37742</v>
          </cell>
          <cell r="AT4">
            <v>37773</v>
          </cell>
          <cell r="AU4" t="str">
            <v>Q4:F03</v>
          </cell>
          <cell r="AV4">
            <v>37803</v>
          </cell>
          <cell r="AW4">
            <v>37834</v>
          </cell>
          <cell r="AX4">
            <v>37865</v>
          </cell>
          <cell r="AY4" t="str">
            <v>Q1:F04</v>
          </cell>
          <cell r="AZ4">
            <v>37895</v>
          </cell>
          <cell r="BA4">
            <v>37926</v>
          </cell>
          <cell r="BB4">
            <v>37956</v>
          </cell>
          <cell r="BC4" t="str">
            <v>Q2:F04</v>
          </cell>
          <cell r="BD4">
            <v>37987</v>
          </cell>
          <cell r="BE4">
            <v>38018</v>
          </cell>
          <cell r="BF4">
            <v>38047</v>
          </cell>
          <cell r="BG4" t="str">
            <v>Q3:F04</v>
          </cell>
          <cell r="BH4">
            <v>38078</v>
          </cell>
          <cell r="BI4">
            <v>38108</v>
          </cell>
          <cell r="BJ4">
            <v>38139</v>
          </cell>
          <cell r="BK4" t="str">
            <v>Q4:F04</v>
          </cell>
          <cell r="BL4">
            <v>38169</v>
          </cell>
          <cell r="BM4">
            <v>38200</v>
          </cell>
          <cell r="BN4">
            <v>38231</v>
          </cell>
          <cell r="BO4" t="str">
            <v>Q1:F05E</v>
          </cell>
        </row>
        <row r="5">
          <cell r="A5" t="str">
            <v>Generics</v>
          </cell>
        </row>
        <row r="6">
          <cell r="A6" t="str">
            <v>TAMOXIFEN</v>
          </cell>
        </row>
        <row r="7">
          <cell r="A7" t="str">
            <v>TRx</v>
          </cell>
          <cell r="C7">
            <v>304122</v>
          </cell>
          <cell r="D7">
            <v>319009</v>
          </cell>
          <cell r="E7">
            <v>310753</v>
          </cell>
          <cell r="F7">
            <v>320645</v>
          </cell>
          <cell r="G7">
            <v>950407</v>
          </cell>
          <cell r="H7">
            <v>325654</v>
          </cell>
          <cell r="I7">
            <v>294381</v>
          </cell>
          <cell r="J7">
            <v>326666</v>
          </cell>
          <cell r="K7">
            <v>946701</v>
          </cell>
          <cell r="L7">
            <v>314649</v>
          </cell>
          <cell r="M7">
            <v>327286</v>
          </cell>
          <cell r="N7">
            <v>316037</v>
          </cell>
          <cell r="O7">
            <v>957972</v>
          </cell>
          <cell r="P7">
            <v>323798</v>
          </cell>
          <cell r="Q7">
            <v>327508</v>
          </cell>
          <cell r="R7">
            <v>306271</v>
          </cell>
          <cell r="S7">
            <v>957577</v>
          </cell>
          <cell r="T7">
            <v>331816</v>
          </cell>
          <cell r="U7">
            <v>317822</v>
          </cell>
          <cell r="V7">
            <v>326576</v>
          </cell>
          <cell r="W7">
            <v>976214</v>
          </cell>
          <cell r="X7">
            <v>325067</v>
          </cell>
          <cell r="Y7">
            <v>289707</v>
          </cell>
          <cell r="Z7">
            <v>307826</v>
          </cell>
          <cell r="AA7">
            <v>922600</v>
          </cell>
          <cell r="AB7">
            <v>310913</v>
          </cell>
          <cell r="AC7">
            <v>311627</v>
          </cell>
          <cell r="AD7">
            <v>293296</v>
          </cell>
          <cell r="AE7">
            <v>915836</v>
          </cell>
          <cell r="AF7">
            <v>310388</v>
          </cell>
          <cell r="AG7">
            <v>301305</v>
          </cell>
          <cell r="AH7">
            <v>287882</v>
          </cell>
          <cell r="AI7">
            <v>899575</v>
          </cell>
          <cell r="AJ7">
            <v>299648</v>
          </cell>
          <cell r="AK7">
            <v>265102</v>
          </cell>
          <cell r="AL7">
            <v>230125</v>
          </cell>
          <cell r="AM7">
            <v>794875</v>
          </cell>
          <cell r="AN7">
            <v>172503</v>
          </cell>
          <cell r="AO7">
            <v>123528</v>
          </cell>
          <cell r="AP7">
            <v>138317</v>
          </cell>
          <cell r="AQ7">
            <v>434348</v>
          </cell>
          <cell r="AR7">
            <v>126734</v>
          </cell>
          <cell r="AS7">
            <v>123356</v>
          </cell>
          <cell r="AT7">
            <v>118930</v>
          </cell>
          <cell r="AU7">
            <v>369020</v>
          </cell>
          <cell r="AV7">
            <v>120121</v>
          </cell>
          <cell r="AW7">
            <v>113153</v>
          </cell>
          <cell r="AX7">
            <v>112952</v>
          </cell>
          <cell r="AY7">
            <v>346226</v>
          </cell>
          <cell r="AZ7">
            <v>114848</v>
          </cell>
          <cell r="BA7">
            <v>101628</v>
          </cell>
          <cell r="BB7">
            <v>109491</v>
          </cell>
          <cell r="BC7">
            <v>325967</v>
          </cell>
          <cell r="BD7">
            <v>104691</v>
          </cell>
          <cell r="BE7">
            <v>97105</v>
          </cell>
          <cell r="BF7">
            <v>105114</v>
          </cell>
          <cell r="BG7">
            <v>306910</v>
          </cell>
          <cell r="BH7">
            <v>97684</v>
          </cell>
          <cell r="BI7">
            <v>96181</v>
          </cell>
          <cell r="BJ7">
            <v>96653</v>
          </cell>
          <cell r="BK7">
            <v>290518</v>
          </cell>
          <cell r="BL7">
            <v>93632</v>
          </cell>
          <cell r="BM7">
            <v>93984</v>
          </cell>
          <cell r="BN7">
            <v>89484</v>
          </cell>
          <cell r="BO7">
            <v>277100</v>
          </cell>
        </row>
        <row r="8">
          <cell r="A8" t="str">
            <v xml:space="preserve">  % Change</v>
          </cell>
          <cell r="R8">
            <v>7.0662431524191049E-3</v>
          </cell>
          <cell r="T8">
            <v>4.014620277170855E-2</v>
          </cell>
          <cell r="U8">
            <v>2.2747970252901872E-2</v>
          </cell>
          <cell r="V8">
            <v>1.8497091799341892E-2</v>
          </cell>
          <cell r="W8">
            <v>2.7153629971159665E-2</v>
          </cell>
          <cell r="X8">
            <v>-1.8025266079949587E-3</v>
          </cell>
          <cell r="Y8">
            <v>-1.5877383390911826E-2</v>
          </cell>
          <cell r="Z8">
            <v>-5.7673587088953204E-2</v>
          </cell>
          <cell r="AA8">
            <v>-2.5457879520566662E-2</v>
          </cell>
          <cell r="AB8">
            <v>-1.1873547985215227E-2</v>
          </cell>
          <cell r="AC8">
            <v>-4.784500406372405E-2</v>
          </cell>
          <cell r="AD8">
            <v>-7.1956764556048824E-2</v>
          </cell>
          <cell r="AE8">
            <v>-4.3984584100579149E-2</v>
          </cell>
          <cell r="AF8">
            <v>-4.1414709170532249E-2</v>
          </cell>
          <cell r="AG8">
            <v>-8.0007205930847536E-2</v>
          </cell>
          <cell r="AH8">
            <v>-6.0041597147624137E-2</v>
          </cell>
          <cell r="AI8">
            <v>-6.0571630270985999E-2</v>
          </cell>
          <cell r="AJ8">
            <v>-9.6945294982761498E-2</v>
          </cell>
          <cell r="AK8">
            <v>-0.16587901403930505</v>
          </cell>
          <cell r="AL8">
            <v>-0.29534013522120428</v>
          </cell>
          <cell r="AM8">
            <v>-0.18575742613812141</v>
          </cell>
          <cell r="AN8">
            <v>-0.46933093792971914</v>
          </cell>
          <cell r="AO8">
            <v>-0.57361057896426382</v>
          </cell>
          <cell r="AP8">
            <v>-0.55066498606355541</v>
          </cell>
          <cell r="AQ8">
            <v>-0.52921309343160639</v>
          </cell>
          <cell r="AR8">
            <v>-0.59238114842415723</v>
          </cell>
          <cell r="AS8">
            <v>-0.60415496731669593</v>
          </cell>
          <cell r="AT8">
            <v>-0.5945052097539687</v>
          </cell>
          <cell r="AU8">
            <v>-0.59706759725540381</v>
          </cell>
          <cell r="AV8">
            <v>-0.61299728082271221</v>
          </cell>
          <cell r="AW8">
            <v>-0.62445694561988685</v>
          </cell>
          <cell r="AX8">
            <v>-0.60764479891066481</v>
          </cell>
          <cell r="AY8">
            <v>-0.61512269682905818</v>
          </cell>
          <cell r="AZ8">
            <v>-0.61672362238359679</v>
          </cell>
          <cell r="BA8">
            <v>-0.61664566845968727</v>
          </cell>
          <cell r="BB8">
            <v>-0.52421075502444325</v>
          </cell>
          <cell r="BC8">
            <v>-0.58991413744299415</v>
          </cell>
          <cell r="BD8">
            <v>-0.39310620684857656</v>
          </cell>
          <cell r="BE8">
            <v>-0.21390292079528528</v>
          </cell>
          <cell r="BF8">
            <v>-0.24005003000354264</v>
          </cell>
          <cell r="BG8">
            <v>-0.29340068332304969</v>
          </cell>
          <cell r="BH8">
            <v>-0.22922025660043877</v>
          </cell>
          <cell r="BI8">
            <v>-0.22029735075715817</v>
          </cell>
          <cell r="BJ8">
            <v>-0.18731186412175227</v>
          </cell>
          <cell r="BK8">
            <v>-0.21273101728903587</v>
          </cell>
          <cell r="BL8">
            <v>-0.22051930969605649</v>
          </cell>
          <cell r="BM8">
            <v>-0.16940779298825481</v>
          </cell>
          <cell r="BN8">
            <v>-0.20776967207309305</v>
          </cell>
          <cell r="BO8">
            <v>-0.1996557162084881</v>
          </cell>
        </row>
        <row r="9">
          <cell r="A9" t="str">
            <v>NRx</v>
          </cell>
          <cell r="C9">
            <v>71759</v>
          </cell>
          <cell r="D9">
            <v>74906</v>
          </cell>
          <cell r="E9">
            <v>72366</v>
          </cell>
          <cell r="F9">
            <v>72923</v>
          </cell>
          <cell r="G9">
            <v>220195</v>
          </cell>
          <cell r="H9">
            <v>80088</v>
          </cell>
          <cell r="I9">
            <v>71116</v>
          </cell>
          <cell r="J9">
            <v>77336</v>
          </cell>
          <cell r="K9">
            <v>228540</v>
          </cell>
          <cell r="L9">
            <v>73113</v>
          </cell>
          <cell r="M9">
            <v>76474</v>
          </cell>
          <cell r="N9">
            <v>72443</v>
          </cell>
          <cell r="O9">
            <v>222030</v>
          </cell>
          <cell r="P9">
            <v>73834</v>
          </cell>
          <cell r="Q9">
            <v>74526</v>
          </cell>
          <cell r="R9">
            <v>68799</v>
          </cell>
          <cell r="S9">
            <v>217159</v>
          </cell>
          <cell r="T9">
            <v>76140</v>
          </cell>
          <cell r="U9">
            <v>71803</v>
          </cell>
          <cell r="V9">
            <v>71258</v>
          </cell>
          <cell r="W9">
            <v>219201</v>
          </cell>
          <cell r="X9">
            <v>76977</v>
          </cell>
          <cell r="Y9">
            <v>67347</v>
          </cell>
          <cell r="Z9">
            <v>68757</v>
          </cell>
          <cell r="AA9">
            <v>213081</v>
          </cell>
          <cell r="AB9">
            <v>70857</v>
          </cell>
          <cell r="AC9">
            <v>71102</v>
          </cell>
          <cell r="AD9">
            <v>65379</v>
          </cell>
          <cell r="AE9">
            <v>207338</v>
          </cell>
          <cell r="AF9">
            <v>69604</v>
          </cell>
          <cell r="AG9">
            <v>67243</v>
          </cell>
          <cell r="AH9">
            <v>64179</v>
          </cell>
          <cell r="AI9">
            <v>201026</v>
          </cell>
          <cell r="AJ9">
            <v>68405</v>
          </cell>
          <cell r="AK9">
            <v>58161</v>
          </cell>
          <cell r="AL9">
            <v>49971</v>
          </cell>
          <cell r="AM9">
            <v>176537</v>
          </cell>
          <cell r="AN9">
            <v>36952</v>
          </cell>
          <cell r="AO9">
            <v>28155</v>
          </cell>
          <cell r="AP9">
            <v>50067</v>
          </cell>
          <cell r="AQ9">
            <v>115174</v>
          </cell>
          <cell r="AR9">
            <v>40321</v>
          </cell>
          <cell r="AS9">
            <v>34562</v>
          </cell>
          <cell r="AT9">
            <v>29352</v>
          </cell>
          <cell r="AU9">
            <v>104235</v>
          </cell>
          <cell r="AV9">
            <v>29152</v>
          </cell>
          <cell r="AW9">
            <v>26764</v>
          </cell>
          <cell r="AX9">
            <v>27080</v>
          </cell>
          <cell r="AY9">
            <v>82996</v>
          </cell>
          <cell r="AZ9">
            <v>27653</v>
          </cell>
          <cell r="BA9">
            <v>23528</v>
          </cell>
          <cell r="BB9">
            <v>25581</v>
          </cell>
          <cell r="BC9">
            <v>76762</v>
          </cell>
          <cell r="BD9">
            <v>26068</v>
          </cell>
          <cell r="BE9">
            <v>24179</v>
          </cell>
          <cell r="BF9">
            <v>25740</v>
          </cell>
          <cell r="BG9">
            <v>75987</v>
          </cell>
          <cell r="BH9">
            <v>23314</v>
          </cell>
          <cell r="BI9">
            <v>22933</v>
          </cell>
          <cell r="BJ9">
            <v>22898</v>
          </cell>
          <cell r="BK9">
            <v>69145</v>
          </cell>
          <cell r="BL9">
            <v>22001</v>
          </cell>
          <cell r="BM9">
            <v>21991</v>
          </cell>
          <cell r="BN9">
            <v>22010</v>
          </cell>
          <cell r="BO9">
            <v>66002</v>
          </cell>
        </row>
        <row r="10">
          <cell r="A10" t="str">
            <v xml:space="preserve">  % Change</v>
          </cell>
          <cell r="R10">
            <v>-4.1249181287364656E-2</v>
          </cell>
          <cell r="T10">
            <v>1.647398072250561E-2</v>
          </cell>
          <cell r="U10">
            <v>-7.7798966365419941E-3</v>
          </cell>
          <cell r="V10">
            <v>-2.2832302565719997E-2</v>
          </cell>
          <cell r="W10">
            <v>-4.5141806126387518E-3</v>
          </cell>
          <cell r="X10">
            <v>-3.884477075217263E-2</v>
          </cell>
          <cell r="Y10">
            <v>-5.2997918893076146E-2</v>
          </cell>
          <cell r="Z10">
            <v>-0.11093151960277237</v>
          </cell>
          <cell r="AA10">
            <v>-6.7642425833552067E-2</v>
          </cell>
          <cell r="AB10">
            <v>-3.0856345656723128E-2</v>
          </cell>
          <cell r="AC10">
            <v>-7.0246096712608175E-2</v>
          </cell>
          <cell r="AD10">
            <v>-9.751114669464267E-2</v>
          </cell>
          <cell r="AE10">
            <v>-6.6171238120974696E-2</v>
          </cell>
          <cell r="AF10">
            <v>-5.7290679090933772E-2</v>
          </cell>
          <cell r="AG10">
            <v>-9.7724284142446938E-2</v>
          </cell>
          <cell r="AH10">
            <v>-6.7152138839227327E-2</v>
          </cell>
          <cell r="AI10">
            <v>-7.4291187563029881E-2</v>
          </cell>
          <cell r="AJ10">
            <v>-0.10158917783031263</v>
          </cell>
          <cell r="AK10">
            <v>-0.18999206161302451</v>
          </cell>
          <cell r="AL10">
            <v>-0.29873137051278453</v>
          </cell>
          <cell r="AM10">
            <v>-0.19463414856684047</v>
          </cell>
          <cell r="AN10">
            <v>-0.51996050768411339</v>
          </cell>
          <cell r="AO10">
            <v>-0.58194128914428256</v>
          </cell>
          <cell r="AP10">
            <v>-0.27182686853702165</v>
          </cell>
          <cell r="AQ10">
            <v>-0.45948254419680779</v>
          </cell>
          <cell r="AR10">
            <v>-0.43095248175903578</v>
          </cell>
          <cell r="AS10">
            <v>-0.51390959466681663</v>
          </cell>
          <cell r="AT10">
            <v>-0.55104850181250864</v>
          </cell>
          <cell r="AU10">
            <v>-0.49727015790641371</v>
          </cell>
          <cell r="AV10">
            <v>-0.58117349577610478</v>
          </cell>
          <cell r="AW10">
            <v>-0.60198087533274847</v>
          </cell>
          <cell r="AX10">
            <v>-0.57805512706648599</v>
          </cell>
          <cell r="AY10">
            <v>-0.58713798215156254</v>
          </cell>
          <cell r="AZ10">
            <v>-0.59574592500548207</v>
          </cell>
          <cell r="BA10">
            <v>-0.59546775330547963</v>
          </cell>
          <cell r="BB10">
            <v>-0.48808308819115087</v>
          </cell>
          <cell r="BC10">
            <v>-0.56517897098058767</v>
          </cell>
          <cell r="BD10">
            <v>-0.29454427365230573</v>
          </cell>
          <cell r="BE10">
            <v>-0.14121825608240102</v>
          </cell>
          <cell r="BF10">
            <v>-0.48588890886212477</v>
          </cell>
          <cell r="BG10">
            <v>-0.34024172122180352</v>
          </cell>
          <cell r="BH10">
            <v>-0.42179013417325961</v>
          </cell>
          <cell r="BI10">
            <v>-0.3364677970024883</v>
          </cell>
          <cell r="BJ10">
            <v>-0.21988280185336606</v>
          </cell>
          <cell r="BK10">
            <v>-0.3366431620856718</v>
          </cell>
          <cell r="BL10">
            <v>-0.24530049396267839</v>
          </cell>
          <cell r="BM10">
            <v>-0.17833657151397397</v>
          </cell>
          <cell r="BN10">
            <v>-0.18722304283604141</v>
          </cell>
          <cell r="BO10">
            <v>-0.20475685575208447</v>
          </cell>
        </row>
        <row r="11">
          <cell r="A11" t="str">
            <v>Sales (IMS)</v>
          </cell>
          <cell r="C11">
            <v>32.208145000000002</v>
          </cell>
          <cell r="D11">
            <v>25.987463000000002</v>
          </cell>
          <cell r="E11">
            <v>25.559774999999998</v>
          </cell>
          <cell r="F11">
            <v>34.473481</v>
          </cell>
          <cell r="G11">
            <v>86.020719</v>
          </cell>
          <cell r="H11">
            <v>26.773768</v>
          </cell>
          <cell r="I11">
            <v>27.818971000000001</v>
          </cell>
          <cell r="J11">
            <v>34.974511</v>
          </cell>
          <cell r="K11">
            <v>89.567250000000001</v>
          </cell>
          <cell r="L11">
            <v>26.594864000000001</v>
          </cell>
          <cell r="M11">
            <v>29.197044000000002</v>
          </cell>
          <cell r="N11">
            <v>36.756264000000002</v>
          </cell>
          <cell r="O11">
            <v>92.548172000000008</v>
          </cell>
          <cell r="P11">
            <v>28.971779000000002</v>
          </cell>
          <cell r="Q11">
            <v>29.297492999999999</v>
          </cell>
          <cell r="R11">
            <v>36.058951</v>
          </cell>
          <cell r="S11">
            <v>94.328222999999994</v>
          </cell>
          <cell r="T11">
            <v>28.978138000000001</v>
          </cell>
          <cell r="U11">
            <v>35.445140000000002</v>
          </cell>
          <cell r="V11">
            <v>36.137270000000001</v>
          </cell>
          <cell r="W11">
            <v>100.56054800000001</v>
          </cell>
          <cell r="X11">
            <v>29.126521</v>
          </cell>
          <cell r="Y11">
            <v>28.509858000000001</v>
          </cell>
          <cell r="Z11">
            <v>37.265310999999997</v>
          </cell>
          <cell r="AA11">
            <v>94.901690000000002</v>
          </cell>
          <cell r="AB11">
            <v>28.682538999999998</v>
          </cell>
          <cell r="AC11">
            <v>29.017921000000001</v>
          </cell>
          <cell r="AD11">
            <v>37.130662000000001</v>
          </cell>
          <cell r="AE11">
            <v>94.831121999999993</v>
          </cell>
          <cell r="AF11">
            <v>29.595044000000001</v>
          </cell>
          <cell r="AG11">
            <v>29.460557000000001</v>
          </cell>
          <cell r="AH11">
            <v>36.698278999999999</v>
          </cell>
          <cell r="AI11">
            <v>95.753880000000009</v>
          </cell>
          <cell r="AJ11">
            <v>29.584990000000001</v>
          </cell>
          <cell r="AK11">
            <v>14.904818000000001</v>
          </cell>
          <cell r="AL11">
            <v>11.864602</v>
          </cell>
          <cell r="AM11">
            <v>56.354410000000001</v>
          </cell>
          <cell r="AN11">
            <v>3.5125389999999999</v>
          </cell>
          <cell r="AO11">
            <v>2.8506589999999998</v>
          </cell>
          <cell r="AP11">
            <v>14.707553000000001</v>
          </cell>
          <cell r="AQ11">
            <v>21.070751000000001</v>
          </cell>
          <cell r="AR11">
            <v>1.6813210000000001</v>
          </cell>
          <cell r="AS11">
            <v>1.5735520000000001</v>
          </cell>
          <cell r="AT11">
            <v>2.1355019999999998</v>
          </cell>
          <cell r="AU11">
            <v>5.3903750000000006</v>
          </cell>
          <cell r="AV11">
            <v>1.6284670000000001</v>
          </cell>
          <cell r="AW11">
            <v>1.5433520000000001</v>
          </cell>
          <cell r="AX11">
            <v>1.800343</v>
          </cell>
          <cell r="AY11">
            <v>4.9721620000000009</v>
          </cell>
          <cell r="AZ11">
            <v>1.583277</v>
          </cell>
          <cell r="BA11">
            <v>1.398914</v>
          </cell>
          <cell r="BB11">
            <v>1.4850859999999999</v>
          </cell>
          <cell r="BC11">
            <v>4.4672770000000002</v>
          </cell>
          <cell r="BD11">
            <v>1.124574</v>
          </cell>
          <cell r="BE11">
            <v>1.086598</v>
          </cell>
          <cell r="BF11">
            <v>1.244219</v>
          </cell>
          <cell r="BG11">
            <v>3.4553909999999997</v>
          </cell>
          <cell r="BH11">
            <v>0.91598100000000005</v>
          </cell>
          <cell r="BI11">
            <v>0.91364800000000002</v>
          </cell>
          <cell r="BJ11">
            <v>1.020931</v>
          </cell>
          <cell r="BK11">
            <v>2.8505600000000002</v>
          </cell>
          <cell r="BL11">
            <v>0.85431699999999999</v>
          </cell>
          <cell r="BM11">
            <v>0.77033700000000005</v>
          </cell>
        </row>
        <row r="12">
          <cell r="A12" t="str">
            <v xml:space="preserve">  % Change</v>
          </cell>
          <cell r="R12">
            <v>0.11956000570663106</v>
          </cell>
          <cell r="T12">
            <v>0.1150814529298223</v>
          </cell>
          <cell r="U12">
            <v>0.38675477385853374</v>
          </cell>
          <cell r="V12">
            <v>4.8262866172406493E-2</v>
          </cell>
          <cell r="W12">
            <v>0.16902705730697298</v>
          </cell>
          <cell r="X12">
            <v>8.78753039168787E-2</v>
          </cell>
          <cell r="Y12">
            <v>2.483510263553601E-2</v>
          </cell>
          <cell r="Z12">
            <v>6.5499128779813232E-2</v>
          </cell>
          <cell r="AA12">
            <v>5.9557929935327936E-2</v>
          </cell>
          <cell r="AB12">
            <v>7.849917939042661E-2</v>
          </cell>
          <cell r="AC12">
            <v>-6.1349703757681562E-3</v>
          </cell>
          <cell r="AD12">
            <v>1.0185964493018007E-2</v>
          </cell>
          <cell r="AE12">
            <v>2.4667694138788443E-2</v>
          </cell>
          <cell r="AF12">
            <v>2.1512831504064689E-2</v>
          </cell>
          <cell r="AG12">
            <v>5.5658004594454358E-3</v>
          </cell>
          <cell r="AH12">
            <v>1.7730077616511908E-2</v>
          </cell>
          <cell r="AI12">
            <v>1.5113790493010981E-2</v>
          </cell>
          <cell r="AJ12">
            <v>2.0941718201493931E-2</v>
          </cell>
          <cell r="AK12">
            <v>-0.57949614531075344</v>
          </cell>
          <cell r="AL12">
            <v>-0.67167962604812148</v>
          </cell>
          <cell r="AM12">
            <v>-0.43959722653858258</v>
          </cell>
          <cell r="AN12">
            <v>-0.87940410047598894</v>
          </cell>
          <cell r="AO12">
            <v>-0.90001146270177845</v>
          </cell>
          <cell r="AP12">
            <v>-0.60532858561142822</v>
          </cell>
          <cell r="AQ12">
            <v>-0.77797285801759697</v>
          </cell>
          <cell r="AR12">
            <v>-0.94138172356359384</v>
          </cell>
          <cell r="AS12">
            <v>-0.9457730965633272</v>
          </cell>
          <cell r="AT12">
            <v>-0.94248683204193884</v>
          </cell>
          <cell r="AU12">
            <v>-0.94315816489021398</v>
          </cell>
          <cell r="AV12">
            <v>-0.94497501000505357</v>
          </cell>
          <cell r="AW12">
            <v>-0.94761293888638964</v>
          </cell>
          <cell r="AX12">
            <v>-0.95094203191381266</v>
          </cell>
          <cell r="AY12">
            <v>-0.94807351931848605</v>
          </cell>
          <cell r="AZ12">
            <v>-0.94648377437342379</v>
          </cell>
          <cell r="BA12">
            <v>-0.90614350339601601</v>
          </cell>
          <cell r="BB12">
            <v>-0.87483052528858529</v>
          </cell>
          <cell r="BC12">
            <v>-0.92072888350707605</v>
          </cell>
          <cell r="BD12">
            <v>-0.67984013842977964</v>
          </cell>
          <cell r="BE12">
            <v>-0.6188256820615865</v>
          </cell>
          <cell r="BF12">
            <v>-0.91540271858955735</v>
          </cell>
          <cell r="BG12">
            <v>-0.83601006912378206</v>
          </cell>
          <cell r="BH12">
            <v>-0.4552015944605462</v>
          </cell>
          <cell r="BI12">
            <v>-0.41937222284360476</v>
          </cell>
          <cell r="BJ12">
            <v>-0.52192458728673619</v>
          </cell>
          <cell r="BK12">
            <v>-0.47117593859425366</v>
          </cell>
          <cell r="BL12">
            <v>-0.47538574622635899</v>
          </cell>
          <cell r="BM12">
            <v>-0.50086759209823817</v>
          </cell>
        </row>
        <row r="14">
          <cell r="A14" t="str">
            <v xml:space="preserve">TOTAL TAMOXIFEN REPORTED SALES </v>
          </cell>
          <cell r="G14">
            <v>82.7</v>
          </cell>
          <cell r="K14">
            <v>89.7</v>
          </cell>
          <cell r="O14">
            <v>87.5</v>
          </cell>
          <cell r="S14">
            <v>89.9</v>
          </cell>
          <cell r="W14">
            <v>137</v>
          </cell>
          <cell r="AA14">
            <v>79.8</v>
          </cell>
          <cell r="AE14">
            <v>59.8</v>
          </cell>
          <cell r="AI14">
            <v>76</v>
          </cell>
          <cell r="AM14">
            <v>37</v>
          </cell>
          <cell r="AQ14">
            <v>4.5</v>
          </cell>
          <cell r="AU14">
            <v>3.9</v>
          </cell>
          <cell r="AY14">
            <v>3.1</v>
          </cell>
          <cell r="BC14">
            <v>3</v>
          </cell>
          <cell r="BG14">
            <v>3</v>
          </cell>
          <cell r="BK14">
            <v>3</v>
          </cell>
          <cell r="BO14">
            <v>3</v>
          </cell>
        </row>
        <row r="15">
          <cell r="A15" t="str">
            <v xml:space="preserve">  % Change</v>
          </cell>
          <cell r="W15">
            <v>0.65659008464328883</v>
          </cell>
          <cell r="AA15">
            <v>-0.11036789297658867</v>
          </cell>
          <cell r="AE15">
            <v>-0.31657142857142861</v>
          </cell>
          <cell r="AI15">
            <v>-0.1546162402669633</v>
          </cell>
          <cell r="AM15">
            <v>-0.72992700729927007</v>
          </cell>
          <cell r="AQ15">
            <v>-0.94360902255639101</v>
          </cell>
          <cell r="AU15">
            <v>-0.93478260869565222</v>
          </cell>
          <cell r="AY15">
            <v>-0.95921052631578951</v>
          </cell>
          <cell r="BC15">
            <v>-0.91891891891891886</v>
          </cell>
          <cell r="BG15">
            <v>-0.33333333333333337</v>
          </cell>
          <cell r="BK15">
            <v>-0.23076923076923073</v>
          </cell>
          <cell r="BO15">
            <v>-3.2258064516129115E-2</v>
          </cell>
        </row>
        <row r="17">
          <cell r="A17" t="str">
            <v>REPORTED SALES/TRx TAMOXIFEN</v>
          </cell>
          <cell r="G17">
            <v>87.015352370089872</v>
          </cell>
          <cell r="K17">
            <v>94.750084768052432</v>
          </cell>
          <cell r="O17">
            <v>91.338786519856527</v>
          </cell>
          <cell r="S17">
            <v>93.882789582456553</v>
          </cell>
          <cell r="W17">
            <v>140.33808160915538</v>
          </cell>
          <cell r="AA17">
            <v>86.49468892261001</v>
          </cell>
          <cell r="AE17">
            <v>65.29553326141361</v>
          </cell>
          <cell r="AI17">
            <v>84.484339827140587</v>
          </cell>
          <cell r="AM17">
            <v>46.548199402421766</v>
          </cell>
          <cell r="AQ17">
            <v>10.360356212069584</v>
          </cell>
          <cell r="AU17">
            <v>10.568532870847109</v>
          </cell>
          <cell r="AY17">
            <v>8.953689208782702</v>
          </cell>
          <cell r="BC17">
            <v>9.2033856187896319</v>
          </cell>
          <cell r="BG17">
            <v>9.7748525626405129</v>
          </cell>
          <cell r="BK17">
            <v>10.32638253051446</v>
          </cell>
        </row>
        <row r="18">
          <cell r="A18" t="str">
            <v>IMS SALES/REPORTED SALES</v>
          </cell>
          <cell r="G18">
            <v>1.0401537968561063</v>
          </cell>
          <cell r="K18">
            <v>0.99852006688963213</v>
          </cell>
          <cell r="O18">
            <v>1.0576933942857143</v>
          </cell>
          <cell r="S18">
            <v>1.0492572080088987</v>
          </cell>
          <cell r="W18">
            <v>0.73401859854014606</v>
          </cell>
          <cell r="AA18">
            <v>1.1892442355889725</v>
          </cell>
          <cell r="AE18">
            <v>1.5858047157190636</v>
          </cell>
          <cell r="AI18">
            <v>1.2599194736842108</v>
          </cell>
          <cell r="AM18">
            <v>1.5230921621621623</v>
          </cell>
          <cell r="AQ18">
            <v>4.6823891111111111</v>
          </cell>
          <cell r="AU18">
            <v>1.3821474358974362</v>
          </cell>
          <cell r="AY18">
            <v>1.6039232258064517</v>
          </cell>
          <cell r="BC18">
            <v>1.4890923333333335</v>
          </cell>
          <cell r="BG18">
            <v>1.151797</v>
          </cell>
          <cell r="BK18">
            <v>0.95018666666666673</v>
          </cell>
        </row>
        <row r="20">
          <cell r="A20" t="str">
            <v>CIPROFLOXACIN</v>
          </cell>
        </row>
        <row r="21">
          <cell r="A21" t="str">
            <v>TRx</v>
          </cell>
          <cell r="AT21">
            <v>156028</v>
          </cell>
          <cell r="AU21">
            <v>156028</v>
          </cell>
          <cell r="AV21">
            <v>521958</v>
          </cell>
          <cell r="AW21">
            <v>596941</v>
          </cell>
          <cell r="AX21">
            <v>622826</v>
          </cell>
          <cell r="AY21">
            <v>1741725</v>
          </cell>
          <cell r="AZ21">
            <v>633730</v>
          </cell>
          <cell r="BA21">
            <v>566954</v>
          </cell>
          <cell r="BB21">
            <v>648158</v>
          </cell>
          <cell r="BC21">
            <v>1848842</v>
          </cell>
          <cell r="BD21">
            <v>624724</v>
          </cell>
          <cell r="BE21">
            <v>572912</v>
          </cell>
          <cell r="BF21">
            <v>633285</v>
          </cell>
          <cell r="BG21">
            <v>1830921</v>
          </cell>
          <cell r="BH21">
            <v>589957</v>
          </cell>
          <cell r="BI21">
            <v>552390</v>
          </cell>
          <cell r="BJ21">
            <v>419878</v>
          </cell>
          <cell r="BK21">
            <v>1562225</v>
          </cell>
          <cell r="BL21">
            <v>286529</v>
          </cell>
          <cell r="BM21">
            <v>247784</v>
          </cell>
          <cell r="BN21">
            <v>226655</v>
          </cell>
          <cell r="BO21">
            <v>760968</v>
          </cell>
        </row>
        <row r="22">
          <cell r="A22" t="str">
            <v xml:space="preserve">  % Change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</row>
        <row r="23">
          <cell r="A23" t="str">
            <v>NRx</v>
          </cell>
          <cell r="AT23">
            <v>150651</v>
          </cell>
          <cell r="AU23">
            <v>150651</v>
          </cell>
          <cell r="AV23">
            <v>501160</v>
          </cell>
          <cell r="AW23">
            <v>568228</v>
          </cell>
          <cell r="AX23">
            <v>591116</v>
          </cell>
          <cell r="AY23">
            <v>1660504</v>
          </cell>
          <cell r="AZ23">
            <v>598683</v>
          </cell>
          <cell r="BA23">
            <v>532334</v>
          </cell>
          <cell r="BB23">
            <v>605525</v>
          </cell>
          <cell r="BC23">
            <v>1736542</v>
          </cell>
          <cell r="BD23">
            <v>585930</v>
          </cell>
          <cell r="BE23">
            <v>537276</v>
          </cell>
          <cell r="BF23">
            <v>594780</v>
          </cell>
          <cell r="BG23">
            <v>1717986</v>
          </cell>
          <cell r="BH23">
            <v>553808</v>
          </cell>
          <cell r="BI23">
            <v>519369</v>
          </cell>
          <cell r="BJ23">
            <v>393442</v>
          </cell>
          <cell r="BK23">
            <v>1466619</v>
          </cell>
          <cell r="BL23">
            <v>268053</v>
          </cell>
          <cell r="BM23">
            <v>232206</v>
          </cell>
          <cell r="BN23">
            <v>212630</v>
          </cell>
          <cell r="BO23">
            <v>712889</v>
          </cell>
        </row>
        <row r="24">
          <cell r="A24" t="str">
            <v xml:space="preserve">  % Change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</row>
        <row r="25">
          <cell r="A25" t="str">
            <v>Sales (IMS)</v>
          </cell>
          <cell r="AS25">
            <v>2.2820000000000002E-3</v>
          </cell>
          <cell r="AT25">
            <v>46.982644999999998</v>
          </cell>
          <cell r="AU25">
            <v>46.984926999999999</v>
          </cell>
          <cell r="AV25">
            <v>41.772419999999997</v>
          </cell>
          <cell r="AW25">
            <v>46.493479000000001</v>
          </cell>
          <cell r="AX25">
            <v>55.00226</v>
          </cell>
          <cell r="AY25">
            <v>143.268159</v>
          </cell>
          <cell r="AZ25">
            <v>42.532536</v>
          </cell>
          <cell r="BA25">
            <v>43.065351999999997</v>
          </cell>
          <cell r="BB25">
            <v>53.194459999999999</v>
          </cell>
          <cell r="BC25">
            <v>138.792348</v>
          </cell>
          <cell r="BD25">
            <v>44.372301</v>
          </cell>
          <cell r="BE25">
            <v>42.464542999999999</v>
          </cell>
          <cell r="BF25">
            <v>53.443443000000002</v>
          </cell>
          <cell r="BG25">
            <v>140.28028699999999</v>
          </cell>
          <cell r="BH25">
            <v>40.779190999999997</v>
          </cell>
          <cell r="BI25">
            <v>32.750722000000003</v>
          </cell>
          <cell r="BJ25">
            <v>10.466614</v>
          </cell>
          <cell r="BK25">
            <v>83.996527</v>
          </cell>
          <cell r="BL25">
            <v>1.378978</v>
          </cell>
          <cell r="BM25">
            <v>1.0873790000000001</v>
          </cell>
        </row>
        <row r="26">
          <cell r="A26" t="str">
            <v xml:space="preserve">  % Change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</row>
        <row r="28">
          <cell r="A28" t="str">
            <v xml:space="preserve">TOTAL CIPROFLOXACIN REPORTED SALES </v>
          </cell>
          <cell r="AU28">
            <v>111.4</v>
          </cell>
          <cell r="AY28">
            <v>114.7</v>
          </cell>
          <cell r="BC28">
            <v>145.4</v>
          </cell>
          <cell r="BG28">
            <v>85</v>
          </cell>
          <cell r="BK28">
            <v>30</v>
          </cell>
        </row>
        <row r="29">
          <cell r="A29" t="str">
            <v xml:space="preserve">  % Change</v>
          </cell>
          <cell r="AU29">
            <v>0</v>
          </cell>
          <cell r="AY29">
            <v>0</v>
          </cell>
          <cell r="BC29">
            <v>0</v>
          </cell>
          <cell r="BG29">
            <v>0</v>
          </cell>
          <cell r="BK29">
            <v>-0.73070017953321365</v>
          </cell>
        </row>
        <row r="31">
          <cell r="A31" t="str">
            <v>REPORTED SALES/TRx CIPROFLOXACIN</v>
          </cell>
          <cell r="AU31">
            <v>713.9744148486169</v>
          </cell>
          <cell r="AY31">
            <v>65.854253685283268</v>
          </cell>
          <cell r="BC31">
            <v>78.643821375758449</v>
          </cell>
          <cell r="BG31">
            <v>46.424722858058871</v>
          </cell>
          <cell r="BK31">
            <v>19.203379794843894</v>
          </cell>
        </row>
        <row r="32">
          <cell r="A32" t="str">
            <v>IMS SALES/REPORTED SALES</v>
          </cell>
          <cell r="AU32">
            <v>0.42176774685816876</v>
          </cell>
          <cell r="AY32">
            <v>1.2490685178727114</v>
          </cell>
          <cell r="BC32">
            <v>0.95455535075653364</v>
          </cell>
          <cell r="BG32">
            <v>1.6503563176470586</v>
          </cell>
          <cell r="BK32">
            <v>2.7998842333333331</v>
          </cell>
        </row>
        <row r="34">
          <cell r="A34" t="str">
            <v>Oral Contraceptives</v>
          </cell>
        </row>
        <row r="35">
          <cell r="A35" t="str">
            <v xml:space="preserve">APRI </v>
          </cell>
        </row>
        <row r="36">
          <cell r="A36" t="str">
            <v>TRx</v>
          </cell>
          <cell r="C36">
            <v>162256</v>
          </cell>
          <cell r="D36">
            <v>176779</v>
          </cell>
          <cell r="E36">
            <v>171961</v>
          </cell>
          <cell r="F36">
            <v>186146</v>
          </cell>
          <cell r="G36">
            <v>534886</v>
          </cell>
          <cell r="H36">
            <v>191745</v>
          </cell>
          <cell r="I36">
            <v>178470</v>
          </cell>
          <cell r="J36">
            <v>202969</v>
          </cell>
          <cell r="K36">
            <v>573184</v>
          </cell>
          <cell r="L36">
            <v>200691</v>
          </cell>
          <cell r="M36">
            <v>206857</v>
          </cell>
          <cell r="N36">
            <v>205571</v>
          </cell>
          <cell r="O36">
            <v>613119</v>
          </cell>
          <cell r="P36">
            <v>217387</v>
          </cell>
          <cell r="Q36">
            <v>218849</v>
          </cell>
          <cell r="R36">
            <v>213582</v>
          </cell>
          <cell r="S36">
            <v>649818</v>
          </cell>
          <cell r="T36">
            <v>221001</v>
          </cell>
          <cell r="U36">
            <v>217530</v>
          </cell>
          <cell r="V36">
            <v>232199</v>
          </cell>
          <cell r="W36">
            <v>670730</v>
          </cell>
          <cell r="X36">
            <v>236760</v>
          </cell>
          <cell r="Y36">
            <v>222210</v>
          </cell>
          <cell r="Z36">
            <v>251259</v>
          </cell>
          <cell r="AA36">
            <v>710229</v>
          </cell>
          <cell r="AB36">
            <v>251165</v>
          </cell>
          <cell r="AC36">
            <v>255124</v>
          </cell>
          <cell r="AD36">
            <v>254493</v>
          </cell>
          <cell r="AE36">
            <v>760782</v>
          </cell>
          <cell r="AF36">
            <v>262436</v>
          </cell>
          <cell r="AG36">
            <v>264276</v>
          </cell>
          <cell r="AH36">
            <v>252897</v>
          </cell>
          <cell r="AI36">
            <v>779609</v>
          </cell>
          <cell r="AJ36">
            <v>255755</v>
          </cell>
          <cell r="AK36">
            <v>254854</v>
          </cell>
          <cell r="AL36">
            <v>269268</v>
          </cell>
          <cell r="AM36">
            <v>779877</v>
          </cell>
          <cell r="AN36">
            <v>264901</v>
          </cell>
          <cell r="AO36">
            <v>242701</v>
          </cell>
          <cell r="AP36">
            <v>269154</v>
          </cell>
          <cell r="AQ36">
            <v>776756</v>
          </cell>
          <cell r="AR36">
            <v>252225</v>
          </cell>
          <cell r="AS36">
            <v>264879</v>
          </cell>
          <cell r="AT36">
            <v>260569</v>
          </cell>
          <cell r="AU36">
            <v>777673</v>
          </cell>
          <cell r="AV36">
            <v>262136</v>
          </cell>
          <cell r="AW36">
            <v>266850</v>
          </cell>
          <cell r="AX36">
            <v>259646</v>
          </cell>
          <cell r="AY36">
            <v>788632</v>
          </cell>
          <cell r="AZ36">
            <v>263886</v>
          </cell>
          <cell r="BA36">
            <v>256901</v>
          </cell>
          <cell r="BB36">
            <v>267782</v>
          </cell>
          <cell r="BC36">
            <v>788569</v>
          </cell>
          <cell r="BD36">
            <v>268467</v>
          </cell>
          <cell r="BE36">
            <v>250113</v>
          </cell>
          <cell r="BF36">
            <v>267077</v>
          </cell>
          <cell r="BG36">
            <v>785657</v>
          </cell>
          <cell r="BH36">
            <v>256642</v>
          </cell>
          <cell r="BI36">
            <v>261841</v>
          </cell>
          <cell r="BJ36">
            <v>260218</v>
          </cell>
          <cell r="BK36">
            <v>778701</v>
          </cell>
          <cell r="BL36">
            <v>255971</v>
          </cell>
          <cell r="BM36">
            <v>252443</v>
          </cell>
          <cell r="BN36">
            <v>230469</v>
          </cell>
          <cell r="BO36">
            <v>738883</v>
          </cell>
        </row>
        <row r="37">
          <cell r="A37" t="str">
            <v xml:space="preserve">  % Change</v>
          </cell>
          <cell r="R37">
            <v>0.31632728527758602</v>
          </cell>
          <cell r="T37">
            <v>0.25015414726862351</v>
          </cell>
          <cell r="U37">
            <v>0.26499613284407508</v>
          </cell>
          <cell r="V37">
            <v>0.24740257647223141</v>
          </cell>
          <cell r="W37">
            <v>0.25396813526620621</v>
          </cell>
          <cell r="X37">
            <v>0.23476492216224676</v>
          </cell>
          <cell r="Y37">
            <v>0.24508320726172461</v>
          </cell>
          <cell r="Z37">
            <v>0.23791810572057792</v>
          </cell>
          <cell r="AA37">
            <v>0.23909425245645388</v>
          </cell>
          <cell r="AB37">
            <v>0.25150106382448634</v>
          </cell>
          <cell r="AC37">
            <v>0.2333351058944102</v>
          </cell>
          <cell r="AD37">
            <v>0.23798103818145555</v>
          </cell>
          <cell r="AE37">
            <v>0.24083905408248651</v>
          </cell>
          <cell r="AF37">
            <v>0.20722950314416222</v>
          </cell>
          <cell r="AG37">
            <v>0.2075723444018478</v>
          </cell>
          <cell r="AH37">
            <v>0.18407450066016806</v>
          </cell>
          <cell r="AI37">
            <v>0.1997343871668682</v>
          </cell>
          <cell r="AJ37">
            <v>0.1572572069809639</v>
          </cell>
          <cell r="AK37">
            <v>0.17158093136578856</v>
          </cell>
          <cell r="AL37">
            <v>0.15964323705097772</v>
          </cell>
          <cell r="AM37">
            <v>0.16272866876388403</v>
          </cell>
          <cell r="AN37">
            <v>0.11885875992566319</v>
          </cell>
          <cell r="AO37">
            <v>9.2214571801449097E-2</v>
          </cell>
          <cell r="AP37">
            <v>7.122132938521597E-2</v>
          </cell>
          <cell r="AQ37">
            <v>9.366978819507521E-2</v>
          </cell>
          <cell r="AR37">
            <v>4.2203332470687194E-3</v>
          </cell>
          <cell r="AS37">
            <v>3.8236308618554204E-2</v>
          </cell>
          <cell r="AT37">
            <v>2.3874919938858818E-2</v>
          </cell>
          <cell r="AU37">
            <v>2.2202155150884195E-2</v>
          </cell>
          <cell r="AV37">
            <v>-1.1431358502644873E-3</v>
          </cell>
          <cell r="AW37">
            <v>9.7398174635607848E-3</v>
          </cell>
          <cell r="AX37">
            <v>2.6686753895854842E-2</v>
          </cell>
          <cell r="AY37">
            <v>1.157375043130604E-2</v>
          </cell>
          <cell r="AZ37">
            <v>3.1792144826103153E-2</v>
          </cell>
          <cell r="BA37">
            <v>8.0320497225863097E-3</v>
          </cell>
          <cell r="BB37">
            <v>-5.5186654188392747E-3</v>
          </cell>
          <cell r="BC37">
            <v>1.1145347279122308E-2</v>
          </cell>
          <cell r="BD37">
            <v>1.3461632836418103E-2</v>
          </cell>
          <cell r="BE37">
            <v>3.0539635188977288E-2</v>
          </cell>
          <cell r="BF37">
            <v>-7.7167718109335537E-3</v>
          </cell>
          <cell r="BG37">
            <v>1.1459196967902319E-2</v>
          </cell>
          <cell r="BH37">
            <v>1.751214193676276E-2</v>
          </cell>
          <cell r="BI37">
            <v>-1.1469387909196271E-2</v>
          </cell>
          <cell r="BJ37">
            <v>-1.3470520284454279E-3</v>
          </cell>
          <cell r="BK37">
            <v>1.321892363499888E-3</v>
          </cell>
          <cell r="BL37">
            <v>-2.3518326364940334E-2</v>
          </cell>
          <cell r="BM37">
            <v>-5.3989132471425894E-2</v>
          </cell>
          <cell r="BN37">
            <v>-0.11237222988222428</v>
          </cell>
          <cell r="BO37">
            <v>-6.3082654520739689E-2</v>
          </cell>
        </row>
        <row r="38">
          <cell r="A38" t="str">
            <v>NRx</v>
          </cell>
          <cell r="C38">
            <v>51069</v>
          </cell>
          <cell r="D38">
            <v>52747</v>
          </cell>
          <cell r="E38">
            <v>49159</v>
          </cell>
          <cell r="F38">
            <v>50957</v>
          </cell>
          <cell r="G38">
            <v>152863</v>
          </cell>
          <cell r="H38">
            <v>57718</v>
          </cell>
          <cell r="I38">
            <v>52465</v>
          </cell>
          <cell r="J38">
            <v>57657</v>
          </cell>
          <cell r="K38">
            <v>167840</v>
          </cell>
          <cell r="L38">
            <v>55458</v>
          </cell>
          <cell r="M38">
            <v>59139</v>
          </cell>
          <cell r="N38">
            <v>58034</v>
          </cell>
          <cell r="O38">
            <v>172631</v>
          </cell>
          <cell r="P38">
            <v>60217</v>
          </cell>
          <cell r="Q38">
            <v>62396</v>
          </cell>
          <cell r="R38">
            <v>58698</v>
          </cell>
          <cell r="S38">
            <v>181311</v>
          </cell>
          <cell r="T38">
            <v>60998</v>
          </cell>
          <cell r="U38">
            <v>58065</v>
          </cell>
          <cell r="V38">
            <v>60053</v>
          </cell>
          <cell r="W38">
            <v>179116</v>
          </cell>
          <cell r="X38">
            <v>69231</v>
          </cell>
          <cell r="Y38">
            <v>62727</v>
          </cell>
          <cell r="Z38">
            <v>67745</v>
          </cell>
          <cell r="AA38">
            <v>199703</v>
          </cell>
          <cell r="AB38">
            <v>68925</v>
          </cell>
          <cell r="AC38">
            <v>69146</v>
          </cell>
          <cell r="AD38">
            <v>67374</v>
          </cell>
          <cell r="AE38">
            <v>205445</v>
          </cell>
          <cell r="AF38">
            <v>71649</v>
          </cell>
          <cell r="AG38">
            <v>72342</v>
          </cell>
          <cell r="AH38">
            <v>67259</v>
          </cell>
          <cell r="AI38">
            <v>211250</v>
          </cell>
          <cell r="AJ38">
            <v>67130</v>
          </cell>
          <cell r="AK38">
            <v>64477</v>
          </cell>
          <cell r="AL38">
            <v>69550</v>
          </cell>
          <cell r="AM38">
            <v>201157</v>
          </cell>
          <cell r="AN38">
            <v>74812</v>
          </cell>
          <cell r="AO38">
            <v>67286</v>
          </cell>
          <cell r="AP38">
            <v>70018</v>
          </cell>
          <cell r="AQ38">
            <v>212116</v>
          </cell>
          <cell r="AR38">
            <v>65525</v>
          </cell>
          <cell r="AS38">
            <v>68688</v>
          </cell>
          <cell r="AT38">
            <v>68577</v>
          </cell>
          <cell r="AU38">
            <v>202790</v>
          </cell>
          <cell r="AV38">
            <v>69860</v>
          </cell>
          <cell r="AW38">
            <v>71294</v>
          </cell>
          <cell r="AX38">
            <v>70369</v>
          </cell>
          <cell r="AY38">
            <v>211523</v>
          </cell>
          <cell r="AZ38">
            <v>69624</v>
          </cell>
          <cell r="BA38">
            <v>62681</v>
          </cell>
          <cell r="BB38">
            <v>66780</v>
          </cell>
          <cell r="BC38">
            <v>199085</v>
          </cell>
          <cell r="BD38">
            <v>71329</v>
          </cell>
          <cell r="BE38">
            <v>65944</v>
          </cell>
          <cell r="BF38">
            <v>69045</v>
          </cell>
          <cell r="BG38">
            <v>206318</v>
          </cell>
          <cell r="BH38">
            <v>64296</v>
          </cell>
          <cell r="BI38">
            <v>65804</v>
          </cell>
          <cell r="BJ38">
            <v>68170</v>
          </cell>
          <cell r="BK38">
            <v>198270</v>
          </cell>
          <cell r="BL38">
            <v>66879</v>
          </cell>
          <cell r="BM38">
            <v>67585</v>
          </cell>
          <cell r="BN38">
            <v>62293</v>
          </cell>
          <cell r="BO38">
            <v>196757</v>
          </cell>
        </row>
        <row r="39">
          <cell r="A39" t="str">
            <v xml:space="preserve">  % Change</v>
          </cell>
          <cell r="R39">
            <v>0.14938612465487866</v>
          </cell>
          <cell r="T39">
            <v>0.1564259578743814</v>
          </cell>
          <cell r="U39">
            <v>0.18116723285664893</v>
          </cell>
          <cell r="V39">
            <v>0.17850344408030305</v>
          </cell>
          <cell r="W39">
            <v>0.17174201736195149</v>
          </cell>
          <cell r="X39">
            <v>0.19946983609965696</v>
          </cell>
          <cell r="Y39">
            <v>0.19559706470980665</v>
          </cell>
          <cell r="Z39">
            <v>0.17496574570303691</v>
          </cell>
          <cell r="AA39">
            <v>0.18984151572926589</v>
          </cell>
          <cell r="AB39">
            <v>0.24283241371848963</v>
          </cell>
          <cell r="AC39">
            <v>0.1692115186256109</v>
          </cell>
          <cell r="AD39">
            <v>0.16094013853947686</v>
          </cell>
          <cell r="AE39">
            <v>0.19008173503020886</v>
          </cell>
          <cell r="AF39">
            <v>0.18984672102562405</v>
          </cell>
          <cell r="AG39">
            <v>0.15940124366946606</v>
          </cell>
          <cell r="AH39">
            <v>0.14584824014446829</v>
          </cell>
          <cell r="AI39">
            <v>0.1651251165125116</v>
          </cell>
          <cell r="AJ39">
            <v>0.10052788616020192</v>
          </cell>
          <cell r="AK39">
            <v>0.11042796865581672</v>
          </cell>
          <cell r="AL39">
            <v>0.15814363978485679</v>
          </cell>
          <cell r="AM39">
            <v>0.12305433350454464</v>
          </cell>
          <cell r="AN39">
            <v>8.0614175730525428E-2</v>
          </cell>
          <cell r="AO39">
            <v>7.2680026145041321E-2</v>
          </cell>
          <cell r="AP39">
            <v>3.355229168204299E-2</v>
          </cell>
          <cell r="AQ39">
            <v>6.2157303595839819E-2</v>
          </cell>
          <cell r="AR39">
            <v>-4.9328980776206066E-2</v>
          </cell>
          <cell r="AS39">
            <v>-6.6236658664275971E-3</v>
          </cell>
          <cell r="AT39">
            <v>1.7855552587051404E-2</v>
          </cell>
          <cell r="AU39">
            <v>-1.2923166784297502E-2</v>
          </cell>
          <cell r="AV39">
            <v>-2.4968945833158895E-2</v>
          </cell>
          <cell r="AW39">
            <v>-1.4486743523817402E-2</v>
          </cell>
          <cell r="AX39">
            <v>4.6239165018807871E-2</v>
          </cell>
          <cell r="AY39">
            <v>1.2923076923077037E-3</v>
          </cell>
          <cell r="AZ39">
            <v>3.7151795024579215E-2</v>
          </cell>
          <cell r="BA39">
            <v>-2.7854893993206842E-2</v>
          </cell>
          <cell r="BB39">
            <v>-3.9827462257368773E-2</v>
          </cell>
          <cell r="BC39">
            <v>-1.0300412115909485E-2</v>
          </cell>
          <cell r="BD39">
            <v>-4.6556702133347616E-2</v>
          </cell>
          <cell r="BE39">
            <v>-1.994471361055794E-2</v>
          </cell>
          <cell r="BF39">
            <v>-1.3896426633151493E-2</v>
          </cell>
          <cell r="BG39">
            <v>-2.7334100209319478E-2</v>
          </cell>
          <cell r="BH39">
            <v>-1.8756199923693262E-2</v>
          </cell>
          <cell r="BI39">
            <v>-4.1986955508968138E-2</v>
          </cell>
          <cell r="BJ39">
            <v>-5.9349344532423354E-3</v>
          </cell>
          <cell r="BK39">
            <v>-2.2289067508259763E-2</v>
          </cell>
          <cell r="BL39">
            <v>-4.267105639851132E-2</v>
          </cell>
          <cell r="BM39">
            <v>-5.2024013240945965E-2</v>
          </cell>
          <cell r="BN39">
            <v>-0.11476644545183246</v>
          </cell>
          <cell r="BO39">
            <v>-6.980801142192572E-2</v>
          </cell>
        </row>
        <row r="40">
          <cell r="A40" t="str">
            <v>Sales (IMS)</v>
          </cell>
          <cell r="C40">
            <v>6.1124599999999996</v>
          </cell>
          <cell r="D40">
            <v>4.9805210000000004</v>
          </cell>
          <cell r="E40">
            <v>5.1473820000000003</v>
          </cell>
          <cell r="F40">
            <v>7.675306</v>
          </cell>
          <cell r="G40">
            <v>17.803208999999999</v>
          </cell>
          <cell r="H40">
            <v>5.6783979999999996</v>
          </cell>
          <cell r="I40">
            <v>5.5059420000000001</v>
          </cell>
          <cell r="J40">
            <v>7.8040929999999999</v>
          </cell>
          <cell r="K40">
            <v>18.988433000000001</v>
          </cell>
          <cell r="L40">
            <v>5.5722630000000004</v>
          </cell>
          <cell r="M40">
            <v>6.5236450000000001</v>
          </cell>
          <cell r="N40">
            <v>8.4564699999999995</v>
          </cell>
          <cell r="O40">
            <v>20.552378000000001</v>
          </cell>
          <cell r="P40">
            <v>6.7474550000000004</v>
          </cell>
          <cell r="Q40">
            <v>7.7983339999999997</v>
          </cell>
          <cell r="R40">
            <v>8.5438550000000006</v>
          </cell>
          <cell r="S40">
            <v>23.089644</v>
          </cell>
          <cell r="T40">
            <v>6.9673970000000001</v>
          </cell>
          <cell r="U40">
            <v>8.8195789999999992</v>
          </cell>
          <cell r="V40">
            <v>8.4865499999999994</v>
          </cell>
          <cell r="W40">
            <v>24.273525999999997</v>
          </cell>
          <cell r="X40">
            <v>8.1561269999999997</v>
          </cell>
          <cell r="Y40">
            <v>7.5307690000000003</v>
          </cell>
          <cell r="Z40">
            <v>10.33386</v>
          </cell>
          <cell r="AA40">
            <v>26.020755999999999</v>
          </cell>
          <cell r="AB40">
            <v>8.4691700000000001</v>
          </cell>
          <cell r="AC40">
            <v>8.789752</v>
          </cell>
          <cell r="AD40">
            <v>11.069591000000001</v>
          </cell>
          <cell r="AE40">
            <v>28.328513000000001</v>
          </cell>
          <cell r="AF40">
            <v>9.0309709999999992</v>
          </cell>
          <cell r="AG40">
            <v>9.3155619999999999</v>
          </cell>
          <cell r="AH40">
            <v>11.232022000000001</v>
          </cell>
          <cell r="AI40">
            <v>29.578555000000001</v>
          </cell>
          <cell r="AJ40">
            <v>7.0278840000000002</v>
          </cell>
          <cell r="AK40">
            <v>9.9267970000000005</v>
          </cell>
          <cell r="AL40">
            <v>7.8061730000000003</v>
          </cell>
          <cell r="AM40">
            <v>24.760854000000002</v>
          </cell>
          <cell r="AN40">
            <v>7.8995860000000002</v>
          </cell>
          <cell r="AO40">
            <v>9.2443390000000001</v>
          </cell>
          <cell r="AP40">
            <v>11.711546999999999</v>
          </cell>
          <cell r="AQ40">
            <v>28.855471999999999</v>
          </cell>
          <cell r="AR40">
            <v>9.055771</v>
          </cell>
          <cell r="AS40">
            <v>9.5455799999999993</v>
          </cell>
          <cell r="AT40">
            <v>12.098725999999999</v>
          </cell>
          <cell r="AU40">
            <v>30.700077</v>
          </cell>
          <cell r="AV40">
            <v>8.926812</v>
          </cell>
          <cell r="AW40">
            <v>9.7520749999999996</v>
          </cell>
          <cell r="AX40">
            <v>11.277848000000001</v>
          </cell>
          <cell r="AY40">
            <v>29.956735000000002</v>
          </cell>
          <cell r="AZ40">
            <v>9.5035550000000004</v>
          </cell>
          <cell r="BA40">
            <v>10.254923</v>
          </cell>
          <cell r="BB40">
            <v>11.900606</v>
          </cell>
          <cell r="BC40">
            <v>31.659084</v>
          </cell>
          <cell r="BD40">
            <v>8.7827889999999993</v>
          </cell>
          <cell r="BE40">
            <v>9.2629459999999995</v>
          </cell>
          <cell r="BF40">
            <v>13.260510999999999</v>
          </cell>
          <cell r="BG40">
            <v>31.306246000000002</v>
          </cell>
          <cell r="BH40">
            <v>10.648346</v>
          </cell>
          <cell r="BI40">
            <v>10.286495</v>
          </cell>
          <cell r="BJ40">
            <v>13.385486999999999</v>
          </cell>
          <cell r="BK40">
            <v>34.320328000000003</v>
          </cell>
          <cell r="BL40">
            <v>7.5419840000000002</v>
          </cell>
          <cell r="BM40">
            <v>8.7881140000000002</v>
          </cell>
        </row>
        <row r="41">
          <cell r="A41" t="str">
            <v xml:space="preserve">  % Change</v>
          </cell>
          <cell r="R41">
            <v>0.3977768361674352</v>
          </cell>
          <cell r="T41">
            <v>0.39892934895766907</v>
          </cell>
          <cell r="U41">
            <v>0.71341062310898984</v>
          </cell>
          <cell r="V41">
            <v>0.10569532993212261</v>
          </cell>
          <cell r="W41">
            <v>0.36343543458934846</v>
          </cell>
          <cell r="X41">
            <v>0.43634296151837204</v>
          </cell>
          <cell r="Y41">
            <v>0.3677530566068441</v>
          </cell>
          <cell r="Z41">
            <v>0.32415900220563754</v>
          </cell>
          <cell r="AA41">
            <v>0.37034772695566809</v>
          </cell>
          <cell r="AB41">
            <v>0.51987980466822892</v>
          </cell>
          <cell r="AC41">
            <v>0.34736822742500539</v>
          </cell>
          <cell r="AD41">
            <v>0.30900848699279981</v>
          </cell>
          <cell r="AE41">
            <v>0.37835694730799529</v>
          </cell>
          <cell r="AF41">
            <v>0.33842626590321823</v>
          </cell>
          <cell r="AG41">
            <v>0.19455796584244789</v>
          </cell>
          <cell r="AH41">
            <v>0.31463162705827763</v>
          </cell>
          <cell r="AI41">
            <v>0.28103122767938737</v>
          </cell>
          <cell r="AJ41">
            <v>8.6814344008243616E-3</v>
          </cell>
          <cell r="AK41">
            <v>0.12554091300729908</v>
          </cell>
          <cell r="AL41">
            <v>-8.0171212094431676E-2</v>
          </cell>
          <cell r="AM41">
            <v>2.0076522875168923E-2</v>
          </cell>
          <cell r="AN41">
            <v>-3.1453777019411211E-2</v>
          </cell>
          <cell r="AO41">
            <v>0.22754249931182313</v>
          </cell>
          <cell r="AP41">
            <v>0.13331775348224184</v>
          </cell>
          <cell r="AQ41">
            <v>0.10894057036621074</v>
          </cell>
          <cell r="AR41">
            <v>6.926310370437716E-2</v>
          </cell>
          <cell r="AS41">
            <v>8.598968435059362E-2</v>
          </cell>
          <cell r="AT41">
            <v>9.2969559579933803E-2</v>
          </cell>
          <cell r="AU41">
            <v>8.3716501462678172E-2</v>
          </cell>
          <cell r="AV41">
            <v>-1.1533532772943111E-2</v>
          </cell>
          <cell r="AW41">
            <v>4.6858471877488483E-2</v>
          </cell>
          <cell r="AX41">
            <v>4.079942151110405E-3</v>
          </cell>
          <cell r="AY41">
            <v>1.2785614442625715E-2</v>
          </cell>
          <cell r="AZ41">
            <v>0.35226406696524881</v>
          </cell>
          <cell r="BA41">
            <v>3.3054569364115993E-2</v>
          </cell>
          <cell r="BB41">
            <v>0.52451220335496007</v>
          </cell>
          <cell r="BC41">
            <v>0.27859418742180697</v>
          </cell>
          <cell r="BD41">
            <v>0.1118037071816167</v>
          </cell>
          <cell r="BE41">
            <v>2.012799400800791E-3</v>
          </cell>
          <cell r="BF41">
            <v>0.13225955546265578</v>
          </cell>
          <cell r="BG41">
            <v>8.4932729570322163E-2</v>
          </cell>
          <cell r="BH41">
            <v>0.17586299388533577</v>
          </cell>
          <cell r="BI41">
            <v>7.7618646535883684E-2</v>
          </cell>
          <cell r="BJ41">
            <v>0.10635508234503366</v>
          </cell>
          <cell r="BK41">
            <v>0.11792318957375914</v>
          </cell>
          <cell r="BL41">
            <v>-0.15513130555454735</v>
          </cell>
          <cell r="BM41">
            <v>-9.8846758254012568E-2</v>
          </cell>
        </row>
        <row r="43">
          <cell r="A43" t="str">
            <v>AVIANE</v>
          </cell>
        </row>
        <row r="44">
          <cell r="A44" t="str">
            <v>TRx</v>
          </cell>
          <cell r="M44">
            <v>1425</v>
          </cell>
          <cell r="N44">
            <v>72318</v>
          </cell>
          <cell r="O44">
            <v>73743</v>
          </cell>
          <cell r="P44">
            <v>116304</v>
          </cell>
          <cell r="Q44">
            <v>149617</v>
          </cell>
          <cell r="R44">
            <v>163177</v>
          </cell>
          <cell r="S44">
            <v>429098</v>
          </cell>
          <cell r="T44">
            <v>187021</v>
          </cell>
          <cell r="U44">
            <v>205576</v>
          </cell>
          <cell r="V44">
            <v>229495</v>
          </cell>
          <cell r="W44">
            <v>622092</v>
          </cell>
          <cell r="X44">
            <v>247988</v>
          </cell>
          <cell r="Y44">
            <v>240807</v>
          </cell>
          <cell r="Z44">
            <v>283001</v>
          </cell>
          <cell r="AA44">
            <v>771796</v>
          </cell>
          <cell r="AB44">
            <v>289644</v>
          </cell>
          <cell r="AC44">
            <v>297222</v>
          </cell>
          <cell r="AD44">
            <v>293072</v>
          </cell>
          <cell r="AE44">
            <v>879938</v>
          </cell>
          <cell r="AF44">
            <v>310052</v>
          </cell>
          <cell r="AG44">
            <v>319981</v>
          </cell>
          <cell r="AH44">
            <v>305035</v>
          </cell>
          <cell r="AI44">
            <v>935068</v>
          </cell>
          <cell r="AJ44">
            <v>306326</v>
          </cell>
          <cell r="AK44">
            <v>307612</v>
          </cell>
          <cell r="AL44">
            <v>326801</v>
          </cell>
          <cell r="AM44">
            <v>940739</v>
          </cell>
          <cell r="AN44">
            <v>328391</v>
          </cell>
          <cell r="AO44">
            <v>301847</v>
          </cell>
          <cell r="AP44">
            <v>343332</v>
          </cell>
          <cell r="AQ44">
            <v>973570</v>
          </cell>
          <cell r="AR44">
            <v>327347</v>
          </cell>
          <cell r="AS44">
            <v>347075</v>
          </cell>
          <cell r="AT44">
            <v>344486</v>
          </cell>
          <cell r="AU44">
            <v>1018908</v>
          </cell>
          <cell r="AV44">
            <v>347585</v>
          </cell>
          <cell r="AW44">
            <v>352868</v>
          </cell>
          <cell r="AX44">
            <v>341379</v>
          </cell>
          <cell r="AY44">
            <v>1041832</v>
          </cell>
          <cell r="AZ44">
            <v>346505</v>
          </cell>
          <cell r="BA44">
            <v>336887</v>
          </cell>
          <cell r="BB44">
            <v>348785</v>
          </cell>
          <cell r="BC44">
            <v>1032177</v>
          </cell>
          <cell r="BD44">
            <v>348054</v>
          </cell>
          <cell r="BE44">
            <v>324338</v>
          </cell>
          <cell r="BF44">
            <v>348653</v>
          </cell>
          <cell r="BG44">
            <v>1021045</v>
          </cell>
          <cell r="BH44">
            <v>335988</v>
          </cell>
          <cell r="BI44">
            <v>347248</v>
          </cell>
          <cell r="BJ44">
            <v>348019</v>
          </cell>
          <cell r="BK44">
            <v>1031255</v>
          </cell>
          <cell r="BL44">
            <v>351376</v>
          </cell>
          <cell r="BM44">
            <v>359092</v>
          </cell>
          <cell r="BN44">
            <v>337092</v>
          </cell>
          <cell r="BO44">
            <v>1047560</v>
          </cell>
        </row>
        <row r="45">
          <cell r="A45" t="str">
            <v xml:space="preserve">  % Change</v>
          </cell>
          <cell r="AD45">
            <v>3.0525457009319945</v>
          </cell>
          <cell r="AE45">
            <v>10.932495287688322</v>
          </cell>
          <cell r="AF45">
            <v>1.6658756362635851</v>
          </cell>
          <cell r="AG45">
            <v>1.1386673974214161</v>
          </cell>
          <cell r="AH45">
            <v>0.86935045993001459</v>
          </cell>
          <cell r="AI45">
            <v>1.1791478869628849</v>
          </cell>
          <cell r="AJ45">
            <v>0.63792301399308093</v>
          </cell>
          <cell r="AK45">
            <v>0.49634198544577179</v>
          </cell>
          <cell r="AL45">
            <v>0.4240005228872088</v>
          </cell>
          <cell r="AM45">
            <v>0.51221845000417954</v>
          </cell>
          <cell r="AN45">
            <v>0.32422133329032055</v>
          </cell>
          <cell r="AO45">
            <v>0.25348100345920166</v>
          </cell>
          <cell r="AP45">
            <v>0.21318299228624626</v>
          </cell>
          <cell r="AQ45">
            <v>0.26143436866736813</v>
          </cell>
          <cell r="AR45">
            <v>0.13017013989587212</v>
          </cell>
          <cell r="AS45">
            <v>0.16772984503165977</v>
          </cell>
          <cell r="AT45">
            <v>0.17543129333406116</v>
          </cell>
          <cell r="AU45">
            <v>0.15793158154324516</v>
          </cell>
          <cell r="AV45">
            <v>0.12105388773496051</v>
          </cell>
          <cell r="AW45">
            <v>0.10277797744241068</v>
          </cell>
          <cell r="AX45">
            <v>0.11914698313308314</v>
          </cell>
          <cell r="AY45">
            <v>0.11417779241723602</v>
          </cell>
          <cell r="AZ45">
            <v>0.13116418456154544</v>
          </cell>
          <cell r="BA45">
            <v>9.5168589001729531E-2</v>
          </cell>
          <cell r="BB45">
            <v>6.7270295990526252E-2</v>
          </cell>
          <cell r="BC45">
            <v>9.7198053870414691E-2</v>
          </cell>
          <cell r="BD45">
            <v>5.9876793212968682E-2</v>
          </cell>
          <cell r="BE45">
            <v>7.4511259015328957E-2</v>
          </cell>
          <cell r="BF45">
            <v>1.5498118439294828E-2</v>
          </cell>
          <cell r="BG45">
            <v>4.8763827973335339E-2</v>
          </cell>
          <cell r="BH45">
            <v>2.6397064888329602E-2</v>
          </cell>
          <cell r="BI45">
            <v>4.9845134336967689E-4</v>
          </cell>
          <cell r="BJ45">
            <v>1.0255859454375571E-2</v>
          </cell>
          <cell r="BK45">
            <v>1.2117875215426732E-2</v>
          </cell>
          <cell r="BL45">
            <v>1.0906684695829894E-2</v>
          </cell>
          <cell r="BM45">
            <v>1.7638323679109558E-2</v>
          </cell>
          <cell r="BN45">
            <v>-1.2557890204142663E-2</v>
          </cell>
          <cell r="BO45">
            <v>5.4980073562724829E-3</v>
          </cell>
        </row>
        <row r="46">
          <cell r="A46" t="str">
            <v>NRx</v>
          </cell>
          <cell r="M46">
            <v>1220</v>
          </cell>
          <cell r="N46">
            <v>57366</v>
          </cell>
          <cell r="O46">
            <v>58586</v>
          </cell>
          <cell r="P46">
            <v>56933</v>
          </cell>
          <cell r="Q46">
            <v>67497</v>
          </cell>
          <cell r="R46">
            <v>65037</v>
          </cell>
          <cell r="S46">
            <v>189467</v>
          </cell>
          <cell r="T46">
            <v>70597</v>
          </cell>
          <cell r="U46">
            <v>71440</v>
          </cell>
          <cell r="V46">
            <v>74399</v>
          </cell>
          <cell r="W46">
            <v>216436</v>
          </cell>
          <cell r="X46">
            <v>89115</v>
          </cell>
          <cell r="Y46">
            <v>82340</v>
          </cell>
          <cell r="Z46">
            <v>92630</v>
          </cell>
          <cell r="AA46">
            <v>264085</v>
          </cell>
          <cell r="AB46">
            <v>93943</v>
          </cell>
          <cell r="AC46">
            <v>94175</v>
          </cell>
          <cell r="AD46">
            <v>89884</v>
          </cell>
          <cell r="AE46">
            <v>278002</v>
          </cell>
          <cell r="AF46">
            <v>98984</v>
          </cell>
          <cell r="AG46">
            <v>102912</v>
          </cell>
          <cell r="AH46">
            <v>94318</v>
          </cell>
          <cell r="AI46">
            <v>296214</v>
          </cell>
          <cell r="AJ46">
            <v>94010</v>
          </cell>
          <cell r="AK46">
            <v>91349</v>
          </cell>
          <cell r="AL46">
            <v>95598</v>
          </cell>
          <cell r="AM46">
            <v>280957</v>
          </cell>
          <cell r="AN46">
            <v>104432</v>
          </cell>
          <cell r="AO46">
            <v>92283</v>
          </cell>
          <cell r="AP46">
            <v>100618</v>
          </cell>
          <cell r="AQ46">
            <v>297333</v>
          </cell>
          <cell r="AR46">
            <v>95524</v>
          </cell>
          <cell r="AS46">
            <v>100686</v>
          </cell>
          <cell r="AT46">
            <v>100456</v>
          </cell>
          <cell r="AU46">
            <v>296666</v>
          </cell>
          <cell r="AV46">
            <v>101352</v>
          </cell>
          <cell r="AW46">
            <v>102016</v>
          </cell>
          <cell r="AX46">
            <v>98813</v>
          </cell>
          <cell r="AY46">
            <v>302181</v>
          </cell>
          <cell r="AZ46">
            <v>95538</v>
          </cell>
          <cell r="BA46">
            <v>86971</v>
          </cell>
          <cell r="BB46">
            <v>91940</v>
          </cell>
          <cell r="BC46">
            <v>274449</v>
          </cell>
          <cell r="BD46">
            <v>97051</v>
          </cell>
          <cell r="BE46">
            <v>89133</v>
          </cell>
          <cell r="BF46">
            <v>96414</v>
          </cell>
          <cell r="BG46">
            <v>282598</v>
          </cell>
          <cell r="BH46">
            <v>91336</v>
          </cell>
          <cell r="BI46">
            <v>95068</v>
          </cell>
          <cell r="BJ46">
            <v>100841</v>
          </cell>
          <cell r="BK46">
            <v>287245</v>
          </cell>
          <cell r="BL46">
            <v>101041</v>
          </cell>
          <cell r="BM46">
            <v>105540</v>
          </cell>
          <cell r="BN46">
            <v>97807</v>
          </cell>
          <cell r="BO46">
            <v>304388</v>
          </cell>
        </row>
        <row r="47">
          <cell r="A47" t="str">
            <v xml:space="preserve">  % Change</v>
          </cell>
          <cell r="AD47">
            <v>0.56685144510685781</v>
          </cell>
          <cell r="AE47">
            <v>3.7451950978049364</v>
          </cell>
          <cell r="AF47">
            <v>0.73860502696151609</v>
          </cell>
          <cell r="AG47">
            <v>0.52468998622160989</v>
          </cell>
          <cell r="AH47">
            <v>0.45022064363362402</v>
          </cell>
          <cell r="AI47">
            <v>0.56340682018504551</v>
          </cell>
          <cell r="AJ47">
            <v>0.33164298766236522</v>
          </cell>
          <cell r="AK47">
            <v>0.27868141097424415</v>
          </cell>
          <cell r="AL47">
            <v>0.28493662549227805</v>
          </cell>
          <cell r="AM47">
            <v>0.29810659964146446</v>
          </cell>
          <cell r="AN47">
            <v>0.17187903271054261</v>
          </cell>
          <cell r="AO47">
            <v>0.12075540442069466</v>
          </cell>
          <cell r="AP47">
            <v>8.6235560833423319E-2</v>
          </cell>
          <cell r="AQ47">
            <v>0.12589885832213121</v>
          </cell>
          <cell r="AR47">
            <v>1.6829353969960437E-2</v>
          </cell>
          <cell r="AS47">
            <v>6.9137244491637828E-2</v>
          </cell>
          <cell r="AT47">
            <v>0.11761826353967342</v>
          </cell>
          <cell r="AU47">
            <v>6.7136207653182289E-2</v>
          </cell>
          <cell r="AV47">
            <v>2.3923058272043995E-2</v>
          </cell>
          <cell r="AW47">
            <v>-8.7064676616915859E-3</v>
          </cell>
          <cell r="AX47">
            <v>4.7657923195996599E-2</v>
          </cell>
          <cell r="AY47">
            <v>2.014422005712091E-2</v>
          </cell>
          <cell r="AZ47">
            <v>1.6253590043612487E-2</v>
          </cell>
          <cell r="BA47">
            <v>-4.792608567143597E-2</v>
          </cell>
          <cell r="BB47">
            <v>-3.8264398836795777E-2</v>
          </cell>
          <cell r="BC47">
            <v>-2.3163686969892239E-2</v>
          </cell>
          <cell r="BD47">
            <v>-7.0677570093457986E-2</v>
          </cell>
          <cell r="BE47">
            <v>-3.4134130880010383E-2</v>
          </cell>
          <cell r="BF47">
            <v>-4.178178854678094E-2</v>
          </cell>
          <cell r="BG47">
            <v>-4.9557230445325562E-2</v>
          </cell>
          <cell r="BH47">
            <v>-4.3842385159750474E-2</v>
          </cell>
          <cell r="BI47">
            <v>-5.5797230995371705E-2</v>
          </cell>
          <cell r="BJ47">
            <v>3.8325236919647399E-3</v>
          </cell>
          <cell r="BK47">
            <v>-3.1756251137643021E-2</v>
          </cell>
          <cell r="BL47">
            <v>-3.0685136948457314E-3</v>
          </cell>
          <cell r="BM47">
            <v>3.4543601003764079E-2</v>
          </cell>
          <cell r="BN47">
            <v>-1.0180846649732289E-2</v>
          </cell>
          <cell r="BO47">
            <v>7.3035697148398082E-3</v>
          </cell>
        </row>
        <row r="48">
          <cell r="A48" t="str">
            <v>Sales (IMS)</v>
          </cell>
          <cell r="M48">
            <v>0.109971</v>
          </cell>
          <cell r="N48">
            <v>2.5549840000000001</v>
          </cell>
          <cell r="O48">
            <v>2.664955</v>
          </cell>
          <cell r="P48">
            <v>3.291477</v>
          </cell>
          <cell r="Q48">
            <v>3.065734</v>
          </cell>
          <cell r="R48">
            <v>4.1561620000000001</v>
          </cell>
          <cell r="S48">
            <v>10.513373</v>
          </cell>
          <cell r="T48">
            <v>3.4732789999999998</v>
          </cell>
          <cell r="U48">
            <v>4.8261880000000001</v>
          </cell>
          <cell r="V48">
            <v>4.9569330000000003</v>
          </cell>
          <cell r="W48">
            <v>13.256400000000001</v>
          </cell>
          <cell r="X48">
            <v>5.0729430000000004</v>
          </cell>
          <cell r="Y48">
            <v>5.1152540000000002</v>
          </cell>
          <cell r="Z48">
            <v>6.9638039999999997</v>
          </cell>
          <cell r="AA48">
            <v>17.152000999999998</v>
          </cell>
          <cell r="AB48">
            <v>5.6768460000000003</v>
          </cell>
          <cell r="AC48">
            <v>5.316643</v>
          </cell>
          <cell r="AD48">
            <v>7.4467410000000003</v>
          </cell>
          <cell r="AE48">
            <v>18.44023</v>
          </cell>
          <cell r="AF48">
            <v>6.4031820000000002</v>
          </cell>
          <cell r="AG48">
            <v>6.5278429999999998</v>
          </cell>
          <cell r="AH48">
            <v>8.3834119999999999</v>
          </cell>
          <cell r="AI48">
            <v>21.314437000000002</v>
          </cell>
          <cell r="AJ48">
            <v>6.0336230000000004</v>
          </cell>
          <cell r="AK48">
            <v>5.9339829999999996</v>
          </cell>
          <cell r="AL48">
            <v>8.1712710000000008</v>
          </cell>
          <cell r="AM48">
            <v>20.138877000000001</v>
          </cell>
          <cell r="AN48">
            <v>7.453341</v>
          </cell>
          <cell r="AO48">
            <v>7.595154</v>
          </cell>
          <cell r="AP48">
            <v>9.6654309999999999</v>
          </cell>
          <cell r="AQ48">
            <v>24.713926000000001</v>
          </cell>
          <cell r="AR48">
            <v>7.1197010000000001</v>
          </cell>
          <cell r="AS48">
            <v>7.4255610000000001</v>
          </cell>
          <cell r="AT48">
            <v>9.9724079999999997</v>
          </cell>
          <cell r="AU48">
            <v>24.517669999999999</v>
          </cell>
          <cell r="AV48">
            <v>7.3879409999999996</v>
          </cell>
          <cell r="AW48">
            <v>7.812735</v>
          </cell>
          <cell r="AX48">
            <v>11.277848000000001</v>
          </cell>
          <cell r="AY48">
            <v>26.478524</v>
          </cell>
          <cell r="AZ48">
            <v>7.7700199999999997</v>
          </cell>
          <cell r="BA48">
            <v>7.8475450000000002</v>
          </cell>
          <cell r="BB48">
            <v>9.6859900000000003</v>
          </cell>
          <cell r="BC48">
            <v>25.303554999999999</v>
          </cell>
          <cell r="BD48">
            <v>7.5146920000000001</v>
          </cell>
          <cell r="BE48">
            <v>7.4847510000000002</v>
          </cell>
          <cell r="BF48">
            <v>10.001821</v>
          </cell>
          <cell r="BG48">
            <v>25.001263999999999</v>
          </cell>
          <cell r="BH48">
            <v>7.9076839999999997</v>
          </cell>
          <cell r="BI48">
            <v>7.9921139999999999</v>
          </cell>
          <cell r="BJ48">
            <v>10.171738</v>
          </cell>
          <cell r="BK48">
            <v>26.071535999999998</v>
          </cell>
          <cell r="BL48">
            <v>7.8062569999999996</v>
          </cell>
          <cell r="BM48">
            <v>8.5012509999999999</v>
          </cell>
        </row>
        <row r="49">
          <cell r="A49" t="str">
            <v xml:space="preserve">  % Change</v>
          </cell>
          <cell r="AD49">
            <v>1.9145939857157619</v>
          </cell>
          <cell r="AE49">
            <v>5.9195277218564666</v>
          </cell>
          <cell r="AF49">
            <v>0.94538257444910001</v>
          </cell>
          <cell r="AG49">
            <v>1.12929203903535</v>
          </cell>
          <cell r="AH49">
            <v>1.0171042418462033</v>
          </cell>
          <cell r="AI49">
            <v>1.0273642911746785</v>
          </cell>
          <cell r="AJ49">
            <v>0.73715471748742356</v>
          </cell>
          <cell r="AK49">
            <v>0.22953830227914862</v>
          </cell>
          <cell r="AL49">
            <v>0.64845298494048653</v>
          </cell>
          <cell r="AM49">
            <v>0.51918145197791254</v>
          </cell>
          <cell r="AN49">
            <v>0.46923413095711886</v>
          </cell>
          <cell r="AO49">
            <v>0.4848048601301127</v>
          </cell>
          <cell r="AP49">
            <v>0.38795276259929201</v>
          </cell>
          <cell r="AQ49">
            <v>0.4408771314787121</v>
          </cell>
          <cell r="AR49">
            <v>0.25416490072128073</v>
          </cell>
          <cell r="AS49">
            <v>0.39666345850191553</v>
          </cell>
          <cell r="AT49">
            <v>0.33916407190742892</v>
          </cell>
          <cell r="AU49">
            <v>0.32957506495309441</v>
          </cell>
          <cell r="AV49">
            <v>0.15379213022525362</v>
          </cell>
          <cell r="AW49">
            <v>0.19683255249858189</v>
          </cell>
          <cell r="AX49">
            <v>0.34525751567500218</v>
          </cell>
          <cell r="AY49">
            <v>0.24228118246801444</v>
          </cell>
          <cell r="AZ49">
            <v>0.28778679078888403</v>
          </cell>
          <cell r="BA49">
            <v>0.32247514022200607</v>
          </cell>
          <cell r="BB49">
            <v>0.18537128434487116</v>
          </cell>
          <cell r="BC49">
            <v>0.25645312794750175</v>
          </cell>
          <cell r="BD49">
            <v>8.2313421591739822E-3</v>
          </cell>
          <cell r="BE49">
            <v>-1.45359791256372E-2</v>
          </cell>
          <cell r="BF49">
            <v>3.4803414353689943E-2</v>
          </cell>
          <cell r="BG49">
            <v>1.1626562287189834E-2</v>
          </cell>
          <cell r="BH49">
            <v>0.11067641745067669</v>
          </cell>
          <cell r="BI49">
            <v>7.6297669630617682E-2</v>
          </cell>
          <cell r="BJ49">
            <v>1.9988151307086532E-2</v>
          </cell>
          <cell r="BK49">
            <v>6.3377392713092284E-2</v>
          </cell>
          <cell r="BL49">
            <v>5.6621459213060943E-2</v>
          </cell>
          <cell r="BM49">
            <v>8.8127397127894413E-2</v>
          </cell>
        </row>
        <row r="51">
          <cell r="A51" t="str">
            <v>KARIVA 28</v>
          </cell>
        </row>
        <row r="52">
          <cell r="A52" t="str">
            <v>TRx</v>
          </cell>
          <cell r="AB52">
            <v>20491</v>
          </cell>
          <cell r="AC52">
            <v>113173</v>
          </cell>
          <cell r="AD52">
            <v>135737</v>
          </cell>
          <cell r="AE52">
            <v>269401</v>
          </cell>
          <cell r="AF52">
            <v>157839</v>
          </cell>
          <cell r="AG52">
            <v>173043</v>
          </cell>
          <cell r="AH52">
            <v>175001</v>
          </cell>
          <cell r="AI52">
            <v>505883</v>
          </cell>
          <cell r="AJ52">
            <v>187211</v>
          </cell>
          <cell r="AK52">
            <v>195844</v>
          </cell>
          <cell r="AL52">
            <v>213934</v>
          </cell>
          <cell r="AM52">
            <v>596989</v>
          </cell>
          <cell r="AN52">
            <v>218547</v>
          </cell>
          <cell r="AO52">
            <v>203677</v>
          </cell>
          <cell r="AP52">
            <v>231525</v>
          </cell>
          <cell r="AQ52">
            <v>653749</v>
          </cell>
          <cell r="AR52">
            <v>221672</v>
          </cell>
          <cell r="AS52">
            <v>234613</v>
          </cell>
          <cell r="AT52">
            <v>235244</v>
          </cell>
          <cell r="AU52">
            <v>691529</v>
          </cell>
          <cell r="AV52">
            <v>237041</v>
          </cell>
          <cell r="AW52">
            <v>244027</v>
          </cell>
          <cell r="AX52">
            <v>237817</v>
          </cell>
          <cell r="AY52">
            <v>718885</v>
          </cell>
          <cell r="AZ52">
            <v>244041</v>
          </cell>
          <cell r="BA52">
            <v>239893</v>
          </cell>
          <cell r="BB52">
            <v>251294</v>
          </cell>
          <cell r="BC52">
            <v>735228</v>
          </cell>
          <cell r="BD52">
            <v>253167</v>
          </cell>
          <cell r="BE52">
            <v>238041</v>
          </cell>
          <cell r="BF52">
            <v>253860</v>
          </cell>
          <cell r="BG52">
            <v>745068</v>
          </cell>
          <cell r="BH52">
            <v>243596</v>
          </cell>
          <cell r="BI52">
            <v>250222</v>
          </cell>
          <cell r="BJ52">
            <v>248600</v>
          </cell>
          <cell r="BK52">
            <v>742418</v>
          </cell>
          <cell r="BL52">
            <v>249962</v>
          </cell>
          <cell r="BM52">
            <v>252307</v>
          </cell>
          <cell r="BN52">
            <v>239213</v>
          </cell>
          <cell r="BO52">
            <v>741482</v>
          </cell>
        </row>
        <row r="53">
          <cell r="A53" t="str">
            <v xml:space="preserve">  % Change</v>
          </cell>
          <cell r="AR53">
            <v>9.8180176662925192</v>
          </cell>
          <cell r="AS53">
            <v>1.0730474583160294</v>
          </cell>
          <cell r="AT53">
            <v>0.73308677810766398</v>
          </cell>
          <cell r="AU53">
            <v>1.5669132631281992</v>
          </cell>
          <cell r="AV53">
            <v>0.50178979846552507</v>
          </cell>
          <cell r="AW53">
            <v>0.4102101789728565</v>
          </cell>
          <cell r="AX53">
            <v>0.35894652030559815</v>
          </cell>
          <cell r="AY53">
            <v>0.42104992656404749</v>
          </cell>
          <cell r="AZ53">
            <v>0.30356122236407046</v>
          </cell>
          <cell r="BA53">
            <v>0.22491881293274241</v>
          </cell>
          <cell r="BB53">
            <v>0.17463329811998096</v>
          </cell>
          <cell r="BC53">
            <v>0.23156038050952366</v>
          </cell>
          <cell r="BD53">
            <v>0.1584098614943239</v>
          </cell>
          <cell r="BE53">
            <v>0.16871811741139164</v>
          </cell>
          <cell r="BF53">
            <v>9.646906381600262E-2</v>
          </cell>
          <cell r="BG53">
            <v>0.1396851085049462</v>
          </cell>
          <cell r="BH53">
            <v>9.890288353964416E-2</v>
          </cell>
          <cell r="BI53">
            <v>6.6530840149522819E-2</v>
          </cell>
          <cell r="BJ53">
            <v>5.6775093094829199E-2</v>
          </cell>
          <cell r="BK53">
            <v>7.3589104723012388E-2</v>
          </cell>
          <cell r="BL53">
            <v>5.4509557418336962E-2</v>
          </cell>
          <cell r="BM53">
            <v>3.393067160601082E-2</v>
          </cell>
          <cell r="BN53">
            <v>5.8700597518259734E-3</v>
          </cell>
          <cell r="BO53">
            <v>3.1433400335241446E-2</v>
          </cell>
        </row>
        <row r="54">
          <cell r="A54" t="str">
            <v>NRx</v>
          </cell>
          <cell r="AB54">
            <v>17201</v>
          </cell>
          <cell r="AC54">
            <v>67076</v>
          </cell>
          <cell r="AD54">
            <v>55430</v>
          </cell>
          <cell r="AE54">
            <v>139707</v>
          </cell>
          <cell r="AF54">
            <v>59620</v>
          </cell>
          <cell r="AG54">
            <v>61139</v>
          </cell>
          <cell r="AH54">
            <v>58321</v>
          </cell>
          <cell r="AI54">
            <v>179080</v>
          </cell>
          <cell r="AJ54">
            <v>59192</v>
          </cell>
          <cell r="AK54">
            <v>57928</v>
          </cell>
          <cell r="AL54">
            <v>61419</v>
          </cell>
          <cell r="AM54">
            <v>178539</v>
          </cell>
          <cell r="AN54">
            <v>66112</v>
          </cell>
          <cell r="AO54">
            <v>58635</v>
          </cell>
          <cell r="AP54">
            <v>63391</v>
          </cell>
          <cell r="AQ54">
            <v>188138</v>
          </cell>
          <cell r="AR54">
            <v>60397</v>
          </cell>
          <cell r="AS54">
            <v>64791</v>
          </cell>
          <cell r="AT54">
            <v>65537</v>
          </cell>
          <cell r="AU54">
            <v>190725</v>
          </cell>
          <cell r="AV54">
            <v>67023</v>
          </cell>
          <cell r="AW54">
            <v>67556</v>
          </cell>
          <cell r="AX54">
            <v>67211</v>
          </cell>
          <cell r="AY54">
            <v>201790</v>
          </cell>
          <cell r="AZ54">
            <v>66179</v>
          </cell>
          <cell r="BA54">
            <v>60289</v>
          </cell>
          <cell r="BB54">
            <v>64646</v>
          </cell>
          <cell r="BC54">
            <v>191114</v>
          </cell>
          <cell r="BD54">
            <v>67350</v>
          </cell>
          <cell r="BE54">
            <v>62486</v>
          </cell>
          <cell r="BF54">
            <v>64925</v>
          </cell>
          <cell r="BG54">
            <v>194761</v>
          </cell>
          <cell r="BH54">
            <v>61307</v>
          </cell>
          <cell r="BI54">
            <v>63838</v>
          </cell>
          <cell r="BJ54">
            <v>65310</v>
          </cell>
          <cell r="BK54">
            <v>190455</v>
          </cell>
          <cell r="BL54">
            <v>64989</v>
          </cell>
          <cell r="BM54">
            <v>69088</v>
          </cell>
          <cell r="BN54">
            <v>65837</v>
          </cell>
          <cell r="BO54">
            <v>199914</v>
          </cell>
        </row>
        <row r="55">
          <cell r="A55" t="str">
            <v xml:space="preserve">  % Change</v>
          </cell>
          <cell r="AR55">
            <v>2.5112493459682574</v>
          </cell>
          <cell r="AS55">
            <v>-3.406583576838218E-2</v>
          </cell>
          <cell r="AT55">
            <v>0.18233808406999819</v>
          </cell>
          <cell r="AU55">
            <v>0.36517855225579243</v>
          </cell>
          <cell r="AV55">
            <v>0.12416974169741701</v>
          </cell>
          <cell r="AW55">
            <v>0.10495755573365617</v>
          </cell>
          <cell r="AX55">
            <v>0.1524322285283175</v>
          </cell>
          <cell r="AY55">
            <v>0.12681483136028593</v>
          </cell>
          <cell r="AZ55">
            <v>0.11803959994593871</v>
          </cell>
          <cell r="BA55">
            <v>4.0757492059107836E-2</v>
          </cell>
          <cell r="BB55">
            <v>5.2540744720689148E-2</v>
          </cell>
          <cell r="BC55">
            <v>7.0432790594771921E-2</v>
          </cell>
          <cell r="BD55">
            <v>1.8725798644724012E-2</v>
          </cell>
          <cell r="BE55">
            <v>6.5677496375884603E-2</v>
          </cell>
          <cell r="BF55">
            <v>2.4199018788156001E-2</v>
          </cell>
          <cell r="BG55">
            <v>3.5202882990145623E-2</v>
          </cell>
          <cell r="BH55">
            <v>1.5066973525175165E-2</v>
          </cell>
          <cell r="BI55">
            <v>-1.4708833016931377E-2</v>
          </cell>
          <cell r="BJ55">
            <v>-3.4636922654378566E-3</v>
          </cell>
          <cell r="BK55">
            <v>-1.415650806134483E-3</v>
          </cell>
          <cell r="BL55">
            <v>-3.034779105680141E-2</v>
          </cell>
          <cell r="BM55">
            <v>2.2677482384984238E-2</v>
          </cell>
          <cell r="BN55">
            <v>-2.0443082233562948E-2</v>
          </cell>
          <cell r="BO55">
            <v>-9.2967936964171161E-3</v>
          </cell>
        </row>
        <row r="56">
          <cell r="A56" t="str">
            <v xml:space="preserve">  % Change</v>
          </cell>
        </row>
        <row r="57">
          <cell r="A57" t="str">
            <v>Sales (IMS)</v>
          </cell>
          <cell r="AB57">
            <v>2.87392</v>
          </cell>
          <cell r="AC57">
            <v>2.2376900000000002</v>
          </cell>
          <cell r="AD57">
            <v>2.9741399999999998</v>
          </cell>
          <cell r="AE57">
            <v>8.0857500000000009</v>
          </cell>
          <cell r="AF57">
            <v>2.8471500000000001</v>
          </cell>
          <cell r="AG57">
            <v>3.6325020000000001</v>
          </cell>
          <cell r="AH57">
            <v>4.41099</v>
          </cell>
          <cell r="AI57">
            <v>10.890642</v>
          </cell>
          <cell r="AJ57">
            <v>3.7029570000000001</v>
          </cell>
          <cell r="AK57">
            <v>3.8209580000000001</v>
          </cell>
          <cell r="AL57">
            <v>5.1128989999999996</v>
          </cell>
          <cell r="AM57">
            <v>12.636813999999999</v>
          </cell>
          <cell r="AN57">
            <v>4.3951000000000002</v>
          </cell>
          <cell r="AO57">
            <v>4.6511990000000001</v>
          </cell>
          <cell r="AP57">
            <v>5.7884000000000002</v>
          </cell>
          <cell r="AQ57">
            <v>14.834699000000001</v>
          </cell>
          <cell r="AR57">
            <v>4.3538439999999996</v>
          </cell>
          <cell r="AS57">
            <v>4.4592549999999997</v>
          </cell>
          <cell r="AT57">
            <v>5.9997119999999997</v>
          </cell>
          <cell r="AU57">
            <v>14.812811</v>
          </cell>
          <cell r="AV57">
            <v>4.4266610000000002</v>
          </cell>
          <cell r="AW57">
            <v>4.8093839999999997</v>
          </cell>
          <cell r="AX57">
            <v>5.7567620000000002</v>
          </cell>
          <cell r="AY57">
            <v>14.992806999999999</v>
          </cell>
          <cell r="AZ57">
            <v>4.9104080000000003</v>
          </cell>
          <cell r="BA57">
            <v>5.1324319999999997</v>
          </cell>
          <cell r="BB57">
            <v>6.2621840000000004</v>
          </cell>
          <cell r="BC57">
            <v>16.305024</v>
          </cell>
          <cell r="BD57">
            <v>5.0297689999999999</v>
          </cell>
          <cell r="BE57">
            <v>5.0267499999999998</v>
          </cell>
          <cell r="BF57">
            <v>6.3544309999999999</v>
          </cell>
          <cell r="BG57">
            <v>16.41095</v>
          </cell>
          <cell r="BH57">
            <v>5.1249349999999998</v>
          </cell>
          <cell r="BI57">
            <v>5.2079940000000002</v>
          </cell>
          <cell r="BJ57">
            <v>6.5495549999999998</v>
          </cell>
          <cell r="BK57">
            <v>16.882484000000002</v>
          </cell>
          <cell r="BL57">
            <v>5.2970839999999999</v>
          </cell>
          <cell r="BM57">
            <v>5.3820480000000002</v>
          </cell>
        </row>
        <row r="58">
          <cell r="A58" t="str">
            <v xml:space="preserve">  % Change</v>
          </cell>
          <cell r="AR58">
            <v>0.51494961585569521</v>
          </cell>
          <cell r="AS58">
            <v>0.99279390800334255</v>
          </cell>
          <cell r="AT58">
            <v>1.0172930662309105</v>
          </cell>
          <cell r="AU58">
            <v>0.83196500015459285</v>
          </cell>
          <cell r="AV58">
            <v>0.55476915512003244</v>
          </cell>
          <cell r="AW58">
            <v>0.3239866075779172</v>
          </cell>
          <cell r="AX58">
            <v>0.30509522805537981</v>
          </cell>
          <cell r="AY58">
            <v>0.37666879509949913</v>
          </cell>
          <cell r="AZ58">
            <v>0.32607751048688938</v>
          </cell>
          <cell r="BA58">
            <v>0.34323172356251996</v>
          </cell>
          <cell r="BB58">
            <v>0.22478147915693247</v>
          </cell>
          <cell r="BC58">
            <v>0.29027965434958536</v>
          </cell>
          <cell r="BD58">
            <v>0.14440376783235864</v>
          </cell>
          <cell r="BE58">
            <v>8.0742836417018404E-2</v>
          </cell>
          <cell r="BF58">
            <v>9.7787125976090072E-2</v>
          </cell>
          <cell r="BG58">
            <v>0.10625432979799587</v>
          </cell>
          <cell r="BH58">
            <v>0.17710579432795481</v>
          </cell>
          <cell r="BI58">
            <v>0.16790674675478323</v>
          </cell>
          <cell r="BJ58">
            <v>9.1644898955149934E-2</v>
          </cell>
          <cell r="BK58">
            <v>0.13972182592487004</v>
          </cell>
          <cell r="BL58">
            <v>0.19663195351981999</v>
          </cell>
          <cell r="BM58">
            <v>0.11907221382197819</v>
          </cell>
        </row>
        <row r="60">
          <cell r="A60" t="str">
            <v>NORETHINDRONE ACETATE</v>
          </cell>
        </row>
        <row r="61">
          <cell r="A61" t="str">
            <v>TRx</v>
          </cell>
          <cell r="P61">
            <v>572</v>
          </cell>
          <cell r="Q61">
            <v>4326</v>
          </cell>
          <cell r="R61">
            <v>9044</v>
          </cell>
          <cell r="S61">
            <v>13942</v>
          </cell>
          <cell r="T61">
            <v>14280</v>
          </cell>
          <cell r="U61">
            <v>16130</v>
          </cell>
          <cell r="V61">
            <v>18725</v>
          </cell>
          <cell r="W61">
            <v>49135</v>
          </cell>
          <cell r="X61">
            <v>20921</v>
          </cell>
          <cell r="Y61">
            <v>22041</v>
          </cell>
          <cell r="Z61">
            <v>25666</v>
          </cell>
          <cell r="AA61">
            <v>68628</v>
          </cell>
          <cell r="AB61">
            <v>28414</v>
          </cell>
          <cell r="AC61">
            <v>30051</v>
          </cell>
          <cell r="AD61">
            <v>29301</v>
          </cell>
          <cell r="AE61">
            <v>87766</v>
          </cell>
          <cell r="AF61">
            <v>32030</v>
          </cell>
          <cell r="AG61">
            <v>33505</v>
          </cell>
          <cell r="AH61">
            <v>32902</v>
          </cell>
          <cell r="AI61">
            <v>98437</v>
          </cell>
          <cell r="AJ61">
            <v>36066</v>
          </cell>
          <cell r="AK61">
            <v>35154</v>
          </cell>
          <cell r="AL61">
            <v>36972</v>
          </cell>
          <cell r="AM61">
            <v>108192</v>
          </cell>
          <cell r="AN61">
            <v>37102</v>
          </cell>
          <cell r="AO61">
            <v>34468</v>
          </cell>
          <cell r="AP61">
            <v>38818</v>
          </cell>
          <cell r="AQ61">
            <v>110388</v>
          </cell>
          <cell r="AR61">
            <v>38167</v>
          </cell>
          <cell r="AS61">
            <v>39168</v>
          </cell>
          <cell r="AT61">
            <v>38947</v>
          </cell>
          <cell r="AU61">
            <v>116282</v>
          </cell>
          <cell r="AV61">
            <v>39989</v>
          </cell>
          <cell r="AW61">
            <v>39035</v>
          </cell>
          <cell r="AX61">
            <v>39216</v>
          </cell>
          <cell r="AY61">
            <v>118240</v>
          </cell>
          <cell r="AZ61">
            <v>40766</v>
          </cell>
          <cell r="BA61">
            <v>38035</v>
          </cell>
          <cell r="BB61">
            <v>40330</v>
          </cell>
          <cell r="BC61">
            <v>119131</v>
          </cell>
          <cell r="BD61">
            <v>39550</v>
          </cell>
          <cell r="BE61">
            <v>37159</v>
          </cell>
          <cell r="BF61">
            <v>42296</v>
          </cell>
          <cell r="BG61">
            <v>119005</v>
          </cell>
          <cell r="BH61">
            <v>39525</v>
          </cell>
          <cell r="BI61">
            <v>39748</v>
          </cell>
          <cell r="BJ61">
            <v>41074</v>
          </cell>
          <cell r="BK61">
            <v>120347</v>
          </cell>
          <cell r="BL61">
            <v>40587</v>
          </cell>
          <cell r="BM61">
            <v>41439</v>
          </cell>
          <cell r="BN61">
            <v>39975</v>
          </cell>
          <cell r="BO61">
            <v>122001</v>
          </cell>
        </row>
        <row r="62">
          <cell r="A62" t="str">
            <v xml:space="preserve">  % Change</v>
          </cell>
          <cell r="AG62">
            <v>6.7450300508552932</v>
          </cell>
          <cell r="AH62">
            <v>2.6379920389208316</v>
          </cell>
          <cell r="AI62">
            <v>6.0604647826710663</v>
          </cell>
          <cell r="AJ62">
            <v>1.5256302521008402</v>
          </cell>
          <cell r="AK62">
            <v>1.1794172349659022</v>
          </cell>
          <cell r="AL62">
            <v>0.97447263017356467</v>
          </cell>
          <cell r="AM62">
            <v>1.2019334486618498</v>
          </cell>
          <cell r="AN62">
            <v>0.77343339228526364</v>
          </cell>
          <cell r="AO62">
            <v>0.56381289415180791</v>
          </cell>
          <cell r="AP62">
            <v>0.51242889425699367</v>
          </cell>
          <cell r="AQ62">
            <v>0.60849798915894393</v>
          </cell>
          <cell r="AR62">
            <v>0.34324628704159932</v>
          </cell>
          <cell r="AS62">
            <v>0.30338424678047327</v>
          </cell>
          <cell r="AT62">
            <v>0.32920378144090656</v>
          </cell>
          <cell r="AU62">
            <v>0.3249094182257366</v>
          </cell>
          <cell r="AV62">
            <v>0.2484857945675929</v>
          </cell>
          <cell r="AW62">
            <v>0.165049992538427</v>
          </cell>
          <cell r="AX62">
            <v>0.19190322776730895</v>
          </cell>
          <cell r="AY62">
            <v>0.20117435517132787</v>
          </cell>
          <cell r="AZ62">
            <v>0.13031664171241619</v>
          </cell>
          <cell r="BA62">
            <v>8.1953689480571246E-2</v>
          </cell>
          <cell r="BB62">
            <v>9.0825489559666739E-2</v>
          </cell>
          <cell r="BC62">
            <v>0.101107290742384</v>
          </cell>
          <cell r="BD62">
            <v>6.5980270605358271E-2</v>
          </cell>
          <cell r="BE62">
            <v>7.8072414993617167E-2</v>
          </cell>
          <cell r="BF62">
            <v>8.9597609356484087E-2</v>
          </cell>
          <cell r="BG62">
            <v>7.8061021125484631E-2</v>
          </cell>
          <cell r="BH62">
            <v>3.558047527969177E-2</v>
          </cell>
          <cell r="BI62">
            <v>1.4808006535947715E-2</v>
          </cell>
          <cell r="BJ62">
            <v>5.4612678768583001E-2</v>
          </cell>
          <cell r="BK62">
            <v>3.4958119055399806E-2</v>
          </cell>
          <cell r="BL62">
            <v>1.4954112380904716E-2</v>
          </cell>
          <cell r="BM62">
            <v>6.15857563724862E-2</v>
          </cell>
          <cell r="BN62">
            <v>1.9354345165238707E-2</v>
          </cell>
          <cell r="BO62">
            <v>3.180818673883623E-2</v>
          </cell>
        </row>
        <row r="63">
          <cell r="A63" t="str">
            <v>NRx</v>
          </cell>
          <cell r="P63">
            <v>486</v>
          </cell>
          <cell r="Q63">
            <v>3656</v>
          </cell>
          <cell r="R63">
            <v>6595</v>
          </cell>
          <cell r="S63">
            <v>10737</v>
          </cell>
          <cell r="T63">
            <v>9158</v>
          </cell>
          <cell r="U63">
            <v>9661</v>
          </cell>
          <cell r="V63">
            <v>10152</v>
          </cell>
          <cell r="W63">
            <v>28971</v>
          </cell>
          <cell r="X63">
            <v>11348</v>
          </cell>
          <cell r="Y63">
            <v>11582</v>
          </cell>
          <cell r="Z63">
            <v>13094</v>
          </cell>
          <cell r="AA63">
            <v>36024</v>
          </cell>
          <cell r="AB63">
            <v>14545</v>
          </cell>
          <cell r="AC63">
            <v>14630</v>
          </cell>
          <cell r="AD63">
            <v>13992</v>
          </cell>
          <cell r="AE63">
            <v>43167</v>
          </cell>
          <cell r="AF63">
            <v>15721</v>
          </cell>
          <cell r="AG63">
            <v>17029</v>
          </cell>
          <cell r="AH63">
            <v>16131</v>
          </cell>
          <cell r="AI63">
            <v>48881</v>
          </cell>
          <cell r="AJ63">
            <v>18228</v>
          </cell>
          <cell r="AK63">
            <v>16887</v>
          </cell>
          <cell r="AL63">
            <v>16743</v>
          </cell>
          <cell r="AM63">
            <v>51858</v>
          </cell>
          <cell r="AN63">
            <v>17714</v>
          </cell>
          <cell r="AO63">
            <v>16439</v>
          </cell>
          <cell r="AP63">
            <v>18334</v>
          </cell>
          <cell r="AQ63">
            <v>52487</v>
          </cell>
          <cell r="AR63">
            <v>18280</v>
          </cell>
          <cell r="AS63">
            <v>18179</v>
          </cell>
          <cell r="AT63">
            <v>18502</v>
          </cell>
          <cell r="AU63">
            <v>54961</v>
          </cell>
          <cell r="AV63">
            <v>18875</v>
          </cell>
          <cell r="AW63">
            <v>18200</v>
          </cell>
          <cell r="AX63">
            <v>18605</v>
          </cell>
          <cell r="AY63">
            <v>55680</v>
          </cell>
          <cell r="AZ63">
            <v>19506</v>
          </cell>
          <cell r="BA63">
            <v>17332</v>
          </cell>
          <cell r="BB63">
            <v>18232</v>
          </cell>
          <cell r="BC63">
            <v>55070</v>
          </cell>
          <cell r="BD63">
            <v>18435</v>
          </cell>
          <cell r="BE63">
            <v>17638</v>
          </cell>
          <cell r="BF63">
            <v>20412</v>
          </cell>
          <cell r="BG63">
            <v>56485</v>
          </cell>
          <cell r="BH63">
            <v>18794</v>
          </cell>
          <cell r="BI63">
            <v>18501</v>
          </cell>
          <cell r="BJ63">
            <v>19541</v>
          </cell>
          <cell r="BK63">
            <v>56836</v>
          </cell>
          <cell r="BL63">
            <v>19123</v>
          </cell>
          <cell r="BM63">
            <v>19811</v>
          </cell>
          <cell r="BN63">
            <v>19540</v>
          </cell>
          <cell r="BO63">
            <v>58474</v>
          </cell>
        </row>
        <row r="64">
          <cell r="A64" t="str">
            <v xml:space="preserve">  % Change</v>
          </cell>
          <cell r="AG64">
            <v>3.6578227571115978</v>
          </cell>
          <cell r="AH64">
            <v>1.4459438968915843</v>
          </cell>
          <cell r="AI64">
            <v>3.5525752072273447</v>
          </cell>
          <cell r="AJ64">
            <v>0.99039091504695342</v>
          </cell>
          <cell r="AK64">
            <v>0.74795569816789143</v>
          </cell>
          <cell r="AL64">
            <v>0.64923167848699759</v>
          </cell>
          <cell r="AM64">
            <v>0.78999689344516932</v>
          </cell>
          <cell r="AN64">
            <v>0.56097990835389488</v>
          </cell>
          <cell r="AO64">
            <v>0.41935762389915388</v>
          </cell>
          <cell r="AP64">
            <v>0.40018329005651454</v>
          </cell>
          <cell r="AQ64">
            <v>0.45700088829669117</v>
          </cell>
          <cell r="AR64">
            <v>0.45700088829669117</v>
          </cell>
          <cell r="AS64">
            <v>0.25678927466483326</v>
          </cell>
          <cell r="AT64">
            <v>0.24258373205741623</v>
          </cell>
          <cell r="AU64">
            <v>0.27321796742882287</v>
          </cell>
          <cell r="AV64">
            <v>0.20062337001463004</v>
          </cell>
          <cell r="AW64">
            <v>6.8765047859533635E-2</v>
          </cell>
          <cell r="AX64">
            <v>0.15336928894674839</v>
          </cell>
          <cell r="AY64">
            <v>0.13909289908144262</v>
          </cell>
          <cell r="AZ64">
            <v>7.0111915734035524E-2</v>
          </cell>
          <cell r="BA64">
            <v>2.6351631432462774E-2</v>
          </cell>
          <cell r="BB64">
            <v>8.8932688287642669E-2</v>
          </cell>
          <cell r="BC64">
            <v>6.1938370164680512E-2</v>
          </cell>
          <cell r="BD64">
            <v>4.0702269391441837E-2</v>
          </cell>
          <cell r="BE64">
            <v>7.2936309994525272E-2</v>
          </cell>
          <cell r="BF64">
            <v>0.11334133304243488</v>
          </cell>
          <cell r="BG64">
            <v>7.6171242402880646E-2</v>
          </cell>
          <cell r="BH64">
            <v>2.8118161925601681E-2</v>
          </cell>
          <cell r="BI64">
            <v>1.7712745475548797E-2</v>
          </cell>
          <cell r="BJ64">
            <v>5.6156091233380279E-2</v>
          </cell>
          <cell r="BK64">
            <v>3.4115099798038617E-2</v>
          </cell>
          <cell r="BL64">
            <v>1.3139072847682121E-2</v>
          </cell>
          <cell r="BM64">
            <v>8.8516483516483557E-2</v>
          </cell>
          <cell r="BN64">
            <v>5.0255307712980368E-2</v>
          </cell>
          <cell r="BO64">
            <v>5.0179597701149437E-2</v>
          </cell>
        </row>
        <row r="65">
          <cell r="A65" t="str">
            <v>Sales (IMS)</v>
          </cell>
          <cell r="P65">
            <v>0.22306799999999999</v>
          </cell>
          <cell r="Q65">
            <v>0.225912</v>
          </cell>
          <cell r="R65">
            <v>0.67098000000000002</v>
          </cell>
          <cell r="S65">
            <v>1.1199600000000001</v>
          </cell>
          <cell r="T65">
            <v>0.622336</v>
          </cell>
          <cell r="U65">
            <v>0.72214199999999995</v>
          </cell>
          <cell r="V65">
            <v>0.75643499999999997</v>
          </cell>
          <cell r="W65">
            <v>2.1009130000000003</v>
          </cell>
          <cell r="X65">
            <v>0.66564999999999996</v>
          </cell>
          <cell r="Y65">
            <v>0.73305399999999998</v>
          </cell>
          <cell r="Z65">
            <v>0.97407999999999995</v>
          </cell>
          <cell r="AA65">
            <v>2.3727839999999998</v>
          </cell>
          <cell r="AB65">
            <v>0.79988599999999999</v>
          </cell>
          <cell r="AC65">
            <v>0.84523899999999996</v>
          </cell>
          <cell r="AD65">
            <v>1.138082</v>
          </cell>
          <cell r="AE65">
            <v>2.783207</v>
          </cell>
          <cell r="AF65">
            <v>0.92529899999999998</v>
          </cell>
          <cell r="AG65">
            <v>0.98754699999999995</v>
          </cell>
          <cell r="AH65">
            <v>1.2580389999999999</v>
          </cell>
          <cell r="AI65">
            <v>3.1708849999999997</v>
          </cell>
          <cell r="AJ65">
            <v>0.98931199999999997</v>
          </cell>
          <cell r="AK65">
            <v>1.027752</v>
          </cell>
          <cell r="AL65">
            <v>1.2951280000000001</v>
          </cell>
          <cell r="AM65">
            <v>3.312192</v>
          </cell>
          <cell r="AN65">
            <v>1.081078</v>
          </cell>
          <cell r="AO65">
            <v>1.1414390000000001</v>
          </cell>
          <cell r="AP65">
            <v>1.4199729999999999</v>
          </cell>
          <cell r="AQ65">
            <v>3.6424899999999996</v>
          </cell>
          <cell r="AR65">
            <v>1.0784940000000001</v>
          </cell>
          <cell r="AS65">
            <v>1.1111580000000001</v>
          </cell>
          <cell r="AT65">
            <v>1.4494039999999999</v>
          </cell>
          <cell r="AU65">
            <v>3.6390560000000001</v>
          </cell>
          <cell r="AV65">
            <v>1.129175</v>
          </cell>
          <cell r="AW65">
            <v>1.196966</v>
          </cell>
          <cell r="AX65">
            <v>1.4790270000000001</v>
          </cell>
          <cell r="AY65">
            <v>3.8051680000000001</v>
          </cell>
          <cell r="AZ65">
            <v>1.201757</v>
          </cell>
          <cell r="BA65">
            <v>1.255144</v>
          </cell>
          <cell r="BB65">
            <v>1.456925</v>
          </cell>
          <cell r="BC65">
            <v>3.9138260000000002</v>
          </cell>
          <cell r="BD65">
            <v>1.17303</v>
          </cell>
          <cell r="BE65">
            <v>1.226844</v>
          </cell>
          <cell r="BF65">
            <v>1.595688</v>
          </cell>
          <cell r="BG65">
            <v>3.9955619999999996</v>
          </cell>
          <cell r="BH65">
            <v>1.250864</v>
          </cell>
          <cell r="BI65">
            <v>1.3161020000000001</v>
          </cell>
          <cell r="BJ65">
            <v>1.611748</v>
          </cell>
          <cell r="BK65">
            <v>4.1787140000000003</v>
          </cell>
          <cell r="BL65">
            <v>1.2947379999999999</v>
          </cell>
          <cell r="BM65">
            <v>1.2992939999999999</v>
          </cell>
        </row>
        <row r="66">
          <cell r="A66" t="str">
            <v xml:space="preserve">  % Change</v>
          </cell>
          <cell r="AG66">
            <v>3.3713791210736925</v>
          </cell>
          <cell r="AH66">
            <v>0.8749277176666963</v>
          </cell>
          <cell r="AI66">
            <v>1.8312484374441942</v>
          </cell>
          <cell r="AJ66">
            <v>0.5896750308515013</v>
          </cell>
          <cell r="AK66">
            <v>0.42319931537010747</v>
          </cell>
          <cell r="AL66">
            <v>0.71214711111992446</v>
          </cell>
          <cell r="AM66">
            <v>0.57654886232794955</v>
          </cell>
          <cell r="AN66">
            <v>0.62409374295801112</v>
          </cell>
          <cell r="AO66">
            <v>0.55710084113857938</v>
          </cell>
          <cell r="AP66">
            <v>0.45775808968462539</v>
          </cell>
          <cell r="AQ66">
            <v>0.53511234060917467</v>
          </cell>
          <cell r="AR66">
            <v>0.53511234060917467</v>
          </cell>
          <cell r="AS66">
            <v>0.34830963412286264</v>
          </cell>
          <cell r="AT66">
            <v>0.31460805760264265</v>
          </cell>
          <cell r="AU66">
            <v>0.30750461607778368</v>
          </cell>
          <cell r="AV66">
            <v>0.22033526460095598</v>
          </cell>
          <cell r="AW66">
            <v>0.2120597804458928</v>
          </cell>
          <cell r="AX66">
            <v>0.17566069096427084</v>
          </cell>
          <cell r="AY66">
            <v>0.20003342915305988</v>
          </cell>
          <cell r="AZ66">
            <v>0.21474014264458541</v>
          </cell>
          <cell r="BA66">
            <v>0.22125181950509476</v>
          </cell>
          <cell r="BB66">
            <v>0.12492742030131376</v>
          </cell>
          <cell r="BC66">
            <v>0.18164224779239868</v>
          </cell>
          <cell r="BD66">
            <v>8.5055842409150983E-2</v>
          </cell>
          <cell r="BE66">
            <v>7.4822220022270125E-2</v>
          </cell>
          <cell r="BF66">
            <v>0.12374531065027305</v>
          </cell>
          <cell r="BG66">
            <v>9.6931494664364237E-2</v>
          </cell>
          <cell r="BH66">
            <v>0.15982471854270863</v>
          </cell>
          <cell r="BI66">
            <v>0.18444181655534142</v>
          </cell>
          <cell r="BJ66">
            <v>0.11200741822155869</v>
          </cell>
          <cell r="BK66">
            <v>0.14829615152940767</v>
          </cell>
          <cell r="BL66">
            <v>0.14662297695219961</v>
          </cell>
          <cell r="BM66">
            <v>8.548947923332828E-2</v>
          </cell>
        </row>
        <row r="68">
          <cell r="A68" t="str">
            <v>NORTREL 7/7/7-28</v>
          </cell>
        </row>
        <row r="69">
          <cell r="A69" t="str">
            <v>TRx</v>
          </cell>
          <cell r="AN69">
            <v>9655</v>
          </cell>
          <cell r="AO69">
            <v>34869</v>
          </cell>
          <cell r="AP69">
            <v>50642</v>
          </cell>
          <cell r="AQ69">
            <v>95166</v>
          </cell>
          <cell r="AR69">
            <v>52449</v>
          </cell>
          <cell r="AS69">
            <v>58908</v>
          </cell>
          <cell r="AT69">
            <v>61708</v>
          </cell>
          <cell r="AU69">
            <v>173065</v>
          </cell>
          <cell r="AV69">
            <v>59295</v>
          </cell>
          <cell r="AW69">
            <v>63245</v>
          </cell>
          <cell r="AX69">
            <v>63354</v>
          </cell>
          <cell r="AY69">
            <v>185894</v>
          </cell>
          <cell r="AZ69">
            <v>66204</v>
          </cell>
          <cell r="BA69">
            <v>67017</v>
          </cell>
          <cell r="BB69">
            <v>70495</v>
          </cell>
          <cell r="BC69">
            <v>203716</v>
          </cell>
          <cell r="BD69">
            <v>73430</v>
          </cell>
          <cell r="BE69">
            <v>71101</v>
          </cell>
          <cell r="BF69">
            <v>77473</v>
          </cell>
          <cell r="BG69">
            <v>222004</v>
          </cell>
          <cell r="BH69">
            <v>76066</v>
          </cell>
          <cell r="BI69">
            <v>79036</v>
          </cell>
          <cell r="BJ69">
            <v>77861</v>
          </cell>
          <cell r="BK69">
            <v>232963</v>
          </cell>
          <cell r="BL69">
            <v>79667</v>
          </cell>
          <cell r="BM69">
            <v>79466</v>
          </cell>
          <cell r="BN69">
            <v>74724</v>
          </cell>
          <cell r="BO69">
            <v>233857</v>
          </cell>
        </row>
        <row r="70">
          <cell r="A70" t="str">
            <v xml:space="preserve">  % Change</v>
          </cell>
          <cell r="AU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6.6053858104609011</v>
          </cell>
          <cell r="BE70">
            <v>1.0390891622931542</v>
          </cell>
          <cell r="BF70">
            <v>0.52981714782196598</v>
          </cell>
          <cell r="BG70">
            <v>1.3328079356072546</v>
          </cell>
          <cell r="BH70">
            <v>0.4502850387995958</v>
          </cell>
          <cell r="BI70">
            <v>0.34168533985197258</v>
          </cell>
          <cell r="BJ70">
            <v>0.26176508718480584</v>
          </cell>
          <cell r="BK70">
            <v>0.34610117585878131</v>
          </cell>
          <cell r="BL70">
            <v>0.34357028417235846</v>
          </cell>
          <cell r="BM70">
            <v>0.25647877302553557</v>
          </cell>
          <cell r="BN70">
            <v>0.17946775262808967</v>
          </cell>
          <cell r="BO70">
            <v>0.25801263085414261</v>
          </cell>
        </row>
        <row r="71">
          <cell r="A71" t="str">
            <v>NRx</v>
          </cell>
          <cell r="AN71">
            <v>4406</v>
          </cell>
          <cell r="AO71">
            <v>13221</v>
          </cell>
          <cell r="AP71">
            <v>16728</v>
          </cell>
          <cell r="AQ71">
            <v>34355</v>
          </cell>
          <cell r="AR71">
            <v>15820</v>
          </cell>
          <cell r="AS71">
            <v>16455</v>
          </cell>
          <cell r="AT71">
            <v>16624</v>
          </cell>
          <cell r="AU71">
            <v>48899</v>
          </cell>
          <cell r="AV71">
            <v>15578</v>
          </cell>
          <cell r="AW71">
            <v>16113</v>
          </cell>
          <cell r="AX71">
            <v>16249</v>
          </cell>
          <cell r="AY71">
            <v>47940</v>
          </cell>
          <cell r="AZ71">
            <v>16585</v>
          </cell>
          <cell r="BA71">
            <v>15385</v>
          </cell>
          <cell r="BB71">
            <v>16158</v>
          </cell>
          <cell r="BC71">
            <v>48128</v>
          </cell>
          <cell r="BD71">
            <v>17626</v>
          </cell>
          <cell r="BE71">
            <v>17527</v>
          </cell>
          <cell r="BF71">
            <v>18744</v>
          </cell>
          <cell r="BG71">
            <v>53897</v>
          </cell>
          <cell r="BH71">
            <v>17900</v>
          </cell>
          <cell r="BI71">
            <v>17769</v>
          </cell>
          <cell r="BJ71">
            <v>18329</v>
          </cell>
          <cell r="BK71">
            <v>53998</v>
          </cell>
          <cell r="BL71">
            <v>18127</v>
          </cell>
          <cell r="BM71">
            <v>18592</v>
          </cell>
          <cell r="BN71">
            <v>17676</v>
          </cell>
          <cell r="BO71">
            <v>54395</v>
          </cell>
        </row>
        <row r="72">
          <cell r="A72" t="str">
            <v xml:space="preserve">  % Change</v>
          </cell>
          <cell r="AU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3.000453926463913</v>
          </cell>
          <cell r="BE72">
            <v>0.32569397171167092</v>
          </cell>
          <cell r="BF72">
            <v>0.12051649928263997</v>
          </cell>
          <cell r="BG72">
            <v>0.56882549847183816</v>
          </cell>
          <cell r="BH72">
            <v>0.1314791403286979</v>
          </cell>
          <cell r="BI72">
            <v>7.9854147675478604E-2</v>
          </cell>
          <cell r="BJ72">
            <v>0.10256256015399412</v>
          </cell>
          <cell r="BK72">
            <v>0.10427616106668847</v>
          </cell>
          <cell r="BL72">
            <v>0.16362819360636793</v>
          </cell>
          <cell r="BM72">
            <v>0.15385092782225529</v>
          </cell>
          <cell r="BN72">
            <v>8.7820788971628927E-2</v>
          </cell>
          <cell r="BO72">
            <v>0.13464747601168137</v>
          </cell>
        </row>
        <row r="73">
          <cell r="A73" t="str">
            <v>Sales (IMS)</v>
          </cell>
          <cell r="AN73">
            <v>1.8321069999999999</v>
          </cell>
          <cell r="AO73">
            <v>1.6657679999999999</v>
          </cell>
          <cell r="AP73">
            <v>1.828816</v>
          </cell>
          <cell r="AQ73">
            <v>5.3266909999999994</v>
          </cell>
          <cell r="AR73">
            <v>1.3350379999999999</v>
          </cell>
          <cell r="AS73">
            <v>1.5153570000000001</v>
          </cell>
          <cell r="AT73">
            <v>1.9571620000000001</v>
          </cell>
          <cell r="AU73">
            <v>4.8075570000000001</v>
          </cell>
          <cell r="AV73">
            <v>1.9164810000000001</v>
          </cell>
          <cell r="AW73">
            <v>1.761938</v>
          </cell>
          <cell r="AX73">
            <v>2.0428350000000002</v>
          </cell>
          <cell r="AY73">
            <v>5.7212540000000001</v>
          </cell>
          <cell r="AZ73">
            <v>1.6976690000000001</v>
          </cell>
          <cell r="BA73">
            <v>1.799461</v>
          </cell>
          <cell r="BB73">
            <v>2.1559170000000001</v>
          </cell>
          <cell r="BC73">
            <v>5.6530469999999999</v>
          </cell>
          <cell r="BD73">
            <v>1.66032</v>
          </cell>
          <cell r="BE73">
            <v>1.8115349999999999</v>
          </cell>
          <cell r="BF73">
            <v>2.6246830000000001</v>
          </cell>
          <cell r="BG73">
            <v>6.0965380000000007</v>
          </cell>
          <cell r="BH73">
            <v>2.1928619999999999</v>
          </cell>
          <cell r="BI73">
            <v>2.1656879999999998</v>
          </cell>
          <cell r="BJ73">
            <v>2.7559019999999999</v>
          </cell>
          <cell r="BK73">
            <v>7.114452</v>
          </cell>
          <cell r="BL73">
            <v>2.1316700000000002</v>
          </cell>
          <cell r="BM73">
            <v>2.1601270000000001</v>
          </cell>
        </row>
        <row r="74">
          <cell r="A74" t="str">
            <v xml:space="preserve">  % Change</v>
          </cell>
          <cell r="AU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-9.3764720073663765E-2</v>
          </cell>
          <cell r="BE74">
            <v>8.7507383981442866E-2</v>
          </cell>
          <cell r="BF74">
            <v>0.43518156009133779</v>
          </cell>
          <cell r="BG74">
            <v>0.14452631098744062</v>
          </cell>
          <cell r="BH74">
            <v>0.64254650429425975</v>
          </cell>
          <cell r="BI74">
            <v>0.42916025728590679</v>
          </cell>
          <cell r="BJ74">
            <v>0.4081113367212319</v>
          </cell>
          <cell r="BK74">
            <v>0.47984766483267904</v>
          </cell>
          <cell r="BL74">
            <v>0.11228339858313241</v>
          </cell>
          <cell r="BM74">
            <v>0.22599489879893619</v>
          </cell>
        </row>
        <row r="75">
          <cell r="A75" t="str">
            <v>Product</v>
          </cell>
          <cell r="C75">
            <v>36770</v>
          </cell>
          <cell r="D75">
            <v>36800</v>
          </cell>
          <cell r="E75">
            <v>36831</v>
          </cell>
          <cell r="F75">
            <v>36861</v>
          </cell>
          <cell r="G75" t="str">
            <v>Q2:01</v>
          </cell>
          <cell r="H75">
            <v>36892</v>
          </cell>
          <cell r="I75">
            <v>36923</v>
          </cell>
          <cell r="J75">
            <v>36951</v>
          </cell>
          <cell r="K75" t="str">
            <v>Q3:01</v>
          </cell>
          <cell r="L75">
            <v>36982</v>
          </cell>
          <cell r="M75">
            <v>37012</v>
          </cell>
          <cell r="N75">
            <v>37043</v>
          </cell>
          <cell r="O75" t="str">
            <v>Q4:01</v>
          </cell>
          <cell r="P75">
            <v>37073</v>
          </cell>
          <cell r="Q75">
            <v>37104</v>
          </cell>
          <cell r="R75">
            <v>37135</v>
          </cell>
          <cell r="S75" t="str">
            <v>Q1:02</v>
          </cell>
          <cell r="T75">
            <v>37165</v>
          </cell>
          <cell r="U75">
            <v>37196</v>
          </cell>
          <cell r="V75">
            <v>37226</v>
          </cell>
          <cell r="W75" t="str">
            <v>Q2:02</v>
          </cell>
          <cell r="X75">
            <v>37257</v>
          </cell>
          <cell r="Y75">
            <v>37288</v>
          </cell>
          <cell r="Z75">
            <v>37316</v>
          </cell>
          <cell r="AA75" t="str">
            <v>Q3:02</v>
          </cell>
          <cell r="AB75">
            <v>37347</v>
          </cell>
          <cell r="AC75">
            <v>37377</v>
          </cell>
          <cell r="AD75">
            <v>37408</v>
          </cell>
          <cell r="AE75" t="str">
            <v>Q4:02</v>
          </cell>
          <cell r="AF75">
            <v>37438</v>
          </cell>
          <cell r="AG75">
            <v>37469</v>
          </cell>
          <cell r="AH75">
            <v>37500</v>
          </cell>
          <cell r="AI75" t="str">
            <v>Q1:03</v>
          </cell>
          <cell r="AJ75">
            <v>37530</v>
          </cell>
          <cell r="AK75">
            <v>37561</v>
          </cell>
          <cell r="AL75">
            <v>37591</v>
          </cell>
          <cell r="AM75" t="str">
            <v>Q2:03</v>
          </cell>
          <cell r="AN75">
            <v>37622</v>
          </cell>
          <cell r="AO75">
            <v>37653</v>
          </cell>
          <cell r="AP75">
            <v>37681</v>
          </cell>
          <cell r="AQ75" t="str">
            <v>Q3:03</v>
          </cell>
          <cell r="AR75">
            <v>37712</v>
          </cell>
          <cell r="AS75">
            <v>37742</v>
          </cell>
          <cell r="AT75">
            <v>37773</v>
          </cell>
          <cell r="AU75" t="str">
            <v>Q4:F03</v>
          </cell>
          <cell r="AV75">
            <v>37803</v>
          </cell>
          <cell r="AW75">
            <v>37834</v>
          </cell>
          <cell r="AX75">
            <v>37865</v>
          </cell>
          <cell r="AY75" t="str">
            <v>Q1:F04</v>
          </cell>
          <cell r="AZ75">
            <v>37895</v>
          </cell>
          <cell r="BA75">
            <v>37926</v>
          </cell>
          <cell r="BB75">
            <v>37956</v>
          </cell>
          <cell r="BC75" t="str">
            <v>Q2:F04</v>
          </cell>
          <cell r="BD75">
            <v>37987</v>
          </cell>
          <cell r="BE75">
            <v>38018</v>
          </cell>
          <cell r="BF75">
            <v>38047</v>
          </cell>
          <cell r="BG75" t="str">
            <v>Q3:F04</v>
          </cell>
          <cell r="BH75">
            <v>38078</v>
          </cell>
          <cell r="BI75">
            <v>38108</v>
          </cell>
          <cell r="BJ75">
            <v>38139</v>
          </cell>
          <cell r="BK75" t="str">
            <v>Q4:F04</v>
          </cell>
          <cell r="BL75">
            <v>38169</v>
          </cell>
          <cell r="BM75">
            <v>38200</v>
          </cell>
          <cell r="BN75">
            <v>38231</v>
          </cell>
          <cell r="BO75" t="str">
            <v>Q1:F05E</v>
          </cell>
        </row>
        <row r="76">
          <cell r="A76" t="str">
            <v>NORTREL 1/35-28</v>
          </cell>
        </row>
        <row r="77">
          <cell r="A77" t="str">
            <v>TRx</v>
          </cell>
          <cell r="P77">
            <v>33</v>
          </cell>
          <cell r="Q77">
            <v>282</v>
          </cell>
          <cell r="R77">
            <v>323</v>
          </cell>
          <cell r="S77">
            <v>638</v>
          </cell>
          <cell r="T77">
            <v>368</v>
          </cell>
          <cell r="U77">
            <v>515</v>
          </cell>
          <cell r="V77">
            <v>546</v>
          </cell>
          <cell r="W77">
            <v>1429</v>
          </cell>
          <cell r="X77">
            <v>567</v>
          </cell>
          <cell r="Y77">
            <v>844</v>
          </cell>
          <cell r="Z77">
            <v>1432</v>
          </cell>
          <cell r="AA77">
            <v>2843</v>
          </cell>
          <cell r="AB77">
            <v>7382</v>
          </cell>
          <cell r="AC77">
            <v>12425</v>
          </cell>
          <cell r="AD77">
            <v>15140</v>
          </cell>
          <cell r="AE77">
            <v>34947</v>
          </cell>
          <cell r="AF77">
            <v>17517</v>
          </cell>
          <cell r="AG77">
            <v>18594</v>
          </cell>
          <cell r="AH77">
            <v>25391</v>
          </cell>
          <cell r="AI77">
            <v>61502</v>
          </cell>
          <cell r="AJ77">
            <v>37550</v>
          </cell>
          <cell r="AK77">
            <v>42537</v>
          </cell>
          <cell r="AL77">
            <v>48728</v>
          </cell>
          <cell r="AM77">
            <v>128815</v>
          </cell>
          <cell r="AN77">
            <v>53200</v>
          </cell>
          <cell r="AO77">
            <v>59514</v>
          </cell>
          <cell r="AP77">
            <v>80256</v>
          </cell>
          <cell r="AQ77">
            <v>192970</v>
          </cell>
          <cell r="AR77">
            <v>80198</v>
          </cell>
          <cell r="AS77">
            <v>85712</v>
          </cell>
          <cell r="AT77">
            <v>86871</v>
          </cell>
          <cell r="AU77">
            <v>252781</v>
          </cell>
          <cell r="AV77">
            <v>88106</v>
          </cell>
          <cell r="AW77">
            <v>91562</v>
          </cell>
          <cell r="AX77">
            <v>89392</v>
          </cell>
          <cell r="AY77">
            <v>269060</v>
          </cell>
          <cell r="AZ77">
            <v>91216</v>
          </cell>
          <cell r="BA77">
            <v>88208</v>
          </cell>
          <cell r="BB77">
            <v>93010</v>
          </cell>
          <cell r="BC77">
            <v>272434</v>
          </cell>
          <cell r="BD77">
            <v>92558</v>
          </cell>
          <cell r="BE77">
            <v>85702</v>
          </cell>
          <cell r="BF77">
            <v>90881</v>
          </cell>
          <cell r="BG77">
            <v>269141</v>
          </cell>
          <cell r="BH77">
            <v>87358</v>
          </cell>
          <cell r="BI77">
            <v>87316</v>
          </cell>
          <cell r="BJ77">
            <v>87957</v>
          </cell>
          <cell r="BK77">
            <v>262631</v>
          </cell>
          <cell r="BL77">
            <v>88401</v>
          </cell>
          <cell r="BM77">
            <v>87979</v>
          </cell>
          <cell r="BN77">
            <v>82989</v>
          </cell>
          <cell r="BO77">
            <v>259369</v>
          </cell>
        </row>
        <row r="78">
          <cell r="A78" t="str">
            <v xml:space="preserve">  % Change</v>
          </cell>
          <cell r="AR78">
            <v>9.8639934976971002</v>
          </cell>
          <cell r="AS78">
            <v>5.8983501006036221</v>
          </cell>
          <cell r="AT78">
            <v>4.7378467635402908</v>
          </cell>
          <cell r="AU78">
            <v>0</v>
          </cell>
          <cell r="AV78">
            <v>4.0297425358223444</v>
          </cell>
          <cell r="AW78">
            <v>3.9242766483811984</v>
          </cell>
          <cell r="AX78">
            <v>2.5206175416486158</v>
          </cell>
          <cell r="AY78">
            <v>3.3748170791193779</v>
          </cell>
          <cell r="AZ78">
            <v>1.4291877496671104</v>
          </cell>
          <cell r="BA78">
            <v>1.0736770341114794</v>
          </cell>
          <cell r="BB78">
            <v>0.90875882449515677</v>
          </cell>
          <cell r="BC78">
            <v>1.1149245041338354</v>
          </cell>
          <cell r="BD78">
            <v>0.73981203007518803</v>
          </cell>
          <cell r="BE78">
            <v>0.44003091709513731</v>
          </cell>
          <cell r="BF78">
            <v>0.13238885566188197</v>
          </cell>
          <cell r="BG78">
            <v>0.39472975073845684</v>
          </cell>
          <cell r="BH78">
            <v>8.9279034389885048E-2</v>
          </cell>
          <cell r="BI78">
            <v>1.8713832368863148E-2</v>
          </cell>
          <cell r="BJ78">
            <v>1.2501295023655823E-2</v>
          </cell>
          <cell r="BK78">
            <v>3.8966536250746753E-2</v>
          </cell>
          <cell r="BL78">
            <v>3.3482396204571607E-3</v>
          </cell>
          <cell r="BM78">
            <v>-3.9131954304187366E-2</v>
          </cell>
          <cell r="BN78">
            <v>-7.1628333631644892E-2</v>
          </cell>
          <cell r="BO78">
            <v>-3.6017988552739189E-2</v>
          </cell>
        </row>
        <row r="79">
          <cell r="A79" t="str">
            <v>NRx</v>
          </cell>
          <cell r="P79">
            <v>13</v>
          </cell>
          <cell r="Q79">
            <v>157</v>
          </cell>
          <cell r="R79">
            <v>116</v>
          </cell>
          <cell r="S79">
            <v>286</v>
          </cell>
          <cell r="T79">
            <v>70</v>
          </cell>
          <cell r="U79">
            <v>132</v>
          </cell>
          <cell r="V79">
            <v>132</v>
          </cell>
          <cell r="W79">
            <v>334</v>
          </cell>
          <cell r="X79">
            <v>181</v>
          </cell>
          <cell r="Y79">
            <v>232</v>
          </cell>
          <cell r="Z79">
            <v>460</v>
          </cell>
          <cell r="AA79">
            <v>873</v>
          </cell>
          <cell r="AB79">
            <v>2532</v>
          </cell>
          <cell r="AC79">
            <v>3501</v>
          </cell>
          <cell r="AD79">
            <v>3802</v>
          </cell>
          <cell r="AE79">
            <v>9835</v>
          </cell>
          <cell r="AF79">
            <v>4237</v>
          </cell>
          <cell r="AG79">
            <v>4071</v>
          </cell>
          <cell r="AH79">
            <v>6350</v>
          </cell>
          <cell r="AI79">
            <v>14658</v>
          </cell>
          <cell r="AJ79">
            <v>8996</v>
          </cell>
          <cell r="AK79">
            <v>9546</v>
          </cell>
          <cell r="AL79">
            <v>10830</v>
          </cell>
          <cell r="AM79">
            <v>29372</v>
          </cell>
          <cell r="AN79">
            <v>13122</v>
          </cell>
          <cell r="AO79">
            <v>14782</v>
          </cell>
          <cell r="AP79">
            <v>19018</v>
          </cell>
          <cell r="AQ79">
            <v>46922</v>
          </cell>
          <cell r="AR79">
            <v>17877</v>
          </cell>
          <cell r="AS79">
            <v>18960</v>
          </cell>
          <cell r="AT79">
            <v>19319</v>
          </cell>
          <cell r="AU79">
            <v>56156</v>
          </cell>
          <cell r="AV79">
            <v>19916</v>
          </cell>
          <cell r="AW79">
            <v>20345</v>
          </cell>
          <cell r="AX79">
            <v>20310</v>
          </cell>
          <cell r="AY79">
            <v>60571</v>
          </cell>
          <cell r="AZ79">
            <v>19873</v>
          </cell>
          <cell r="BA79">
            <v>18403</v>
          </cell>
          <cell r="BB79">
            <v>19728</v>
          </cell>
          <cell r="BC79">
            <v>58004</v>
          </cell>
          <cell r="BD79">
            <v>20466</v>
          </cell>
          <cell r="BE79">
            <v>19095</v>
          </cell>
          <cell r="BF79">
            <v>20321</v>
          </cell>
          <cell r="BG79">
            <v>59882</v>
          </cell>
          <cell r="BH79">
            <v>18480</v>
          </cell>
          <cell r="BI79">
            <v>18049</v>
          </cell>
          <cell r="BJ79">
            <v>19449</v>
          </cell>
          <cell r="BK79">
            <v>55978</v>
          </cell>
          <cell r="BL79">
            <v>19063</v>
          </cell>
          <cell r="BM79">
            <v>19893</v>
          </cell>
          <cell r="BN79">
            <v>19003</v>
          </cell>
          <cell r="BO79">
            <v>57959</v>
          </cell>
        </row>
        <row r="80">
          <cell r="A80" t="str">
            <v xml:space="preserve">  % Change</v>
          </cell>
          <cell r="AR80">
            <v>6.06042654028436</v>
          </cell>
          <cell r="AS80">
            <v>4.4155955441302481</v>
          </cell>
          <cell r="AT80">
            <v>4.0812730142030507</v>
          </cell>
          <cell r="AU80">
            <v>0</v>
          </cell>
          <cell r="AV80">
            <v>3.7004956337030919</v>
          </cell>
          <cell r="AW80">
            <v>3.9975436010808156</v>
          </cell>
          <cell r="AX80">
            <v>2.1984251968503936</v>
          </cell>
          <cell r="AY80">
            <v>3.1322827125119392</v>
          </cell>
          <cell r="AZ80">
            <v>1.2090929301911961</v>
          </cell>
          <cell r="BA80">
            <v>0.92782317200921849</v>
          </cell>
          <cell r="BB80">
            <v>0.82160664819944595</v>
          </cell>
          <cell r="BC80">
            <v>0.97480593762767254</v>
          </cell>
          <cell r="BD80">
            <v>0.55967078189300401</v>
          </cell>
          <cell r="BE80">
            <v>0.29177377892030854</v>
          </cell>
          <cell r="BF80">
            <v>6.8514039331159848E-2</v>
          </cell>
          <cell r="BG80">
            <v>0.2762030603981076</v>
          </cell>
          <cell r="BH80">
            <v>3.3730491693237052E-2</v>
          </cell>
          <cell r="BI80">
            <v>-4.8048523206751015E-2</v>
          </cell>
          <cell r="BJ80">
            <v>6.7291267663958099E-3</v>
          </cell>
          <cell r="BK80">
            <v>-3.1697414345751573E-3</v>
          </cell>
          <cell r="BL80">
            <v>-4.2829885519180544E-2</v>
          </cell>
          <cell r="BM80">
            <v>-2.221676087490787E-2</v>
          </cell>
          <cell r="BN80">
            <v>-6.4352535696701185E-2</v>
          </cell>
          <cell r="BO80">
            <v>-4.3122946624622349E-2</v>
          </cell>
        </row>
        <row r="81">
          <cell r="A81" t="str">
            <v>Sales (IMS)</v>
          </cell>
          <cell r="T81">
            <v>5.3999999999999998E-5</v>
          </cell>
          <cell r="U81">
            <v>0</v>
          </cell>
          <cell r="V81">
            <v>2.9777000000000001E-2</v>
          </cell>
          <cell r="W81">
            <v>2.9831E-2</v>
          </cell>
          <cell r="X81">
            <v>4.5212000000000002E-2</v>
          </cell>
          <cell r="Y81">
            <v>5.1053000000000001E-2</v>
          </cell>
          <cell r="Z81">
            <v>0.328795</v>
          </cell>
          <cell r="AA81">
            <v>0.42505999999999999</v>
          </cell>
          <cell r="AB81">
            <v>0.50076900000000002</v>
          </cell>
          <cell r="AC81">
            <v>0.51513900000000001</v>
          </cell>
          <cell r="AD81">
            <v>0.67722700000000002</v>
          </cell>
          <cell r="AE81">
            <v>1.6931350000000001</v>
          </cell>
          <cell r="AF81">
            <v>0.49022199999999999</v>
          </cell>
          <cell r="AG81">
            <v>0.57428400000000002</v>
          </cell>
          <cell r="AH81">
            <v>1.0246649999999999</v>
          </cell>
          <cell r="AI81">
            <v>2.0891709999999999</v>
          </cell>
          <cell r="AJ81">
            <v>0.884822</v>
          </cell>
          <cell r="AK81">
            <v>0.86192999999999997</v>
          </cell>
          <cell r="AL81">
            <v>1.2729360000000001</v>
          </cell>
          <cell r="AM81">
            <v>3.0196880000000004</v>
          </cell>
          <cell r="AN81">
            <v>1.36599</v>
          </cell>
          <cell r="AO81">
            <v>1.8340700000000001</v>
          </cell>
          <cell r="AP81">
            <v>2.1797770000000001</v>
          </cell>
          <cell r="AQ81">
            <v>5.3798370000000002</v>
          </cell>
          <cell r="AR81">
            <v>1.598635</v>
          </cell>
          <cell r="AS81">
            <v>1.604012</v>
          </cell>
          <cell r="AT81">
            <v>2.262559</v>
          </cell>
          <cell r="AU81">
            <v>5.4652060000000002</v>
          </cell>
          <cell r="AV81">
            <v>1.600662</v>
          </cell>
          <cell r="AW81">
            <v>1.6394770000000001</v>
          </cell>
          <cell r="AX81">
            <v>1.9353320000000001</v>
          </cell>
          <cell r="AY81">
            <v>5.1754709999999999</v>
          </cell>
          <cell r="AZ81">
            <v>1.644309</v>
          </cell>
          <cell r="BA81">
            <v>1.5199480000000001</v>
          </cell>
          <cell r="BB81">
            <v>1.9058839999999999</v>
          </cell>
          <cell r="BC81">
            <v>5.0701409999999996</v>
          </cell>
          <cell r="BD81">
            <v>1.601669</v>
          </cell>
          <cell r="BE81">
            <v>1.579356</v>
          </cell>
          <cell r="BF81">
            <v>1.9188449999999999</v>
          </cell>
          <cell r="BG81">
            <v>5.0998700000000001</v>
          </cell>
          <cell r="BH81">
            <v>1.500983</v>
          </cell>
          <cell r="BI81">
            <v>1.629602</v>
          </cell>
          <cell r="BJ81">
            <v>2.058897</v>
          </cell>
          <cell r="BK81">
            <v>5.1894819999999999</v>
          </cell>
          <cell r="BL81">
            <v>1.6449339999999999</v>
          </cell>
          <cell r="BM81">
            <v>1.5925640000000001</v>
          </cell>
        </row>
        <row r="82">
          <cell r="A82" t="str">
            <v xml:space="preserve">  % Change</v>
          </cell>
          <cell r="AR82">
            <v>2.1923601500891627</v>
          </cell>
          <cell r="AS82">
            <v>2.1137459986527909</v>
          </cell>
          <cell r="AT82">
            <v>2.3409167088730958</v>
          </cell>
          <cell r="AU82">
            <v>2.227861924772685</v>
          </cell>
          <cell r="AV82">
            <v>2.2651778173970163</v>
          </cell>
          <cell r="AW82">
            <v>1.8548192183658259</v>
          </cell>
          <cell r="AX82">
            <v>0.88874607798646399</v>
          </cell>
          <cell r="AY82">
            <v>1.4772845305626015</v>
          </cell>
          <cell r="AZ82">
            <v>0.85835004102520052</v>
          </cell>
          <cell r="BA82">
            <v>0.76342394393976321</v>
          </cell>
          <cell r="BB82">
            <v>0.49723473921705397</v>
          </cell>
          <cell r="BC82">
            <v>0.67902809826710531</v>
          </cell>
          <cell r="BD82">
            <v>0.17253347389073115</v>
          </cell>
          <cell r="BE82">
            <v>-0.13887910494146904</v>
          </cell>
          <cell r="BF82">
            <v>-0.11970582311860345</v>
          </cell>
          <cell r="BG82">
            <v>-5.2040052514602197E-2</v>
          </cell>
          <cell r="BH82">
            <v>-6.1084612810303862E-2</v>
          </cell>
          <cell r="BI82">
            <v>1.5953745981950318E-2</v>
          </cell>
          <cell r="BJ82">
            <v>-9.0014006264587998E-2</v>
          </cell>
          <cell r="BK82">
            <v>-5.0450797280102599E-2</v>
          </cell>
          <cell r="BL82">
            <v>2.765855627234215E-2</v>
          </cell>
          <cell r="BM82">
            <v>-2.8614613074779305E-2</v>
          </cell>
        </row>
        <row r="84">
          <cell r="A84" t="str">
            <v>NORTREL 0.5/35-28</v>
          </cell>
        </row>
        <row r="85">
          <cell r="A85" t="str">
            <v>TRx</v>
          </cell>
          <cell r="T85">
            <v>3</v>
          </cell>
          <cell r="U85">
            <v>6</v>
          </cell>
          <cell r="W85">
            <v>9</v>
          </cell>
          <cell r="Y85">
            <v>5</v>
          </cell>
          <cell r="Z85">
            <v>6</v>
          </cell>
          <cell r="AA85">
            <v>11</v>
          </cell>
          <cell r="AB85">
            <v>69</v>
          </cell>
          <cell r="AC85">
            <v>170</v>
          </cell>
          <cell r="AD85">
            <v>214</v>
          </cell>
          <cell r="AE85">
            <v>453</v>
          </cell>
          <cell r="AF85">
            <v>326</v>
          </cell>
          <cell r="AG85">
            <v>386</v>
          </cell>
          <cell r="AH85">
            <v>401</v>
          </cell>
          <cell r="AI85">
            <v>1113</v>
          </cell>
          <cell r="AJ85">
            <v>471</v>
          </cell>
          <cell r="AK85">
            <v>529</v>
          </cell>
          <cell r="AL85">
            <v>596</v>
          </cell>
          <cell r="AM85">
            <v>1596</v>
          </cell>
          <cell r="AN85">
            <v>712</v>
          </cell>
          <cell r="AO85">
            <v>1304</v>
          </cell>
          <cell r="AP85">
            <v>2456</v>
          </cell>
          <cell r="AQ85">
            <v>4472</v>
          </cell>
          <cell r="AR85">
            <v>4255</v>
          </cell>
          <cell r="AS85">
            <v>5994</v>
          </cell>
          <cell r="AT85">
            <v>6234</v>
          </cell>
          <cell r="AU85">
            <v>16483</v>
          </cell>
          <cell r="AV85">
            <v>6039</v>
          </cell>
          <cell r="AW85">
            <v>5736</v>
          </cell>
          <cell r="AX85">
            <v>5359</v>
          </cell>
          <cell r="AY85">
            <v>17134</v>
          </cell>
          <cell r="AZ85">
            <v>5256</v>
          </cell>
          <cell r="BA85">
            <v>5191</v>
          </cell>
          <cell r="BB85">
            <v>5322</v>
          </cell>
          <cell r="BC85">
            <v>15769</v>
          </cell>
          <cell r="BD85">
            <v>5276</v>
          </cell>
          <cell r="BE85">
            <v>5055</v>
          </cell>
          <cell r="BF85">
            <v>5587</v>
          </cell>
          <cell r="BG85">
            <v>15918</v>
          </cell>
          <cell r="BH85">
            <v>5211</v>
          </cell>
          <cell r="BI85">
            <v>5248</v>
          </cell>
          <cell r="BJ85">
            <v>5275</v>
          </cell>
          <cell r="BK85">
            <v>15734</v>
          </cell>
          <cell r="BL85">
            <v>5363</v>
          </cell>
          <cell r="BM85">
            <v>5533</v>
          </cell>
          <cell r="BN85">
            <v>5026</v>
          </cell>
          <cell r="BO85">
            <v>15922</v>
          </cell>
        </row>
        <row r="86">
          <cell r="A86" t="str">
            <v xml:space="preserve">  % Change</v>
          </cell>
          <cell r="AU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2.8765337423312882</v>
          </cell>
          <cell r="BF86">
            <v>1.2748371335504887</v>
          </cell>
          <cell r="BG86">
            <v>2.5594812164579608</v>
          </cell>
          <cell r="BH86">
            <v>0.22467685076380728</v>
          </cell>
          <cell r="BI86">
            <v>-0.12445779112445776</v>
          </cell>
          <cell r="BJ86">
            <v>-0.15383381456528711</v>
          </cell>
          <cell r="BK86">
            <v>-4.5440757143723864E-2</v>
          </cell>
          <cell r="BL86">
            <v>-0.11193906275873489</v>
          </cell>
          <cell r="BM86">
            <v>-3.5390516039051634E-2</v>
          </cell>
          <cell r="BN86">
            <v>-6.2138458667661878E-2</v>
          </cell>
          <cell r="BO86">
            <v>-7.0736547216061596E-2</v>
          </cell>
        </row>
        <row r="87">
          <cell r="A87" t="str">
            <v>NRx</v>
          </cell>
          <cell r="T87">
            <v>0</v>
          </cell>
          <cell r="U87">
            <v>3</v>
          </cell>
          <cell r="W87">
            <v>3</v>
          </cell>
          <cell r="Y87">
            <v>2</v>
          </cell>
          <cell r="Z87">
            <v>3</v>
          </cell>
          <cell r="AA87">
            <v>5</v>
          </cell>
          <cell r="AB87">
            <v>27</v>
          </cell>
          <cell r="AC87">
            <v>64</v>
          </cell>
          <cell r="AD87">
            <v>67</v>
          </cell>
          <cell r="AE87">
            <v>158</v>
          </cell>
          <cell r="AF87">
            <v>81</v>
          </cell>
          <cell r="AG87">
            <v>101</v>
          </cell>
          <cell r="AH87">
            <v>92</v>
          </cell>
          <cell r="AI87">
            <v>274</v>
          </cell>
          <cell r="AJ87">
            <v>119</v>
          </cell>
          <cell r="AK87">
            <v>139</v>
          </cell>
          <cell r="AL87">
            <v>117</v>
          </cell>
          <cell r="AM87">
            <v>375</v>
          </cell>
          <cell r="AN87">
            <v>199</v>
          </cell>
          <cell r="AO87">
            <v>453</v>
          </cell>
          <cell r="AP87">
            <v>820</v>
          </cell>
          <cell r="AQ87">
            <v>1472</v>
          </cell>
          <cell r="AR87">
            <v>1839</v>
          </cell>
          <cell r="AS87">
            <v>2239</v>
          </cell>
          <cell r="AT87">
            <v>1718</v>
          </cell>
          <cell r="AU87">
            <v>5796</v>
          </cell>
          <cell r="AV87">
            <v>1558</v>
          </cell>
          <cell r="AW87">
            <v>1409</v>
          </cell>
          <cell r="AX87">
            <v>1340</v>
          </cell>
          <cell r="AY87">
            <v>4307</v>
          </cell>
          <cell r="AZ87">
            <v>1278</v>
          </cell>
          <cell r="BA87">
            <v>1201</v>
          </cell>
          <cell r="BB87">
            <v>1188</v>
          </cell>
          <cell r="BC87">
            <v>3667</v>
          </cell>
          <cell r="BD87">
            <v>1306</v>
          </cell>
          <cell r="BE87">
            <v>1224</v>
          </cell>
          <cell r="BF87">
            <v>1442</v>
          </cell>
          <cell r="BG87">
            <v>3972</v>
          </cell>
          <cell r="BH87">
            <v>1183</v>
          </cell>
          <cell r="BI87">
            <v>1248</v>
          </cell>
          <cell r="BJ87">
            <v>1288</v>
          </cell>
          <cell r="BK87">
            <v>3719</v>
          </cell>
          <cell r="BL87">
            <v>1334</v>
          </cell>
          <cell r="BM87">
            <v>1492</v>
          </cell>
          <cell r="BN87">
            <v>1353</v>
          </cell>
          <cell r="BO87">
            <v>4179</v>
          </cell>
        </row>
        <row r="88">
          <cell r="A88" t="str">
            <v xml:space="preserve">  % Change</v>
          </cell>
          <cell r="AU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1.7019867549668874</v>
          </cell>
          <cell r="BF88">
            <v>0.75853658536585367</v>
          </cell>
          <cell r="BG88">
            <v>1.6983695652173911</v>
          </cell>
          <cell r="BH88">
            <v>-0.35671560630777599</v>
          </cell>
          <cell r="BI88">
            <v>-0.44260830728003575</v>
          </cell>
          <cell r="BJ88">
            <v>-0.25029103608847492</v>
          </cell>
          <cell r="BK88">
            <v>-0.35835058661145613</v>
          </cell>
          <cell r="BL88">
            <v>-0.14377406931964054</v>
          </cell>
          <cell r="BM88">
            <v>5.8907026259758632E-2</v>
          </cell>
          <cell r="BN88">
            <v>9.7014925373133387E-3</v>
          </cell>
          <cell r="BO88">
            <v>-2.9719061992105833E-2</v>
          </cell>
        </row>
        <row r="89">
          <cell r="A89" t="str">
            <v>Sales (IMS)</v>
          </cell>
          <cell r="V89">
            <v>1.94E-4</v>
          </cell>
          <cell r="W89">
            <v>1.94E-4</v>
          </cell>
          <cell r="X89">
            <v>7.0799999999999997E-4</v>
          </cell>
          <cell r="Y89">
            <v>5.1599999999999997E-4</v>
          </cell>
          <cell r="Z89">
            <v>1.3121000000000001E-2</v>
          </cell>
          <cell r="AA89">
            <v>1.4345E-2</v>
          </cell>
          <cell r="AB89">
            <v>2.6762000000000001E-2</v>
          </cell>
          <cell r="AC89">
            <v>3.0738000000000001E-2</v>
          </cell>
          <cell r="AD89">
            <v>3.4250999999999997E-2</v>
          </cell>
          <cell r="AE89">
            <v>9.1750999999999999E-2</v>
          </cell>
          <cell r="AF89">
            <v>3.1937E-2</v>
          </cell>
          <cell r="AG89">
            <v>3.7537000000000001E-2</v>
          </cell>
          <cell r="AH89">
            <v>3.3565999999999999E-2</v>
          </cell>
          <cell r="AI89">
            <v>0.10303999999999999</v>
          </cell>
          <cell r="AJ89">
            <v>2.7005999999999999E-2</v>
          </cell>
          <cell r="AK89">
            <v>2.5786E-2</v>
          </cell>
          <cell r="AL89">
            <v>3.9004999999999998E-2</v>
          </cell>
          <cell r="AM89">
            <v>9.1797000000000004E-2</v>
          </cell>
          <cell r="AN89">
            <v>6.1344000000000003E-2</v>
          </cell>
          <cell r="AO89">
            <v>0.17338799999999999</v>
          </cell>
          <cell r="AP89">
            <v>0.33477000000000001</v>
          </cell>
          <cell r="AQ89">
            <v>0.56950199999999995</v>
          </cell>
          <cell r="AR89">
            <v>0.30936399999999997</v>
          </cell>
          <cell r="AS89">
            <v>0.339252</v>
          </cell>
          <cell r="AT89">
            <v>0.26456099999999999</v>
          </cell>
          <cell r="AU89">
            <v>0.91317699999999991</v>
          </cell>
          <cell r="AV89">
            <v>0.16177</v>
          </cell>
          <cell r="AW89">
            <v>0.17002500000000001</v>
          </cell>
          <cell r="AX89">
            <v>0.201131</v>
          </cell>
          <cell r="AY89">
            <v>0.53292600000000001</v>
          </cell>
          <cell r="AZ89">
            <v>0.15507299999999999</v>
          </cell>
          <cell r="BA89">
            <v>0.14851200000000001</v>
          </cell>
          <cell r="BB89">
            <v>0.183083</v>
          </cell>
          <cell r="BC89">
            <v>0.48666799999999999</v>
          </cell>
          <cell r="BD89">
            <v>0.16351499999999999</v>
          </cell>
          <cell r="BE89">
            <v>0.15129100000000001</v>
          </cell>
          <cell r="BF89">
            <v>0.20913300000000001</v>
          </cell>
          <cell r="BG89">
            <v>0.52393900000000004</v>
          </cell>
          <cell r="BH89">
            <v>0.14682600000000001</v>
          </cell>
          <cell r="BI89">
            <v>0.15722900000000001</v>
          </cell>
          <cell r="BJ89">
            <v>0.19233</v>
          </cell>
          <cell r="BK89">
            <v>0.49638500000000002</v>
          </cell>
          <cell r="BL89">
            <v>0.156581</v>
          </cell>
          <cell r="BM89">
            <v>0.169406</v>
          </cell>
        </row>
        <row r="90">
          <cell r="A90" t="str">
            <v xml:space="preserve">  % Change</v>
          </cell>
          <cell r="AU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1.6655418622848197</v>
          </cell>
          <cell r="BE90">
            <v>-0.12744249890419168</v>
          </cell>
          <cell r="BF90">
            <v>-0.37529348507930815</v>
          </cell>
          <cell r="BG90">
            <v>-8.0004986813040024E-2</v>
          </cell>
          <cell r="BH90">
            <v>-0.52539403421212549</v>
          </cell>
          <cell r="BI90">
            <v>-0.53654215745227729</v>
          </cell>
          <cell r="BJ90">
            <v>-0.27302210076315103</v>
          </cell>
          <cell r="BK90">
            <v>-0.45641973023849691</v>
          </cell>
          <cell r="BL90">
            <v>-3.2076404772207412E-2</v>
          </cell>
          <cell r="BM90">
            <v>-3.6406410821938628E-3</v>
          </cell>
        </row>
        <row r="92">
          <cell r="A92" t="str">
            <v>NORTREL 1/35-21</v>
          </cell>
        </row>
        <row r="93">
          <cell r="A93" t="str">
            <v>TRx</v>
          </cell>
          <cell r="Y93">
            <v>6</v>
          </cell>
          <cell r="AA93">
            <v>6</v>
          </cell>
          <cell r="AB93">
            <v>76</v>
          </cell>
          <cell r="AC93">
            <v>133</v>
          </cell>
          <cell r="AD93">
            <v>212</v>
          </cell>
          <cell r="AE93">
            <v>421</v>
          </cell>
          <cell r="AF93">
            <v>220</v>
          </cell>
          <cell r="AG93">
            <v>209</v>
          </cell>
          <cell r="AH93">
            <v>231</v>
          </cell>
          <cell r="AI93">
            <v>660</v>
          </cell>
          <cell r="AJ93">
            <v>308</v>
          </cell>
          <cell r="AK93">
            <v>390</v>
          </cell>
          <cell r="AL93">
            <v>431</v>
          </cell>
          <cell r="AM93">
            <v>1129</v>
          </cell>
          <cell r="AN93">
            <v>441</v>
          </cell>
          <cell r="AO93">
            <v>460</v>
          </cell>
          <cell r="AP93">
            <v>578</v>
          </cell>
          <cell r="AQ93">
            <v>1479</v>
          </cell>
          <cell r="AR93">
            <v>644</v>
          </cell>
          <cell r="AS93">
            <v>704</v>
          </cell>
          <cell r="AT93">
            <v>775</v>
          </cell>
          <cell r="AU93">
            <v>2123</v>
          </cell>
          <cell r="AV93">
            <v>855</v>
          </cell>
          <cell r="AW93">
            <v>805</v>
          </cell>
          <cell r="AX93">
            <v>843</v>
          </cell>
          <cell r="AY93">
            <v>2503</v>
          </cell>
          <cell r="AZ93">
            <v>929</v>
          </cell>
          <cell r="BA93">
            <v>909</v>
          </cell>
          <cell r="BB93">
            <v>973</v>
          </cell>
          <cell r="BC93">
            <v>2811</v>
          </cell>
          <cell r="BD93">
            <v>1016</v>
          </cell>
          <cell r="BE93">
            <v>966</v>
          </cell>
          <cell r="BF93">
            <v>1038</v>
          </cell>
          <cell r="BG93">
            <v>3020</v>
          </cell>
          <cell r="BH93">
            <v>1044</v>
          </cell>
          <cell r="BI93">
            <v>1051</v>
          </cell>
          <cell r="BJ93">
            <v>1104</v>
          </cell>
          <cell r="BK93">
            <v>3199</v>
          </cell>
          <cell r="BL93">
            <v>1082</v>
          </cell>
          <cell r="BM93">
            <v>1014</v>
          </cell>
          <cell r="BN93">
            <v>947</v>
          </cell>
          <cell r="BO93">
            <v>3043</v>
          </cell>
        </row>
        <row r="94">
          <cell r="A94" t="str">
            <v xml:space="preserve">  % Change</v>
          </cell>
          <cell r="AU94">
            <v>0</v>
          </cell>
          <cell r="AY94">
            <v>2.7924242424242425</v>
          </cell>
          <cell r="AZ94">
            <v>2.0162337662337664</v>
          </cell>
          <cell r="BA94">
            <v>1.3307692307692309</v>
          </cell>
          <cell r="BB94">
            <v>1.2575406032482599</v>
          </cell>
          <cell r="BC94">
            <v>1.4898139946855626</v>
          </cell>
          <cell r="BD94">
            <v>1.3038548752834469</v>
          </cell>
          <cell r="BE94">
            <v>1.1000000000000001</v>
          </cell>
          <cell r="BF94">
            <v>0.79584775086505188</v>
          </cell>
          <cell r="BG94">
            <v>1.0419202163624068</v>
          </cell>
          <cell r="BH94">
            <v>0.62111801242236031</v>
          </cell>
          <cell r="BI94">
            <v>0.49289772727272729</v>
          </cell>
          <cell r="BJ94">
            <v>0.4245161290322581</v>
          </cell>
          <cell r="BK94">
            <v>0.50682995760715976</v>
          </cell>
          <cell r="BL94">
            <v>0.2654970760233919</v>
          </cell>
          <cell r="BM94">
            <v>0.25962732919254661</v>
          </cell>
          <cell r="BN94">
            <v>0.12336892052194548</v>
          </cell>
          <cell r="BO94">
            <v>0.21574111066719937</v>
          </cell>
        </row>
        <row r="95">
          <cell r="A95" t="str">
            <v>NRx</v>
          </cell>
          <cell r="Y95">
            <v>0</v>
          </cell>
          <cell r="AA95">
            <v>0</v>
          </cell>
          <cell r="AB95">
            <v>31</v>
          </cell>
          <cell r="AC95">
            <v>38</v>
          </cell>
          <cell r="AD95">
            <v>61</v>
          </cell>
          <cell r="AE95">
            <v>130</v>
          </cell>
          <cell r="AF95">
            <v>21</v>
          </cell>
          <cell r="AG95">
            <v>49</v>
          </cell>
          <cell r="AH95">
            <v>48</v>
          </cell>
          <cell r="AI95">
            <v>118</v>
          </cell>
          <cell r="AJ95">
            <v>71</v>
          </cell>
          <cell r="AK95">
            <v>76</v>
          </cell>
          <cell r="AL95">
            <v>102</v>
          </cell>
          <cell r="AM95">
            <v>249</v>
          </cell>
          <cell r="AN95">
            <v>154</v>
          </cell>
          <cell r="AO95">
            <v>142</v>
          </cell>
          <cell r="AP95">
            <v>157</v>
          </cell>
          <cell r="AQ95">
            <v>453</v>
          </cell>
          <cell r="AR95">
            <v>161</v>
          </cell>
          <cell r="AS95">
            <v>182</v>
          </cell>
          <cell r="AT95">
            <v>214</v>
          </cell>
          <cell r="AU95">
            <v>557</v>
          </cell>
          <cell r="AV95">
            <v>259</v>
          </cell>
          <cell r="AW95">
            <v>193</v>
          </cell>
          <cell r="AX95">
            <v>210</v>
          </cell>
          <cell r="AY95">
            <v>662</v>
          </cell>
          <cell r="AZ95">
            <v>307</v>
          </cell>
          <cell r="BA95">
            <v>191</v>
          </cell>
          <cell r="BB95">
            <v>243</v>
          </cell>
          <cell r="BC95">
            <v>741</v>
          </cell>
          <cell r="BD95">
            <v>225</v>
          </cell>
          <cell r="BE95">
            <v>278</v>
          </cell>
          <cell r="BF95">
            <v>290</v>
          </cell>
          <cell r="BG95">
            <v>793</v>
          </cell>
          <cell r="BH95">
            <v>254</v>
          </cell>
          <cell r="BI95">
            <v>286</v>
          </cell>
          <cell r="BJ95">
            <v>293</v>
          </cell>
          <cell r="BK95">
            <v>833</v>
          </cell>
          <cell r="BL95">
            <v>274</v>
          </cell>
          <cell r="BM95">
            <v>234</v>
          </cell>
          <cell r="BN95">
            <v>260</v>
          </cell>
          <cell r="BO95">
            <v>768</v>
          </cell>
        </row>
        <row r="96">
          <cell r="AU96">
            <v>0</v>
          </cell>
          <cell r="AY96">
            <v>0</v>
          </cell>
          <cell r="AZ96">
            <v>3.323943661971831</v>
          </cell>
          <cell r="BA96">
            <v>1.513157894736842</v>
          </cell>
          <cell r="BB96">
            <v>1.3823529411764706</v>
          </cell>
          <cell r="BC96">
            <v>1.9759036144578315</v>
          </cell>
          <cell r="BD96">
            <v>0.46103896103896114</v>
          </cell>
          <cell r="BE96">
            <v>0.95774647887323949</v>
          </cell>
          <cell r="BF96">
            <v>0.84713375796178347</v>
          </cell>
          <cell r="BG96">
            <v>0.75055187637969101</v>
          </cell>
          <cell r="BH96">
            <v>0.57763975155279512</v>
          </cell>
          <cell r="BI96">
            <v>0.5714285714285714</v>
          </cell>
          <cell r="BJ96">
            <v>0.36915887850467288</v>
          </cell>
          <cell r="BK96">
            <v>0.49551166965888682</v>
          </cell>
          <cell r="BL96">
            <v>5.7915057915058021E-2</v>
          </cell>
          <cell r="BM96">
            <v>0.21243523316062185</v>
          </cell>
          <cell r="BN96">
            <v>0.23809523809523814</v>
          </cell>
          <cell r="BO96">
            <v>0.16012084592145026</v>
          </cell>
        </row>
        <row r="97">
          <cell r="A97" t="str">
            <v>Sales (IMS)</v>
          </cell>
          <cell r="X97">
            <v>9.7999999999999997E-5</v>
          </cell>
          <cell r="Y97">
            <v>2.8400000000000002E-4</v>
          </cell>
          <cell r="Z97">
            <v>1.6035000000000001E-2</v>
          </cell>
          <cell r="AA97">
            <v>1.6417000000000001E-2</v>
          </cell>
          <cell r="AB97">
            <v>1.5136E-2</v>
          </cell>
          <cell r="AC97">
            <v>6.973E-3</v>
          </cell>
          <cell r="AD97">
            <v>1.0885000000000001E-2</v>
          </cell>
          <cell r="AE97">
            <v>3.2993999999999996E-2</v>
          </cell>
          <cell r="AF97">
            <v>1.0168E-2</v>
          </cell>
          <cell r="AG97">
            <v>1.3953E-2</v>
          </cell>
          <cell r="AH97">
            <v>1.3466000000000001E-2</v>
          </cell>
          <cell r="AI97">
            <v>3.7586999999999995E-2</v>
          </cell>
          <cell r="AJ97">
            <v>1.7454999999999998E-2</v>
          </cell>
          <cell r="AK97">
            <v>2.2735999999999999E-2</v>
          </cell>
          <cell r="AL97">
            <v>2.053E-2</v>
          </cell>
          <cell r="AM97">
            <v>6.0720999999999997E-2</v>
          </cell>
          <cell r="AN97">
            <v>2.2860999999999999E-2</v>
          </cell>
          <cell r="AO97">
            <v>4.5020999999999999E-2</v>
          </cell>
          <cell r="AP97">
            <v>6.1702E-2</v>
          </cell>
          <cell r="AQ97">
            <v>0.129584</v>
          </cell>
          <cell r="AR97">
            <v>3.8020999999999999E-2</v>
          </cell>
          <cell r="AS97">
            <v>3.9615999999999998E-2</v>
          </cell>
          <cell r="AT97">
            <v>9.0216000000000005E-2</v>
          </cell>
          <cell r="AU97">
            <v>0.167853</v>
          </cell>
          <cell r="AV97">
            <v>0.12631800000000001</v>
          </cell>
          <cell r="AW97">
            <v>0.14826600000000001</v>
          </cell>
          <cell r="AX97">
            <v>0.11297500000000001</v>
          </cell>
          <cell r="AY97">
            <v>0.38755899999999999</v>
          </cell>
          <cell r="AZ97">
            <v>6.3562999999999995E-2</v>
          </cell>
          <cell r="BA97">
            <v>4.7406999999999998E-2</v>
          </cell>
          <cell r="BB97">
            <v>5.9285999999999998E-2</v>
          </cell>
          <cell r="BC97">
            <v>0.17025599999999999</v>
          </cell>
          <cell r="BD97">
            <v>5.0844E-2</v>
          </cell>
          <cell r="BE97">
            <v>4.743E-2</v>
          </cell>
          <cell r="BF97">
            <v>6.7279000000000005E-2</v>
          </cell>
          <cell r="BG97">
            <v>0.16555300000000001</v>
          </cell>
          <cell r="BH97">
            <v>5.8125000000000003E-2</v>
          </cell>
          <cell r="BI97">
            <v>4.3959999999999999E-2</v>
          </cell>
          <cell r="BJ97">
            <v>4.1722000000000002E-2</v>
          </cell>
          <cell r="BK97">
            <v>0.14380700000000002</v>
          </cell>
          <cell r="BL97">
            <v>3.1675000000000002E-2</v>
          </cell>
          <cell r="BM97">
            <v>3.2280000000000003E-2</v>
          </cell>
        </row>
        <row r="98">
          <cell r="A98" t="str">
            <v xml:space="preserve">  % Change</v>
          </cell>
          <cell r="AU98">
            <v>0</v>
          </cell>
          <cell r="AY98">
            <v>0</v>
          </cell>
          <cell r="AZ98">
            <v>2.6415353766828988</v>
          </cell>
          <cell r="BA98">
            <v>1.0851073187895848</v>
          </cell>
          <cell r="BB98">
            <v>1.8877739892839744</v>
          </cell>
          <cell r="BC98">
            <v>1.8039063915284661</v>
          </cell>
          <cell r="BD98">
            <v>1.2240496916145402</v>
          </cell>
          <cell r="BE98">
            <v>5.3508362764043582E-2</v>
          </cell>
          <cell r="BF98">
            <v>9.0386049074584474E-2</v>
          </cell>
          <cell r="BG98">
            <v>0.27757284849981478</v>
          </cell>
          <cell r="BH98">
            <v>0.52876042187212335</v>
          </cell>
          <cell r="BI98">
            <v>0.1096526655896608</v>
          </cell>
          <cell r="BJ98">
            <v>-0.53753214507404445</v>
          </cell>
          <cell r="BK98">
            <v>-0.14325630164489156</v>
          </cell>
          <cell r="BL98">
            <v>-0.74924397156383105</v>
          </cell>
          <cell r="BM98">
            <v>-0.78228319371939625</v>
          </cell>
        </row>
        <row r="100">
          <cell r="A100" t="str">
            <v>LESSINA 28</v>
          </cell>
        </row>
        <row r="101">
          <cell r="A101" t="str">
            <v>TRx</v>
          </cell>
          <cell r="AB101">
            <v>8</v>
          </cell>
          <cell r="AC101">
            <v>5363</v>
          </cell>
          <cell r="AD101">
            <v>16191</v>
          </cell>
          <cell r="AE101">
            <v>21562</v>
          </cell>
          <cell r="AF101">
            <v>16800</v>
          </cell>
          <cell r="AG101">
            <v>18146</v>
          </cell>
          <cell r="AH101">
            <v>21876</v>
          </cell>
          <cell r="AI101">
            <v>56822</v>
          </cell>
          <cell r="AJ101">
            <v>30602</v>
          </cell>
          <cell r="AK101">
            <v>34753</v>
          </cell>
          <cell r="AL101">
            <v>41741</v>
          </cell>
          <cell r="AM101">
            <v>107096</v>
          </cell>
          <cell r="AN101">
            <v>44261</v>
          </cell>
          <cell r="AO101">
            <v>41223</v>
          </cell>
          <cell r="AP101">
            <v>47542</v>
          </cell>
          <cell r="AQ101">
            <v>133026</v>
          </cell>
          <cell r="AR101">
            <v>45094</v>
          </cell>
          <cell r="AS101">
            <v>47901</v>
          </cell>
          <cell r="AT101">
            <v>48501</v>
          </cell>
          <cell r="AU101">
            <v>141496</v>
          </cell>
          <cell r="AV101">
            <v>49989</v>
          </cell>
          <cell r="AW101">
            <v>51395</v>
          </cell>
          <cell r="AX101">
            <v>50647</v>
          </cell>
          <cell r="AY101">
            <v>152031</v>
          </cell>
          <cell r="AZ101">
            <v>52454</v>
          </cell>
          <cell r="BA101">
            <v>50612</v>
          </cell>
          <cell r="BB101">
            <v>53502</v>
          </cell>
          <cell r="BC101">
            <v>156568</v>
          </cell>
          <cell r="BD101">
            <v>54145</v>
          </cell>
          <cell r="BE101">
            <v>50654</v>
          </cell>
          <cell r="BF101">
            <v>54716</v>
          </cell>
          <cell r="BG101">
            <v>159515</v>
          </cell>
          <cell r="BH101">
            <v>52699</v>
          </cell>
          <cell r="BI101">
            <v>52967</v>
          </cell>
          <cell r="BJ101">
            <v>53540</v>
          </cell>
          <cell r="BK101">
            <v>159206</v>
          </cell>
          <cell r="BL101">
            <v>53896</v>
          </cell>
          <cell r="BM101">
            <v>54974</v>
          </cell>
          <cell r="BN101">
            <v>53249</v>
          </cell>
          <cell r="BO101">
            <v>162119</v>
          </cell>
        </row>
        <row r="102">
          <cell r="A102" t="str">
            <v xml:space="preserve">  % Change</v>
          </cell>
          <cell r="AT102">
            <v>7.9317546149543166</v>
          </cell>
          <cell r="AU102">
            <v>0</v>
          </cell>
          <cell r="AV102">
            <v>1.9755357142857144</v>
          </cell>
          <cell r="AW102">
            <v>1.8323046401410781</v>
          </cell>
          <cell r="AX102">
            <v>1.3151855915158164</v>
          </cell>
          <cell r="AY102">
            <v>1.6755658019781072</v>
          </cell>
          <cell r="AZ102">
            <v>0.71407097575321865</v>
          </cell>
          <cell r="BA102">
            <v>0.45633470491756101</v>
          </cell>
          <cell r="BB102">
            <v>0.28176133777341228</v>
          </cell>
          <cell r="BC102">
            <v>0.46194068872787031</v>
          </cell>
          <cell r="BD102">
            <v>0.2233117191206706</v>
          </cell>
          <cell r="BE102">
            <v>0.22878004997210288</v>
          </cell>
          <cell r="BF102">
            <v>0.15089815321189692</v>
          </cell>
          <cell r="BG102">
            <v>0.19912648655150123</v>
          </cell>
          <cell r="BH102">
            <v>0.16864771366478903</v>
          </cell>
          <cell r="BI102">
            <v>0.10575979624642495</v>
          </cell>
          <cell r="BJ102">
            <v>0.10389476505639061</v>
          </cell>
          <cell r="BK102">
            <v>0.12516254876462929</v>
          </cell>
          <cell r="BL102">
            <v>7.815719458280812E-2</v>
          </cell>
          <cell r="BM102">
            <v>6.9637124233874914E-2</v>
          </cell>
          <cell r="BN102">
            <v>5.1375204849250622E-2</v>
          </cell>
          <cell r="BO102">
            <v>6.6354888147811986E-2</v>
          </cell>
        </row>
        <row r="103">
          <cell r="A103" t="str">
            <v>NRx</v>
          </cell>
          <cell r="AB103">
            <v>8</v>
          </cell>
          <cell r="AC103">
            <v>4038</v>
          </cell>
          <cell r="AD103">
            <v>8703</v>
          </cell>
          <cell r="AE103">
            <v>12749</v>
          </cell>
          <cell r="AF103">
            <v>6042</v>
          </cell>
          <cell r="AG103">
            <v>6149</v>
          </cell>
          <cell r="AH103">
            <v>7645</v>
          </cell>
          <cell r="AI103">
            <v>19836</v>
          </cell>
          <cell r="AJ103">
            <v>10376</v>
          </cell>
          <cell r="AK103">
            <v>10716</v>
          </cell>
          <cell r="AL103">
            <v>12171</v>
          </cell>
          <cell r="AM103">
            <v>33263</v>
          </cell>
          <cell r="AN103">
            <v>12883</v>
          </cell>
          <cell r="AO103">
            <v>10801</v>
          </cell>
          <cell r="AP103">
            <v>11612</v>
          </cell>
          <cell r="AQ103">
            <v>35296</v>
          </cell>
          <cell r="AR103">
            <v>11143</v>
          </cell>
          <cell r="AS103">
            <v>12344</v>
          </cell>
          <cell r="AT103">
            <v>13161</v>
          </cell>
          <cell r="AU103">
            <v>36648</v>
          </cell>
          <cell r="AV103">
            <v>13734</v>
          </cell>
          <cell r="AW103">
            <v>14085</v>
          </cell>
          <cell r="AX103">
            <v>14083</v>
          </cell>
          <cell r="AY103">
            <v>41902</v>
          </cell>
          <cell r="AZ103">
            <v>14607</v>
          </cell>
          <cell r="BA103">
            <v>12743</v>
          </cell>
          <cell r="BB103">
            <v>13289</v>
          </cell>
          <cell r="BC103">
            <v>40639</v>
          </cell>
          <cell r="BD103">
            <v>14225</v>
          </cell>
          <cell r="BE103">
            <v>13303</v>
          </cell>
          <cell r="BF103">
            <v>13895</v>
          </cell>
          <cell r="BG103">
            <v>41423</v>
          </cell>
          <cell r="BH103">
            <v>13039</v>
          </cell>
          <cell r="BI103">
            <v>13449</v>
          </cell>
          <cell r="BJ103">
            <v>14206</v>
          </cell>
          <cell r="BK103">
            <v>40694</v>
          </cell>
          <cell r="BL103">
            <v>14180</v>
          </cell>
          <cell r="BM103">
            <v>15169</v>
          </cell>
          <cell r="BN103">
            <v>14509</v>
          </cell>
          <cell r="BO103">
            <v>43858</v>
          </cell>
        </row>
        <row r="104">
          <cell r="A104" t="str">
            <v xml:space="preserve">  % Change</v>
          </cell>
          <cell r="AT104">
            <v>2.056958890539871</v>
          </cell>
          <cell r="AU104">
            <v>1.8745783983057493</v>
          </cell>
          <cell r="AV104">
            <v>1.2730883813306852</v>
          </cell>
          <cell r="AW104">
            <v>1.2906163603838023</v>
          </cell>
          <cell r="AX104">
            <v>0.84211903204708971</v>
          </cell>
          <cell r="AY104">
            <v>1.1124218592458157</v>
          </cell>
          <cell r="AZ104">
            <v>0.40776792598303779</v>
          </cell>
          <cell r="BA104">
            <v>0.18915640164240388</v>
          </cell>
          <cell r="BB104">
            <v>9.1857694519760003E-2</v>
          </cell>
          <cell r="BC104">
            <v>0.22174788804377243</v>
          </cell>
          <cell r="BD104">
            <v>0.10416828378483278</v>
          </cell>
          <cell r="BE104">
            <v>0.2316452180353672</v>
          </cell>
          <cell r="BF104">
            <v>0.19660695831898045</v>
          </cell>
          <cell r="BG104">
            <v>0.1735890752493201</v>
          </cell>
          <cell r="BH104">
            <v>0.17015166472224719</v>
          </cell>
          <cell r="BI104">
            <v>8.9517174335709715E-2</v>
          </cell>
          <cell r="BJ104">
            <v>7.9401261302332715E-2</v>
          </cell>
          <cell r="BK104">
            <v>0.11040165902641341</v>
          </cell>
          <cell r="BL104">
            <v>3.2474151740206736E-2</v>
          </cell>
          <cell r="BM104">
            <v>7.6961306354277559E-2</v>
          </cell>
          <cell r="BN104">
            <v>3.0249236668323576E-2</v>
          </cell>
          <cell r="BO104">
            <v>4.6680349386664099E-2</v>
          </cell>
        </row>
        <row r="105">
          <cell r="A105" t="str">
            <v>Sales (IMS)</v>
          </cell>
          <cell r="AB105">
            <v>0.20318600000000001</v>
          </cell>
          <cell r="AC105">
            <v>0.64241199999999998</v>
          </cell>
          <cell r="AD105">
            <v>0.63244</v>
          </cell>
          <cell r="AE105">
            <v>1.4780380000000002</v>
          </cell>
          <cell r="AF105">
            <v>0.36415700000000001</v>
          </cell>
          <cell r="AG105">
            <v>0.43712099999999998</v>
          </cell>
          <cell r="AH105">
            <v>0.628251</v>
          </cell>
          <cell r="AI105">
            <v>1.429529</v>
          </cell>
          <cell r="AJ105">
            <v>0.67868700000000004</v>
          </cell>
          <cell r="AK105">
            <v>0.72958000000000001</v>
          </cell>
          <cell r="AL105">
            <v>1.1484030000000001</v>
          </cell>
          <cell r="AM105">
            <v>2.55667</v>
          </cell>
          <cell r="AN105">
            <v>0.90575000000000006</v>
          </cell>
          <cell r="AO105">
            <v>0.94513000000000003</v>
          </cell>
          <cell r="AP105">
            <v>1.179173</v>
          </cell>
          <cell r="AQ105">
            <v>3.0300530000000006</v>
          </cell>
          <cell r="AR105">
            <v>0.92979800000000001</v>
          </cell>
          <cell r="AS105">
            <v>0.96876200000000001</v>
          </cell>
          <cell r="AT105">
            <v>1.494221</v>
          </cell>
          <cell r="AU105">
            <v>3.3927809999999998</v>
          </cell>
          <cell r="AV105">
            <v>1.0374680000000001</v>
          </cell>
          <cell r="AW105">
            <v>1.0639320000000001</v>
          </cell>
          <cell r="AX105">
            <v>1.2920670000000001</v>
          </cell>
          <cell r="AY105">
            <v>3.3934670000000002</v>
          </cell>
          <cell r="AZ105">
            <v>1.2920670000000001</v>
          </cell>
          <cell r="BA105">
            <v>1.152155</v>
          </cell>
          <cell r="BB105">
            <v>1.1050450000000001</v>
          </cell>
          <cell r="BC105">
            <v>3.5492670000000004</v>
          </cell>
          <cell r="BD105">
            <v>1.1842220000000001</v>
          </cell>
          <cell r="BE105">
            <v>1.2134609999999999</v>
          </cell>
          <cell r="BF105">
            <v>1.5883039999999999</v>
          </cell>
          <cell r="BG105">
            <v>3.9859869999999997</v>
          </cell>
          <cell r="BH105">
            <v>1.2931870000000001</v>
          </cell>
          <cell r="BI105">
            <v>1.246596</v>
          </cell>
          <cell r="BJ105">
            <v>1.5478229999999999</v>
          </cell>
          <cell r="BK105">
            <v>4.0876060000000001</v>
          </cell>
          <cell r="BL105">
            <v>1.311329</v>
          </cell>
          <cell r="BM105">
            <v>1.311296</v>
          </cell>
        </row>
        <row r="106">
          <cell r="A106" t="str">
            <v xml:space="preserve">  % Change</v>
          </cell>
          <cell r="AT106">
            <v>0.50800732240369117</v>
          </cell>
          <cell r="AU106">
            <v>1.2954626335723436</v>
          </cell>
          <cell r="AV106">
            <v>1.8489580043772329</v>
          </cell>
          <cell r="AW106">
            <v>1.4339530702025303</v>
          </cell>
          <cell r="AX106">
            <v>1.0566095398176842</v>
          </cell>
          <cell r="AY106">
            <v>1.3738357179182796</v>
          </cell>
          <cell r="AZ106">
            <v>0.90377449398618204</v>
          </cell>
          <cell r="BA106">
            <v>0.57920310315524004</v>
          </cell>
          <cell r="BB106">
            <v>-3.7755038954095377E-2</v>
          </cell>
          <cell r="BC106">
            <v>0.38823821611705878</v>
          </cell>
          <cell r="BD106">
            <v>0.30744907535191834</v>
          </cell>
          <cell r="BE106">
            <v>0.28390909187095947</v>
          </cell>
          <cell r="BF106">
            <v>0.34696435552713623</v>
          </cell>
          <cell r="BG106">
            <v>0.3154842506055171</v>
          </cell>
          <cell r="BH106">
            <v>0.39082574924876168</v>
          </cell>
          <cell r="BI106">
            <v>0.28679283456617832</v>
          </cell>
          <cell r="BJ106">
            <v>3.5872872888280893E-2</v>
          </cell>
          <cell r="BK106">
            <v>0.20479512234948261</v>
          </cell>
          <cell r="BL106">
            <v>0.26397055138086167</v>
          </cell>
          <cell r="BM106">
            <v>0.23249982141715808</v>
          </cell>
        </row>
        <row r="108">
          <cell r="A108" t="str">
            <v>ERRIN-28</v>
          </cell>
        </row>
        <row r="109">
          <cell r="A109" t="str">
            <v>TRx</v>
          </cell>
          <cell r="AL109">
            <v>15</v>
          </cell>
          <cell r="AM109">
            <v>15</v>
          </cell>
          <cell r="AN109">
            <v>4281</v>
          </cell>
          <cell r="AO109">
            <v>13662</v>
          </cell>
          <cell r="AP109">
            <v>24325</v>
          </cell>
          <cell r="AQ109">
            <v>42268</v>
          </cell>
          <cell r="AR109">
            <v>30109</v>
          </cell>
          <cell r="AS109">
            <v>37124</v>
          </cell>
          <cell r="AT109">
            <v>41598</v>
          </cell>
          <cell r="AU109">
            <v>108831</v>
          </cell>
          <cell r="AV109">
            <v>45110</v>
          </cell>
          <cell r="AW109">
            <v>45949</v>
          </cell>
          <cell r="AX109">
            <v>47089</v>
          </cell>
          <cell r="AY109">
            <v>138148</v>
          </cell>
          <cell r="AZ109">
            <v>50222</v>
          </cell>
          <cell r="BA109">
            <v>49751</v>
          </cell>
          <cell r="BB109">
            <v>53588</v>
          </cell>
          <cell r="BC109">
            <v>153561</v>
          </cell>
          <cell r="BD109">
            <v>55065</v>
          </cell>
          <cell r="BE109">
            <v>53413</v>
          </cell>
          <cell r="BF109">
            <v>59541</v>
          </cell>
          <cell r="BG109">
            <v>168019</v>
          </cell>
          <cell r="BH109">
            <v>59339</v>
          </cell>
          <cell r="BI109">
            <v>61228</v>
          </cell>
          <cell r="BJ109">
            <v>63744</v>
          </cell>
          <cell r="BK109">
            <v>184311</v>
          </cell>
          <cell r="BL109">
            <v>65667</v>
          </cell>
          <cell r="BM109">
            <v>67929</v>
          </cell>
          <cell r="BN109">
            <v>66168</v>
          </cell>
          <cell r="BO109">
            <v>199764</v>
          </cell>
        </row>
        <row r="110">
          <cell r="A110" t="str">
            <v xml:space="preserve">  % Change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2.9096032791684965</v>
          </cell>
          <cell r="BF110">
            <v>1.4477286742034945</v>
          </cell>
          <cell r="BG110">
            <v>2.9750875366707676</v>
          </cell>
          <cell r="BH110">
            <v>0.9708060712743698</v>
          </cell>
          <cell r="BI110">
            <v>0.64928348238336375</v>
          </cell>
          <cell r="BJ110">
            <v>0.53238136448867723</v>
          </cell>
          <cell r="BK110">
            <v>0.69355238856575796</v>
          </cell>
          <cell r="BL110">
            <v>0.45570826867656833</v>
          </cell>
          <cell r="BM110">
            <v>0.47835643866025368</v>
          </cell>
          <cell r="BN110">
            <v>0.40516893542016175</v>
          </cell>
          <cell r="BO110">
            <v>0.44601441931841213</v>
          </cell>
        </row>
        <row r="111">
          <cell r="A111" t="str">
            <v>NRx</v>
          </cell>
          <cell r="AL111">
            <v>13</v>
          </cell>
          <cell r="AM111">
            <v>13</v>
          </cell>
          <cell r="AN111">
            <v>3835</v>
          </cell>
          <cell r="AO111">
            <v>10639</v>
          </cell>
          <cell r="AP111">
            <v>14731</v>
          </cell>
          <cell r="AQ111">
            <v>29205</v>
          </cell>
          <cell r="AR111">
            <v>16221</v>
          </cell>
          <cell r="AS111">
            <v>17750</v>
          </cell>
          <cell r="AT111">
            <v>18914</v>
          </cell>
          <cell r="AU111">
            <v>52885</v>
          </cell>
          <cell r="AV111">
            <v>18898</v>
          </cell>
          <cell r="AW111">
            <v>18481</v>
          </cell>
          <cell r="AX111">
            <v>18944</v>
          </cell>
          <cell r="AY111">
            <v>56323</v>
          </cell>
          <cell r="AZ111">
            <v>19877</v>
          </cell>
          <cell r="BA111">
            <v>18473</v>
          </cell>
          <cell r="BB111">
            <v>19257</v>
          </cell>
          <cell r="BC111">
            <v>57607</v>
          </cell>
          <cell r="BD111">
            <v>20399</v>
          </cell>
          <cell r="BE111">
            <v>19585</v>
          </cell>
          <cell r="BF111">
            <v>22134</v>
          </cell>
          <cell r="BG111">
            <v>62118</v>
          </cell>
          <cell r="BH111">
            <v>21891</v>
          </cell>
          <cell r="BI111">
            <v>22093</v>
          </cell>
          <cell r="BJ111">
            <v>23225</v>
          </cell>
          <cell r="BK111">
            <v>67209</v>
          </cell>
          <cell r="BL111">
            <v>23955</v>
          </cell>
          <cell r="BM111">
            <v>24737</v>
          </cell>
          <cell r="BN111">
            <v>23981</v>
          </cell>
          <cell r="BO111">
            <v>72673</v>
          </cell>
        </row>
        <row r="112">
          <cell r="A112" t="str">
            <v xml:space="preserve">  % Change</v>
          </cell>
          <cell r="AU112">
            <v>0</v>
          </cell>
          <cell r="AV112" t="e">
            <v>#DIV/0!</v>
          </cell>
          <cell r="AW112" t="e">
            <v>#DIV/0!</v>
          </cell>
          <cell r="AX112" t="e">
            <v>#DIV/0!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4.3191655801825295</v>
          </cell>
          <cell r="BE112">
            <v>0.84086850267882318</v>
          </cell>
          <cell r="BF112">
            <v>0.50254565202633894</v>
          </cell>
          <cell r="BG112">
            <v>1.126964560862866</v>
          </cell>
          <cell r="BH112">
            <v>0.34954688366931763</v>
          </cell>
          <cell r="BI112">
            <v>0.24467605633802814</v>
          </cell>
          <cell r="BJ112">
            <v>0.2279264037221107</v>
          </cell>
          <cell r="BK112">
            <v>0.27085184835019382</v>
          </cell>
          <cell r="BL112">
            <v>0.26759445443962315</v>
          </cell>
          <cell r="BM112">
            <v>0.33850982089713755</v>
          </cell>
          <cell r="BN112">
            <v>0.26588893581081074</v>
          </cell>
          <cell r="BO112">
            <v>0.29028993484011867</v>
          </cell>
        </row>
        <row r="113">
          <cell r="A113" t="str">
            <v>Sales (IMS)</v>
          </cell>
          <cell r="AN113">
            <v>1.020742</v>
          </cell>
          <cell r="AO113">
            <v>0.65718399999999999</v>
          </cell>
          <cell r="AP113">
            <v>0.95552899999999996</v>
          </cell>
          <cell r="AQ113">
            <v>2.6334549999999997</v>
          </cell>
          <cell r="AR113">
            <v>0.85057300000000002</v>
          </cell>
          <cell r="AS113">
            <v>0.911246</v>
          </cell>
          <cell r="AT113">
            <v>1.3795519999999999</v>
          </cell>
          <cell r="AU113">
            <v>3.1413709999999995</v>
          </cell>
          <cell r="AV113">
            <v>0.90211200000000002</v>
          </cell>
          <cell r="AW113">
            <v>0.97127200000000002</v>
          </cell>
          <cell r="AX113">
            <v>1.2544420000000001</v>
          </cell>
          <cell r="AY113">
            <v>3.1278259999999998</v>
          </cell>
          <cell r="AZ113">
            <v>1.0620940000000001</v>
          </cell>
          <cell r="BA113">
            <v>1.117489</v>
          </cell>
          <cell r="BB113">
            <v>1.345404</v>
          </cell>
          <cell r="BC113">
            <v>3.5249870000000003</v>
          </cell>
          <cell r="BD113">
            <v>1.1560239999999999</v>
          </cell>
          <cell r="BE113">
            <v>1.215822</v>
          </cell>
          <cell r="BF113">
            <v>1.5501659999999999</v>
          </cell>
          <cell r="BG113">
            <v>3.9220120000000001</v>
          </cell>
          <cell r="BH113">
            <v>1.2646729999999999</v>
          </cell>
          <cell r="BI113">
            <v>1.3407789999999999</v>
          </cell>
          <cell r="BJ113">
            <v>1.655038</v>
          </cell>
          <cell r="BK113">
            <v>4.2604899999999999</v>
          </cell>
          <cell r="BL113">
            <v>1.350052</v>
          </cell>
          <cell r="BM113">
            <v>1.366941</v>
          </cell>
        </row>
        <row r="114">
          <cell r="A114" t="str">
            <v xml:space="preserve">  % Change</v>
          </cell>
          <cell r="AU114">
            <v>0</v>
          </cell>
          <cell r="AV114" t="e">
            <v>#DIV/0!</v>
          </cell>
          <cell r="AW114" t="e">
            <v>#DIV/0!</v>
          </cell>
          <cell r="AX114" t="e">
            <v>#DIV/0!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0.13253300050355521</v>
          </cell>
          <cell r="BE114">
            <v>0.85004808394604847</v>
          </cell>
          <cell r="BF114">
            <v>0.62231182936363005</v>
          </cell>
          <cell r="BG114">
            <v>0.4893028360082099</v>
          </cell>
          <cell r="BH114">
            <v>0.48684827757288307</v>
          </cell>
          <cell r="BI114">
            <v>0.47136887294978513</v>
          </cell>
          <cell r="BJ114">
            <v>0.19969236389784517</v>
          </cell>
          <cell r="BK114">
            <v>0.35625177669240626</v>
          </cell>
          <cell r="BL114">
            <v>0.49654588343797657</v>
          </cell>
          <cell r="BM114">
            <v>0.40737198230773664</v>
          </cell>
        </row>
        <row r="116">
          <cell r="A116" t="str">
            <v>CRYSELLE-28</v>
          </cell>
        </row>
        <row r="117">
          <cell r="A117" t="str">
            <v>TRx</v>
          </cell>
          <cell r="AG117">
            <v>101</v>
          </cell>
          <cell r="AH117">
            <v>6980</v>
          </cell>
          <cell r="AI117">
            <v>7081</v>
          </cell>
          <cell r="AJ117">
            <v>19084</v>
          </cell>
          <cell r="AK117">
            <v>25337</v>
          </cell>
          <cell r="AL117">
            <v>30660</v>
          </cell>
          <cell r="AM117">
            <v>75081</v>
          </cell>
          <cell r="AN117">
            <v>33840</v>
          </cell>
          <cell r="AO117">
            <v>38253</v>
          </cell>
          <cell r="AP117">
            <v>56846</v>
          </cell>
          <cell r="AQ117">
            <v>128939</v>
          </cell>
          <cell r="AR117">
            <v>60567</v>
          </cell>
          <cell r="AS117">
            <v>67909</v>
          </cell>
          <cell r="AT117">
            <v>69972</v>
          </cell>
          <cell r="AU117">
            <v>198448</v>
          </cell>
          <cell r="AV117">
            <v>73294</v>
          </cell>
          <cell r="AW117">
            <v>76861</v>
          </cell>
          <cell r="AX117">
            <v>75843</v>
          </cell>
          <cell r="AY117">
            <v>225998</v>
          </cell>
          <cell r="AZ117">
            <v>77743</v>
          </cell>
          <cell r="BA117">
            <v>75929</v>
          </cell>
          <cell r="BB117">
            <v>79606</v>
          </cell>
          <cell r="BC117">
            <v>233278</v>
          </cell>
          <cell r="BD117">
            <v>78843</v>
          </cell>
          <cell r="BE117">
            <v>73538</v>
          </cell>
          <cell r="BF117">
            <v>79267</v>
          </cell>
          <cell r="BG117">
            <v>231648</v>
          </cell>
          <cell r="BH117">
            <v>76494</v>
          </cell>
          <cell r="BI117">
            <v>77510</v>
          </cell>
          <cell r="BJ117">
            <v>78792</v>
          </cell>
          <cell r="BK117">
            <v>232796</v>
          </cell>
          <cell r="BL117">
            <v>79260</v>
          </cell>
          <cell r="BM117">
            <v>80178</v>
          </cell>
          <cell r="BN117">
            <v>80128</v>
          </cell>
          <cell r="BO117">
            <v>239566</v>
          </cell>
        </row>
        <row r="118">
          <cell r="A118" t="str">
            <v xml:space="preserve">  % Change</v>
          </cell>
          <cell r="AU118">
            <v>0</v>
          </cell>
          <cell r="AX118">
            <v>9.8657593123209164</v>
          </cell>
          <cell r="AY118">
            <v>0</v>
          </cell>
          <cell r="AZ118">
            <v>3.073726682037309</v>
          </cell>
          <cell r="BA118">
            <v>1.9967636263172435</v>
          </cell>
          <cell r="BB118">
            <v>1.5964122635355511</v>
          </cell>
          <cell r="BC118">
            <v>2.107017754158842</v>
          </cell>
          <cell r="BD118">
            <v>1.3298758865248228</v>
          </cell>
          <cell r="BE118">
            <v>0.92241131414529587</v>
          </cell>
          <cell r="BF118">
            <v>0.39441649368469189</v>
          </cell>
          <cell r="BG118">
            <v>0.79657047130813785</v>
          </cell>
          <cell r="BH118">
            <v>0.26296498093020948</v>
          </cell>
          <cell r="BI118">
            <v>0.1413803766805577</v>
          </cell>
          <cell r="BJ118">
            <v>0.12605042016806722</v>
          </cell>
          <cell r="BK118">
            <v>0.17308312505039103</v>
          </cell>
          <cell r="BL118">
            <v>8.1398204491500037E-2</v>
          </cell>
          <cell r="BM118">
            <v>4.3155826752188986E-2</v>
          </cell>
          <cell r="BN118">
            <v>5.6498292525348326E-2</v>
          </cell>
          <cell r="BO118">
            <v>6.0035929521500275E-2</v>
          </cell>
        </row>
        <row r="119">
          <cell r="A119" t="str">
            <v>NRx</v>
          </cell>
          <cell r="AG119">
            <v>41</v>
          </cell>
          <cell r="AH119">
            <v>2603</v>
          </cell>
          <cell r="AI119">
            <v>2644</v>
          </cell>
          <cell r="AJ119">
            <v>6326</v>
          </cell>
          <cell r="AK119">
            <v>7057</v>
          </cell>
          <cell r="AL119">
            <v>8259</v>
          </cell>
          <cell r="AM119">
            <v>21642</v>
          </cell>
          <cell r="AN119">
            <v>9644</v>
          </cell>
          <cell r="AO119">
            <v>11106</v>
          </cell>
          <cell r="AP119">
            <v>15379</v>
          </cell>
          <cell r="AQ119">
            <v>36129</v>
          </cell>
          <cell r="AR119">
            <v>15620</v>
          </cell>
          <cell r="AS119">
            <v>17478</v>
          </cell>
          <cell r="AT119">
            <v>17780</v>
          </cell>
          <cell r="AU119">
            <v>50878</v>
          </cell>
          <cell r="AV119">
            <v>18611</v>
          </cell>
          <cell r="AW119">
            <v>19215</v>
          </cell>
          <cell r="AX119">
            <v>18899</v>
          </cell>
          <cell r="AY119">
            <v>56725</v>
          </cell>
          <cell r="AZ119">
            <v>18708</v>
          </cell>
          <cell r="BA119">
            <v>16995</v>
          </cell>
          <cell r="BB119">
            <v>18672</v>
          </cell>
          <cell r="BC119">
            <v>54375</v>
          </cell>
          <cell r="BD119">
            <v>18724</v>
          </cell>
          <cell r="BE119">
            <v>17304</v>
          </cell>
          <cell r="BF119">
            <v>19032</v>
          </cell>
          <cell r="BG119">
            <v>55060</v>
          </cell>
          <cell r="BH119">
            <v>17869</v>
          </cell>
          <cell r="BI119">
            <v>17734</v>
          </cell>
          <cell r="BJ119">
            <v>19052</v>
          </cell>
          <cell r="BK119">
            <v>54655</v>
          </cell>
          <cell r="BL119">
            <v>18884</v>
          </cell>
          <cell r="BM119">
            <v>19930</v>
          </cell>
          <cell r="BN119">
            <v>20355</v>
          </cell>
          <cell r="BO119">
            <v>59169</v>
          </cell>
        </row>
        <row r="120">
          <cell r="A120" t="str">
            <v xml:space="preserve">  % Change</v>
          </cell>
          <cell r="AU120">
            <v>0</v>
          </cell>
          <cell r="AX120">
            <v>6.2604686899731083</v>
          </cell>
          <cell r="AY120">
            <v>0</v>
          </cell>
          <cell r="AZ120">
            <v>1.9573190009484667</v>
          </cell>
          <cell r="BA120">
            <v>1.4082471305087148</v>
          </cell>
          <cell r="BB120">
            <v>1.2608063930257902</v>
          </cell>
          <cell r="BC120">
            <v>1.512475741613529</v>
          </cell>
          <cell r="BD120">
            <v>0.94151804230609715</v>
          </cell>
          <cell r="BE120">
            <v>0.55807671528903291</v>
          </cell>
          <cell r="BF120">
            <v>0.23753169907016058</v>
          </cell>
          <cell r="BG120">
            <v>0.52398350355669954</v>
          </cell>
          <cell r="BH120">
            <v>0.1439820742637643</v>
          </cell>
          <cell r="BI120">
            <v>1.4646984780867456E-2</v>
          </cell>
          <cell r="BJ120">
            <v>7.1541057367829008E-2</v>
          </cell>
          <cell r="BK120">
            <v>7.4236408663862496E-2</v>
          </cell>
          <cell r="BL120">
            <v>1.4668744291010727E-2</v>
          </cell>
          <cell r="BM120">
            <v>3.7210512620348579E-2</v>
          </cell>
          <cell r="BN120">
            <v>7.7041113286417273E-2</v>
          </cell>
          <cell r="BO120">
            <v>4.3085059497576017E-2</v>
          </cell>
        </row>
        <row r="121">
          <cell r="A121" t="str">
            <v>Sales (IMS)</v>
          </cell>
          <cell r="AG121">
            <v>4.0806000000000002E-2</v>
          </cell>
          <cell r="AH121">
            <v>0.73680400000000001</v>
          </cell>
          <cell r="AI121">
            <v>0.77761000000000002</v>
          </cell>
          <cell r="AJ121">
            <v>0.74086300000000005</v>
          </cell>
          <cell r="AK121">
            <v>0.68939399999999995</v>
          </cell>
          <cell r="AL121">
            <v>0.95747300000000002</v>
          </cell>
          <cell r="AM121">
            <v>2.3877299999999999</v>
          </cell>
          <cell r="AN121">
            <v>0.96891400000000005</v>
          </cell>
          <cell r="AO121">
            <v>1.3443499999999999</v>
          </cell>
          <cell r="AP121">
            <v>1.7409730000000001</v>
          </cell>
          <cell r="AQ121">
            <v>4.0542369999999996</v>
          </cell>
          <cell r="AR121">
            <v>1.4959960000000001</v>
          </cell>
          <cell r="AS121">
            <v>1.56351</v>
          </cell>
          <cell r="AT121">
            <v>2.0358139999999998</v>
          </cell>
          <cell r="AU121">
            <v>5.0953200000000001</v>
          </cell>
          <cell r="AV121">
            <v>1.6050230000000001</v>
          </cell>
          <cell r="AW121">
            <v>1.614873</v>
          </cell>
          <cell r="AX121">
            <v>1.9539059999999999</v>
          </cell>
          <cell r="AY121">
            <v>5.1738020000000002</v>
          </cell>
          <cell r="AZ121">
            <v>1.568462</v>
          </cell>
          <cell r="BA121">
            <v>1.5665089999999999</v>
          </cell>
          <cell r="BB121">
            <v>1.973895</v>
          </cell>
          <cell r="BC121">
            <v>5.1088659999999999</v>
          </cell>
          <cell r="BD121">
            <v>1.5911470000000001</v>
          </cell>
          <cell r="BE121">
            <v>1.6204229999999999</v>
          </cell>
          <cell r="BF121">
            <v>1.9825950000000001</v>
          </cell>
          <cell r="BG121">
            <v>5.1941649999999999</v>
          </cell>
          <cell r="BH121">
            <v>1.595936</v>
          </cell>
          <cell r="BI121">
            <v>1.65724</v>
          </cell>
          <cell r="BJ121">
            <v>2.0883989999999999</v>
          </cell>
          <cell r="BK121">
            <v>5.3415749999999997</v>
          </cell>
          <cell r="BL121">
            <v>1.665902</v>
          </cell>
          <cell r="BM121">
            <v>1.8145659999999999</v>
          </cell>
        </row>
        <row r="122">
          <cell r="A122" t="str">
            <v xml:space="preserve">  % Change</v>
          </cell>
          <cell r="AU122">
            <v>0</v>
          </cell>
          <cell r="AY122">
            <v>0</v>
          </cell>
          <cell r="AZ122">
            <v>1.117074276890599</v>
          </cell>
          <cell r="BA122">
            <v>1.2722985694682576</v>
          </cell>
          <cell r="BB122">
            <v>1.0615672713486437</v>
          </cell>
          <cell r="BC122">
            <v>1.1396330405866659</v>
          </cell>
          <cell r="BD122">
            <v>0.64219631463679949</v>
          </cell>
          <cell r="BE122">
            <v>0.20535797969278846</v>
          </cell>
          <cell r="BF122">
            <v>0.13878561011572255</v>
          </cell>
          <cell r="BG122">
            <v>0.28116955175536118</v>
          </cell>
          <cell r="BH122">
            <v>6.6804991457196428E-2</v>
          </cell>
          <cell r="BI122">
            <v>5.9948449322358099E-2</v>
          </cell>
          <cell r="BJ122">
            <v>2.5829962855152822E-2</v>
          </cell>
          <cell r="BK122">
            <v>4.8329643673017619E-2</v>
          </cell>
          <cell r="BL122">
            <v>3.7930297572059679E-2</v>
          </cell>
          <cell r="BM122">
            <v>0.12365864064852161</v>
          </cell>
        </row>
        <row r="124">
          <cell r="A124" t="str">
            <v xml:space="preserve">ENPRESSE </v>
          </cell>
        </row>
        <row r="125">
          <cell r="A125" t="str">
            <v>TRx</v>
          </cell>
          <cell r="AG125">
            <v>118</v>
          </cell>
          <cell r="AH125">
            <v>9729</v>
          </cell>
          <cell r="AI125">
            <v>9847</v>
          </cell>
          <cell r="AJ125">
            <v>24957</v>
          </cell>
          <cell r="AK125">
            <v>32492</v>
          </cell>
          <cell r="AL125">
            <v>37916</v>
          </cell>
          <cell r="AM125">
            <v>95365</v>
          </cell>
          <cell r="AN125">
            <v>41519</v>
          </cell>
          <cell r="AO125">
            <v>45207</v>
          </cell>
          <cell r="AP125">
            <v>65669</v>
          </cell>
          <cell r="AQ125">
            <v>152395</v>
          </cell>
          <cell r="AR125">
            <v>69283</v>
          </cell>
          <cell r="AS125">
            <v>75191</v>
          </cell>
          <cell r="AT125">
            <v>75971</v>
          </cell>
          <cell r="AU125">
            <v>220445</v>
          </cell>
          <cell r="AV125">
            <v>78019</v>
          </cell>
          <cell r="AW125">
            <v>81208</v>
          </cell>
          <cell r="AX125">
            <v>79018</v>
          </cell>
          <cell r="AY125">
            <v>238245</v>
          </cell>
          <cell r="AZ125">
            <v>80498</v>
          </cell>
          <cell r="BA125">
            <v>78524</v>
          </cell>
          <cell r="BB125">
            <v>82738</v>
          </cell>
          <cell r="BC125">
            <v>241760</v>
          </cell>
          <cell r="BD125">
            <v>83301</v>
          </cell>
          <cell r="BE125">
            <v>78398</v>
          </cell>
          <cell r="BF125">
            <v>84480</v>
          </cell>
          <cell r="BG125">
            <v>246179</v>
          </cell>
          <cell r="BH125">
            <v>80904</v>
          </cell>
          <cell r="BI125">
            <v>82071</v>
          </cell>
          <cell r="BJ125">
            <v>82669</v>
          </cell>
          <cell r="BK125">
            <v>245644</v>
          </cell>
          <cell r="BL125">
            <v>84008</v>
          </cell>
          <cell r="BM125">
            <v>86295</v>
          </cell>
          <cell r="BN125">
            <v>83547</v>
          </cell>
          <cell r="BO125">
            <v>253850</v>
          </cell>
        </row>
        <row r="126">
          <cell r="A126" t="str">
            <v xml:space="preserve">  % Change</v>
          </cell>
          <cell r="AU126">
            <v>0</v>
          </cell>
          <cell r="AX126">
            <v>7.1219035872134846</v>
          </cell>
          <cell r="AY126">
            <v>0</v>
          </cell>
          <cell r="AZ126">
            <v>2.2254678046239533</v>
          </cell>
          <cell r="BA126">
            <v>1.416717961344331</v>
          </cell>
          <cell r="BB126">
            <v>1.1821394661884166</v>
          </cell>
          <cell r="BC126">
            <v>1.5351019766161591</v>
          </cell>
          <cell r="BD126">
            <v>1.0063344492882775</v>
          </cell>
          <cell r="BE126">
            <v>0.73420045568164216</v>
          </cell>
          <cell r="BF126">
            <v>0.2864517504454156</v>
          </cell>
          <cell r="BG126">
            <v>0.61540076774172392</v>
          </cell>
          <cell r="BH126">
            <v>0.16773234415368843</v>
          </cell>
          <cell r="BI126">
            <v>9.150031253740476E-2</v>
          </cell>
          <cell r="BJ126">
            <v>8.8165220939569133E-2</v>
          </cell>
          <cell r="BK126">
            <v>0.1143096917598494</v>
          </cell>
          <cell r="BL126">
            <v>7.6763352516694638E-2</v>
          </cell>
          <cell r="BM126">
            <v>6.2641611663875496E-2</v>
          </cell>
          <cell r="BN126">
            <v>5.7316054569844788E-2</v>
          </cell>
          <cell r="BO126">
            <v>6.5499800625406612E-2</v>
          </cell>
        </row>
        <row r="127">
          <cell r="A127" t="str">
            <v>NRx</v>
          </cell>
          <cell r="AG127">
            <v>46</v>
          </cell>
          <cell r="AH127">
            <v>3113</v>
          </cell>
          <cell r="AI127">
            <v>3159</v>
          </cell>
          <cell r="AJ127">
            <v>7415</v>
          </cell>
          <cell r="AK127">
            <v>8262</v>
          </cell>
          <cell r="AL127">
            <v>9332</v>
          </cell>
          <cell r="AM127">
            <v>25009</v>
          </cell>
          <cell r="AN127">
            <v>11343</v>
          </cell>
          <cell r="AO127">
            <v>12141</v>
          </cell>
          <cell r="AP127">
            <v>16661</v>
          </cell>
          <cell r="AQ127">
            <v>40145</v>
          </cell>
          <cell r="AR127">
            <v>16466</v>
          </cell>
          <cell r="AS127">
            <v>18034</v>
          </cell>
          <cell r="AT127">
            <v>17508</v>
          </cell>
          <cell r="AU127">
            <v>52008</v>
          </cell>
          <cell r="AV127">
            <v>18778</v>
          </cell>
          <cell r="AW127">
            <v>18761</v>
          </cell>
          <cell r="AX127">
            <v>18016</v>
          </cell>
          <cell r="AY127">
            <v>55555</v>
          </cell>
          <cell r="AZ127">
            <v>17705</v>
          </cell>
          <cell r="BA127">
            <v>16066</v>
          </cell>
          <cell r="BB127">
            <v>17224</v>
          </cell>
          <cell r="BC127">
            <v>50995</v>
          </cell>
          <cell r="BD127">
            <v>18606</v>
          </cell>
          <cell r="BE127">
            <v>17104</v>
          </cell>
          <cell r="BF127">
            <v>18953</v>
          </cell>
          <cell r="BG127">
            <v>54663</v>
          </cell>
          <cell r="BH127">
            <v>17604</v>
          </cell>
          <cell r="BI127">
            <v>17446</v>
          </cell>
          <cell r="BJ127">
            <v>18271</v>
          </cell>
          <cell r="BK127">
            <v>53321</v>
          </cell>
          <cell r="BL127">
            <v>18892</v>
          </cell>
          <cell r="BM127">
            <v>19739</v>
          </cell>
          <cell r="BN127">
            <v>18600</v>
          </cell>
          <cell r="BO127">
            <v>57231</v>
          </cell>
        </row>
        <row r="128">
          <cell r="A128" t="str">
            <v xml:space="preserve">  % Change</v>
          </cell>
          <cell r="AU128">
            <v>0</v>
          </cell>
          <cell r="AX128">
            <v>4.7873433986508189</v>
          </cell>
          <cell r="AY128">
            <v>0</v>
          </cell>
          <cell r="AZ128">
            <v>1.3877275792312878</v>
          </cell>
          <cell r="BA128">
            <v>0.94456548051319289</v>
          </cell>
          <cell r="BB128">
            <v>0.84569224174882129</v>
          </cell>
          <cell r="BC128">
            <v>1.0390659362629453</v>
          </cell>
          <cell r="BD128">
            <v>0.64030679714361272</v>
          </cell>
          <cell r="BE128">
            <v>0.40878016637838721</v>
          </cell>
          <cell r="BF128">
            <v>0.137566772702719</v>
          </cell>
          <cell r="BG128">
            <v>0.36163905841325206</v>
          </cell>
          <cell r="BH128">
            <v>6.9112109802016208E-2</v>
          </cell>
          <cell r="BI128">
            <v>-3.2605079294665607E-2</v>
          </cell>
          <cell r="BJ128">
            <v>4.3580077678775364E-2</v>
          </cell>
          <cell r="BK128">
            <v>2.5246115982156647E-2</v>
          </cell>
          <cell r="BL128">
            <v>6.0709340717861604E-3</v>
          </cell>
          <cell r="BM128">
            <v>5.2129417408453671E-2</v>
          </cell>
          <cell r="BN128">
            <v>3.2415630550621577E-2</v>
          </cell>
          <cell r="BO128">
            <v>3.0168301683016763E-2</v>
          </cell>
        </row>
        <row r="129">
          <cell r="A129" t="str">
            <v>Sales (IMS)</v>
          </cell>
          <cell r="AF129">
            <v>9.7400000000000004E-4</v>
          </cell>
          <cell r="AG129">
            <v>1.4709E-2</v>
          </cell>
          <cell r="AH129">
            <v>0.81273499999999999</v>
          </cell>
          <cell r="AI129">
            <v>0.82841799999999999</v>
          </cell>
          <cell r="AJ129">
            <v>0.87272300000000003</v>
          </cell>
          <cell r="AK129">
            <v>0.75569799999999998</v>
          </cell>
          <cell r="AL129">
            <v>1.0505800000000001</v>
          </cell>
          <cell r="AM129">
            <v>2.679001</v>
          </cell>
          <cell r="AN129">
            <v>1.064897</v>
          </cell>
          <cell r="AO129">
            <v>1.508141</v>
          </cell>
          <cell r="AP129">
            <v>1.96759</v>
          </cell>
          <cell r="AQ129">
            <v>4.5406279999999999</v>
          </cell>
          <cell r="AR129">
            <v>1.4780180000000001</v>
          </cell>
          <cell r="AS129">
            <v>1.454583</v>
          </cell>
          <cell r="AT129">
            <v>1.9122710000000001</v>
          </cell>
          <cell r="AU129">
            <v>4.8448720000000005</v>
          </cell>
          <cell r="AV129">
            <v>1.52458</v>
          </cell>
          <cell r="AW129">
            <v>1.502534</v>
          </cell>
          <cell r="AX129">
            <v>1.7858609999999999</v>
          </cell>
          <cell r="AY129">
            <v>4.8129749999999998</v>
          </cell>
          <cell r="AZ129">
            <v>1.477398</v>
          </cell>
          <cell r="BA129">
            <v>1.4973650000000001</v>
          </cell>
          <cell r="BB129">
            <v>1.778313</v>
          </cell>
          <cell r="BC129">
            <v>4.7530760000000001</v>
          </cell>
          <cell r="BD129">
            <v>1.495339</v>
          </cell>
          <cell r="BE129">
            <v>1.50535</v>
          </cell>
          <cell r="BF129">
            <v>1.875723</v>
          </cell>
          <cell r="BG129">
            <v>4.8764120000000002</v>
          </cell>
          <cell r="BH129">
            <v>1.468027</v>
          </cell>
          <cell r="BI129">
            <v>1.545418</v>
          </cell>
          <cell r="BJ129">
            <v>1.9291229999999999</v>
          </cell>
          <cell r="BK129">
            <v>4.9425679999999996</v>
          </cell>
          <cell r="BL129">
            <v>1.7766439999999999</v>
          </cell>
          <cell r="BM129">
            <v>1.764432</v>
          </cell>
        </row>
        <row r="130">
          <cell r="A130" t="str">
            <v xml:space="preserve">  % Change</v>
          </cell>
          <cell r="AU130">
            <v>0</v>
          </cell>
          <cell r="AY130">
            <v>0</v>
          </cell>
          <cell r="AZ130">
            <v>0.69286016296121433</v>
          </cell>
          <cell r="BA130">
            <v>0.98143305923794966</v>
          </cell>
          <cell r="BB130">
            <v>0.69269641531344583</v>
          </cell>
          <cell r="BC130">
            <v>0.774197172752082</v>
          </cell>
          <cell r="BD130">
            <v>0.40420998462762125</v>
          </cell>
          <cell r="BE130">
            <v>-1.8506227202894632E-3</v>
          </cell>
          <cell r="BF130">
            <v>-4.6690113285796309E-2</v>
          </cell>
          <cell r="BG130">
            <v>7.3951004134229947E-2</v>
          </cell>
          <cell r="BH130">
            <v>-6.7597282306440798E-3</v>
          </cell>
          <cell r="BI130">
            <v>6.2447450575181973E-2</v>
          </cell>
          <cell r="BJ130">
            <v>8.8125584710534444E-3</v>
          </cell>
          <cell r="BK130">
            <v>2.0164825819959598E-2</v>
          </cell>
          <cell r="BL130">
            <v>0.16533340329795743</v>
          </cell>
          <cell r="BM130">
            <v>0.17430420875667374</v>
          </cell>
        </row>
        <row r="132">
          <cell r="A132" t="str">
            <v>PORTIA-28 BRR 072002</v>
          </cell>
        </row>
        <row r="133">
          <cell r="A133" t="str">
            <v>TRx</v>
          </cell>
          <cell r="AF133">
            <v>139</v>
          </cell>
          <cell r="AG133">
            <v>706</v>
          </cell>
          <cell r="AH133">
            <v>4101</v>
          </cell>
          <cell r="AI133">
            <v>4946</v>
          </cell>
          <cell r="AJ133">
            <v>8889</v>
          </cell>
          <cell r="AK133">
            <v>13039</v>
          </cell>
          <cell r="AL133">
            <v>15975</v>
          </cell>
          <cell r="AM133">
            <v>37903</v>
          </cell>
          <cell r="AN133">
            <v>18124</v>
          </cell>
          <cell r="AO133">
            <v>18170</v>
          </cell>
          <cell r="AP133">
            <v>24697</v>
          </cell>
          <cell r="AQ133">
            <v>60991</v>
          </cell>
          <cell r="AR133">
            <v>27298</v>
          </cell>
          <cell r="AS133">
            <v>30436</v>
          </cell>
          <cell r="AT133">
            <v>31989</v>
          </cell>
          <cell r="AU133">
            <v>89723</v>
          </cell>
          <cell r="AV133">
            <v>33324</v>
          </cell>
          <cell r="AW133">
            <v>34521</v>
          </cell>
          <cell r="AX133">
            <v>34969</v>
          </cell>
          <cell r="AY133">
            <v>102814</v>
          </cell>
          <cell r="AZ133">
            <v>36387</v>
          </cell>
          <cell r="BA133">
            <v>34580</v>
          </cell>
          <cell r="BB133">
            <v>36935</v>
          </cell>
          <cell r="BC133">
            <v>107902</v>
          </cell>
          <cell r="BD133">
            <v>37713</v>
          </cell>
          <cell r="BE133">
            <v>35478</v>
          </cell>
          <cell r="BF133">
            <v>38474</v>
          </cell>
          <cell r="BG133">
            <v>111665</v>
          </cell>
          <cell r="BH133">
            <v>37457</v>
          </cell>
          <cell r="BI133">
            <v>38325</v>
          </cell>
          <cell r="BJ133">
            <v>38973</v>
          </cell>
          <cell r="BK133">
            <v>114755</v>
          </cell>
          <cell r="BL133">
            <v>39127</v>
          </cell>
          <cell r="BM133">
            <v>39498</v>
          </cell>
          <cell r="BN133">
            <v>38077</v>
          </cell>
          <cell r="BO133">
            <v>116702</v>
          </cell>
        </row>
        <row r="134">
          <cell r="A134" t="str">
            <v xml:space="preserve">  % Change</v>
          </cell>
          <cell r="AU134">
            <v>0</v>
          </cell>
          <cell r="AV134">
            <v>238.74100719424462</v>
          </cell>
          <cell r="AW134">
            <v>47.896600566572239</v>
          </cell>
          <cell r="AX134">
            <v>7.526944647646916</v>
          </cell>
          <cell r="AY134">
            <v>0</v>
          </cell>
          <cell r="AZ134">
            <v>3.0934863314208574</v>
          </cell>
          <cell r="BA134">
            <v>1.6520438683948155</v>
          </cell>
          <cell r="BB134">
            <v>1.3120500782472613</v>
          </cell>
          <cell r="BC134">
            <v>1.8467931298314118</v>
          </cell>
          <cell r="BD134">
            <v>1.0808320459059808</v>
          </cell>
          <cell r="BE134">
            <v>0.95255916345624647</v>
          </cell>
          <cell r="BF134">
            <v>0.55784103332388546</v>
          </cell>
          <cell r="BG134">
            <v>0.83084389500090183</v>
          </cell>
          <cell r="BH134">
            <v>0.37215180599311304</v>
          </cell>
          <cell r="BI134">
            <v>0.25919963201471941</v>
          </cell>
          <cell r="BJ134">
            <v>0.21832504923567475</v>
          </cell>
          <cell r="BK134">
            <v>0.27899200873800467</v>
          </cell>
          <cell r="BL134">
            <v>0.17413875885247876</v>
          </cell>
          <cell r="BM134">
            <v>0.14417311201877125</v>
          </cell>
          <cell r="BN134">
            <v>8.8878721153021312E-2</v>
          </cell>
          <cell r="BO134">
            <v>0.13507888030812931</v>
          </cell>
        </row>
        <row r="135">
          <cell r="A135" t="str">
            <v>NRx</v>
          </cell>
          <cell r="AF135">
            <v>62</v>
          </cell>
          <cell r="AG135">
            <v>297</v>
          </cell>
          <cell r="AH135">
            <v>1366</v>
          </cell>
          <cell r="AI135">
            <v>1725</v>
          </cell>
          <cell r="AJ135">
            <v>2934</v>
          </cell>
          <cell r="AK135">
            <v>3836</v>
          </cell>
          <cell r="AL135">
            <v>4167</v>
          </cell>
          <cell r="AM135">
            <v>10937</v>
          </cell>
          <cell r="AN135">
            <v>5069</v>
          </cell>
          <cell r="AO135">
            <v>4968</v>
          </cell>
          <cell r="AP135">
            <v>6521</v>
          </cell>
          <cell r="AQ135">
            <v>16558</v>
          </cell>
          <cell r="AR135">
            <v>6950</v>
          </cell>
          <cell r="AS135">
            <v>7748</v>
          </cell>
          <cell r="AT135">
            <v>7961</v>
          </cell>
          <cell r="AU135">
            <v>22659</v>
          </cell>
          <cell r="AV135">
            <v>8245</v>
          </cell>
          <cell r="AW135">
            <v>8254</v>
          </cell>
          <cell r="AX135">
            <v>8758</v>
          </cell>
          <cell r="AY135">
            <v>25257</v>
          </cell>
          <cell r="AZ135">
            <v>8734</v>
          </cell>
          <cell r="BA135">
            <v>8068</v>
          </cell>
          <cell r="BB135">
            <v>8661</v>
          </cell>
          <cell r="BC135">
            <v>25463</v>
          </cell>
          <cell r="BD135">
            <v>9205</v>
          </cell>
          <cell r="BE135">
            <v>8667</v>
          </cell>
          <cell r="BF135">
            <v>9071</v>
          </cell>
          <cell r="BG135">
            <v>26943</v>
          </cell>
          <cell r="BH135">
            <v>8681</v>
          </cell>
          <cell r="BI135">
            <v>8789</v>
          </cell>
          <cell r="BJ135">
            <v>9382</v>
          </cell>
          <cell r="BK135">
            <v>26852</v>
          </cell>
          <cell r="BL135">
            <v>9083</v>
          </cell>
          <cell r="BM135">
            <v>9555</v>
          </cell>
          <cell r="BN135">
            <v>9348</v>
          </cell>
          <cell r="BO135">
            <v>27986</v>
          </cell>
        </row>
        <row r="136">
          <cell r="A136" t="str">
            <v xml:space="preserve">  % Change</v>
          </cell>
          <cell r="AU136">
            <v>0</v>
          </cell>
          <cell r="AV136">
            <v>131.98387096774192</v>
          </cell>
          <cell r="AW136">
            <v>26.791245791245792</v>
          </cell>
          <cell r="AX136">
            <v>5.4114202049780378</v>
          </cell>
          <cell r="AY136">
            <v>0</v>
          </cell>
          <cell r="AZ136">
            <v>1.9768234492160874</v>
          </cell>
          <cell r="BA136">
            <v>1.1032325338894684</v>
          </cell>
          <cell r="BB136">
            <v>1.078473722102232</v>
          </cell>
          <cell r="BC136">
            <v>1.328152144098016</v>
          </cell>
          <cell r="BD136">
            <v>0.81594002761885975</v>
          </cell>
          <cell r="BE136">
            <v>0.74456521739130443</v>
          </cell>
          <cell r="BF136">
            <v>0.39104431835608033</v>
          </cell>
          <cell r="BG136">
            <v>0.62718927406691627</v>
          </cell>
          <cell r="BH136">
            <v>0.24906474820143876</v>
          </cell>
          <cell r="BI136">
            <v>0.13435725348477034</v>
          </cell>
          <cell r="BJ136">
            <v>0.17849516392413012</v>
          </cell>
          <cell r="BK136">
            <v>0.18504788384306448</v>
          </cell>
          <cell r="BL136">
            <v>0.10163735597331724</v>
          </cell>
          <cell r="BM136">
            <v>0.15762054761327837</v>
          </cell>
          <cell r="BN136">
            <v>6.7366978762274599E-2</v>
          </cell>
          <cell r="BO136">
            <v>0.10804925367224927</v>
          </cell>
        </row>
        <row r="137">
          <cell r="A137" t="str">
            <v>Sales (IMS)</v>
          </cell>
          <cell r="AF137">
            <v>0.101547</v>
          </cell>
          <cell r="AG137">
            <v>0.104368</v>
          </cell>
          <cell r="AH137">
            <v>0.41794100000000001</v>
          </cell>
          <cell r="AI137">
            <v>0.62385599999999997</v>
          </cell>
          <cell r="AJ137">
            <v>0.47769</v>
          </cell>
          <cell r="AK137">
            <v>0.499722</v>
          </cell>
          <cell r="AL137">
            <v>0.55246799999999996</v>
          </cell>
          <cell r="AM137">
            <v>1.5298799999999999</v>
          </cell>
          <cell r="AN137">
            <v>0.52204499999999998</v>
          </cell>
          <cell r="AO137">
            <v>0.69303499999999996</v>
          </cell>
          <cell r="AP137">
            <v>0.91440500000000002</v>
          </cell>
          <cell r="AQ137">
            <v>2.1294849999999999</v>
          </cell>
          <cell r="AR137">
            <v>0.69682500000000003</v>
          </cell>
          <cell r="AS137">
            <v>0.71509900000000004</v>
          </cell>
          <cell r="AT137">
            <v>0.932925</v>
          </cell>
          <cell r="AU137">
            <v>2.344849</v>
          </cell>
          <cell r="AV137">
            <v>0.71591099999999996</v>
          </cell>
          <cell r="AW137">
            <v>0.71745499999999995</v>
          </cell>
          <cell r="AX137">
            <v>0.89541999999999999</v>
          </cell>
          <cell r="AY137">
            <v>2.328786</v>
          </cell>
          <cell r="AZ137">
            <v>0.74539200000000005</v>
          </cell>
          <cell r="BA137">
            <v>0.76343799999999995</v>
          </cell>
          <cell r="BB137">
            <v>0.94457599999999997</v>
          </cell>
          <cell r="BC137">
            <v>2.4534060000000002</v>
          </cell>
          <cell r="BD137">
            <v>0.81523800000000002</v>
          </cell>
          <cell r="BE137">
            <v>0.81173799999999996</v>
          </cell>
          <cell r="BF137">
            <v>1.0059480000000001</v>
          </cell>
          <cell r="BG137">
            <v>2.632924</v>
          </cell>
          <cell r="BH137">
            <v>0.81009900000000001</v>
          </cell>
          <cell r="BI137">
            <v>0.84350899999999995</v>
          </cell>
          <cell r="BJ137">
            <v>1.0565329999999999</v>
          </cell>
          <cell r="BK137">
            <v>2.7101410000000001</v>
          </cell>
          <cell r="BL137">
            <v>0.88722500000000004</v>
          </cell>
          <cell r="BM137">
            <v>0.87322900000000003</v>
          </cell>
        </row>
        <row r="138">
          <cell r="A138" t="str">
            <v xml:space="preserve">  % Change</v>
          </cell>
          <cell r="AU138">
            <v>0</v>
          </cell>
          <cell r="AV138">
            <v>6.0500457916038872</v>
          </cell>
          <cell r="AW138">
            <v>5.8742813889314727</v>
          </cell>
          <cell r="AX138">
            <v>1.1424555140558117</v>
          </cell>
          <cell r="AY138">
            <v>2.7328902823728556</v>
          </cell>
          <cell r="AZ138">
            <v>0.56040947057715274</v>
          </cell>
          <cell r="BA138">
            <v>0.52772541533092387</v>
          </cell>
          <cell r="BB138">
            <v>0.70973884460276437</v>
          </cell>
          <cell r="BC138">
            <v>0.60365911051847232</v>
          </cell>
          <cell r="BD138">
            <v>0.56162399793121298</v>
          </cell>
          <cell r="BE138">
            <v>0.17127994978608596</v>
          </cell>
          <cell r="BF138">
            <v>0.10011209475013816</v>
          </cell>
          <cell r="BG138">
            <v>0.23641349903850006</v>
          </cell>
          <cell r="BH138">
            <v>0.16255731352922176</v>
          </cell>
          <cell r="BI138">
            <v>0.17956954211934284</v>
          </cell>
          <cell r="BJ138">
            <v>0.13249510946753484</v>
          </cell>
          <cell r="BK138">
            <v>0.15578487143521835</v>
          </cell>
          <cell r="BL138">
            <v>0.23929510791145847</v>
          </cell>
          <cell r="BM138">
            <v>0.21712023750618514</v>
          </cell>
        </row>
        <row r="139">
          <cell r="A139" t="str">
            <v>Product</v>
          </cell>
          <cell r="C139">
            <v>36770</v>
          </cell>
          <cell r="D139">
            <v>36800</v>
          </cell>
          <cell r="E139">
            <v>36831</v>
          </cell>
          <cell r="F139">
            <v>36861</v>
          </cell>
          <cell r="G139" t="str">
            <v>Q2:01</v>
          </cell>
          <cell r="H139">
            <v>36892</v>
          </cell>
          <cell r="I139">
            <v>36923</v>
          </cell>
          <cell r="J139">
            <v>36951</v>
          </cell>
          <cell r="K139" t="str">
            <v>Q3:01</v>
          </cell>
          <cell r="L139">
            <v>36982</v>
          </cell>
          <cell r="M139">
            <v>37012</v>
          </cell>
          <cell r="N139">
            <v>37043</v>
          </cell>
          <cell r="O139" t="str">
            <v>Q4:01</v>
          </cell>
          <cell r="P139">
            <v>37073</v>
          </cell>
          <cell r="Q139">
            <v>37104</v>
          </cell>
          <cell r="R139">
            <v>37135</v>
          </cell>
          <cell r="S139" t="str">
            <v>Q1:02</v>
          </cell>
          <cell r="T139">
            <v>37165</v>
          </cell>
          <cell r="U139">
            <v>37196</v>
          </cell>
          <cell r="V139">
            <v>37226</v>
          </cell>
          <cell r="W139" t="str">
            <v>Q2:02</v>
          </cell>
          <cell r="X139">
            <v>37257</v>
          </cell>
          <cell r="Y139">
            <v>37288</v>
          </cell>
          <cell r="Z139">
            <v>37316</v>
          </cell>
          <cell r="AA139" t="str">
            <v>Q3:02</v>
          </cell>
          <cell r="AB139">
            <v>37347</v>
          </cell>
          <cell r="AC139">
            <v>37377</v>
          </cell>
          <cell r="AD139">
            <v>37408</v>
          </cell>
          <cell r="AE139" t="str">
            <v>Q4:02</v>
          </cell>
          <cell r="AF139">
            <v>37438</v>
          </cell>
          <cell r="AG139">
            <v>37469</v>
          </cell>
          <cell r="AH139">
            <v>37500</v>
          </cell>
          <cell r="AI139" t="str">
            <v>Q1:03</v>
          </cell>
          <cell r="AJ139">
            <v>37530</v>
          </cell>
          <cell r="AK139">
            <v>37561</v>
          </cell>
          <cell r="AL139">
            <v>37591</v>
          </cell>
          <cell r="AM139" t="str">
            <v>Q2:03</v>
          </cell>
          <cell r="AN139">
            <v>37622</v>
          </cell>
          <cell r="AO139">
            <v>37653</v>
          </cell>
          <cell r="AP139">
            <v>37681</v>
          </cell>
          <cell r="AQ139" t="str">
            <v>Q3:03</v>
          </cell>
          <cell r="AR139">
            <v>37712</v>
          </cell>
          <cell r="AS139">
            <v>37742</v>
          </cell>
          <cell r="AT139">
            <v>37773</v>
          </cell>
          <cell r="AU139" t="str">
            <v>Q4:F03</v>
          </cell>
          <cell r="AV139">
            <v>37803</v>
          </cell>
          <cell r="AW139">
            <v>37834</v>
          </cell>
          <cell r="AX139">
            <v>37865</v>
          </cell>
          <cell r="AY139" t="str">
            <v>Q1:F04</v>
          </cell>
          <cell r="AZ139">
            <v>37895</v>
          </cell>
          <cell r="BA139">
            <v>37926</v>
          </cell>
          <cell r="BB139">
            <v>37956</v>
          </cell>
          <cell r="BC139" t="str">
            <v>Q2:F04</v>
          </cell>
          <cell r="BD139">
            <v>37987</v>
          </cell>
          <cell r="BE139">
            <v>38018</v>
          </cell>
          <cell r="BF139">
            <v>38047</v>
          </cell>
          <cell r="BG139" t="str">
            <v>Q3:F04</v>
          </cell>
          <cell r="BH139">
            <v>38078</v>
          </cell>
          <cell r="BI139">
            <v>38108</v>
          </cell>
          <cell r="BJ139">
            <v>38139</v>
          </cell>
          <cell r="BK139" t="str">
            <v>Q4:F04</v>
          </cell>
          <cell r="BL139">
            <v>38169</v>
          </cell>
          <cell r="BM139">
            <v>38200</v>
          </cell>
          <cell r="BN139">
            <v>38231</v>
          </cell>
          <cell r="BO139" t="str">
            <v>Q1:F05E</v>
          </cell>
        </row>
        <row r="140">
          <cell r="A140" t="str">
            <v xml:space="preserve">SPRINTEC 28 </v>
          </cell>
        </row>
        <row r="141">
          <cell r="A141" t="str">
            <v>TRx</v>
          </cell>
          <cell r="AH141">
            <v>20</v>
          </cell>
          <cell r="AI141">
            <v>20</v>
          </cell>
          <cell r="AJ141">
            <v>61999</v>
          </cell>
          <cell r="AK141">
            <v>122241</v>
          </cell>
          <cell r="AL141">
            <v>142194</v>
          </cell>
          <cell r="AM141">
            <v>326434</v>
          </cell>
          <cell r="AN141">
            <v>151180</v>
          </cell>
          <cell r="AO141">
            <v>145370</v>
          </cell>
          <cell r="AP141">
            <v>160090</v>
          </cell>
          <cell r="AQ141">
            <v>456640</v>
          </cell>
          <cell r="AR141">
            <v>146119</v>
          </cell>
          <cell r="AS141">
            <v>151353</v>
          </cell>
          <cell r="AT141">
            <v>148068</v>
          </cell>
          <cell r="AU141">
            <v>445540</v>
          </cell>
          <cell r="AV141">
            <v>148792</v>
          </cell>
          <cell r="AW141">
            <v>152806</v>
          </cell>
          <cell r="AX141">
            <v>149925</v>
          </cell>
          <cell r="AY141">
            <v>451523</v>
          </cell>
          <cell r="AZ141">
            <v>154190</v>
          </cell>
          <cell r="BA141">
            <v>151902</v>
          </cell>
          <cell r="BB141">
            <v>156991</v>
          </cell>
          <cell r="BC141">
            <v>463083</v>
          </cell>
          <cell r="BD141">
            <v>160870</v>
          </cell>
          <cell r="BE141">
            <v>151987</v>
          </cell>
          <cell r="BF141">
            <v>163226</v>
          </cell>
          <cell r="BG141">
            <v>476083</v>
          </cell>
          <cell r="BH141">
            <v>158726</v>
          </cell>
          <cell r="BI141">
            <v>163563</v>
          </cell>
          <cell r="BJ141">
            <v>162008</v>
          </cell>
          <cell r="BK141">
            <v>484297</v>
          </cell>
          <cell r="BL141">
            <v>162498</v>
          </cell>
          <cell r="BM141">
            <v>164401</v>
          </cell>
          <cell r="BN141">
            <v>150856</v>
          </cell>
          <cell r="BO141">
            <v>477755</v>
          </cell>
        </row>
        <row r="142">
          <cell r="A142" t="str">
            <v xml:space="preserve">  % Change</v>
          </cell>
          <cell r="AU142">
            <v>0</v>
          </cell>
          <cell r="AV142" t="e">
            <v>#DIV/0!</v>
          </cell>
          <cell r="AW142" t="e">
            <v>#DIV/0!</v>
          </cell>
          <cell r="AX142">
            <v>7495.25</v>
          </cell>
          <cell r="AY142">
            <v>0</v>
          </cell>
          <cell r="AZ142">
            <v>1.4869755963805869</v>
          </cell>
          <cell r="BA142">
            <v>0.24264363020590474</v>
          </cell>
          <cell r="BB142">
            <v>0.10406205606425023</v>
          </cell>
          <cell r="BC142">
            <v>0.41861141915364208</v>
          </cell>
          <cell r="BD142">
            <v>6.4095779865061431E-2</v>
          </cell>
          <cell r="BE142">
            <v>4.5518332530783523E-2</v>
          </cell>
          <cell r="BF142">
            <v>1.9588981198076061E-2</v>
          </cell>
          <cell r="BG142">
            <v>4.2578398738612577E-2</v>
          </cell>
          <cell r="BH142">
            <v>8.6278991780671888E-2</v>
          </cell>
          <cell r="BI142">
            <v>8.067233553348796E-2</v>
          </cell>
          <cell r="BJ142">
            <v>9.4145932949725841E-2</v>
          </cell>
          <cell r="BK142">
            <v>8.6988822552408251E-2</v>
          </cell>
          <cell r="BL142">
            <v>9.2115167482122784E-2</v>
          </cell>
          <cell r="BM142">
            <v>7.5880528251508483E-2</v>
          </cell>
          <cell r="BN142">
            <v>6.2097715524429553E-3</v>
          </cell>
          <cell r="BO142">
            <v>5.809670825184976E-2</v>
          </cell>
        </row>
        <row r="143">
          <cell r="A143" t="str">
            <v>NRx</v>
          </cell>
          <cell r="AH143">
            <v>16</v>
          </cell>
          <cell r="AI143">
            <v>16</v>
          </cell>
          <cell r="AJ143">
            <v>45337</v>
          </cell>
          <cell r="AK143">
            <v>55104</v>
          </cell>
          <cell r="AL143">
            <v>50981</v>
          </cell>
          <cell r="AM143">
            <v>151422</v>
          </cell>
          <cell r="AN143">
            <v>52940</v>
          </cell>
          <cell r="AO143">
            <v>47596</v>
          </cell>
          <cell r="AP143">
            <v>48306</v>
          </cell>
          <cell r="AQ143">
            <v>148842</v>
          </cell>
          <cell r="AR143">
            <v>42741</v>
          </cell>
          <cell r="AS143">
            <v>43930</v>
          </cell>
          <cell r="AT143">
            <v>43446</v>
          </cell>
          <cell r="AU143">
            <v>130117</v>
          </cell>
          <cell r="AV143">
            <v>44038</v>
          </cell>
          <cell r="AW143">
            <v>45101</v>
          </cell>
          <cell r="AX143">
            <v>45972</v>
          </cell>
          <cell r="AY143">
            <v>135111</v>
          </cell>
          <cell r="AZ143">
            <v>45134</v>
          </cell>
          <cell r="BA143">
            <v>42106</v>
          </cell>
          <cell r="BB143">
            <v>44018</v>
          </cell>
          <cell r="BC143">
            <v>131258</v>
          </cell>
          <cell r="BD143">
            <v>47453</v>
          </cell>
          <cell r="BE143">
            <v>43818</v>
          </cell>
          <cell r="BF143">
            <v>46717</v>
          </cell>
          <cell r="BG143">
            <v>137988</v>
          </cell>
          <cell r="BH143">
            <v>43637</v>
          </cell>
          <cell r="BI143">
            <v>45202</v>
          </cell>
          <cell r="BJ143">
            <v>45845</v>
          </cell>
          <cell r="BK143">
            <v>134684</v>
          </cell>
          <cell r="BL143">
            <v>46249</v>
          </cell>
          <cell r="BM143">
            <v>50005</v>
          </cell>
          <cell r="BN143">
            <v>45372</v>
          </cell>
          <cell r="BO143">
            <v>141626</v>
          </cell>
        </row>
        <row r="144">
          <cell r="A144" t="str">
            <v xml:space="preserve">  % Change</v>
          </cell>
          <cell r="AU144">
            <v>0</v>
          </cell>
          <cell r="AV144" t="e">
            <v>#DIV/0!</v>
          </cell>
          <cell r="AW144" t="e">
            <v>#DIV/0!</v>
          </cell>
          <cell r="AX144">
            <v>2872.25</v>
          </cell>
          <cell r="AY144">
            <v>0</v>
          </cell>
          <cell r="AZ144">
            <v>-4.4775790193439802E-3</v>
          </cell>
          <cell r="BA144">
            <v>-0.23588124274099886</v>
          </cell>
          <cell r="BB144">
            <v>-0.13658029461956411</v>
          </cell>
          <cell r="BC144">
            <v>-0.13316426939282267</v>
          </cell>
          <cell r="BD144">
            <v>-0.10364563656970149</v>
          </cell>
          <cell r="BE144">
            <v>-7.9376418186402176E-2</v>
          </cell>
          <cell r="BF144">
            <v>-3.2894464455761163E-2</v>
          </cell>
          <cell r="BG144">
            <v>-7.2922965292054664E-2</v>
          </cell>
          <cell r="BH144">
            <v>2.0963477691209764E-2</v>
          </cell>
          <cell r="BI144">
            <v>2.8955155929888399E-2</v>
          </cell>
          <cell r="BJ144">
            <v>5.5217971735027405E-2</v>
          </cell>
          <cell r="BK144">
            <v>3.5099179968797412E-2</v>
          </cell>
          <cell r="BL144">
            <v>5.0206639720241641E-2</v>
          </cell>
          <cell r="BM144">
            <v>0.10873373095940231</v>
          </cell>
          <cell r="BN144">
            <v>-1.3051422605063978E-2</v>
          </cell>
          <cell r="BO144">
            <v>4.8219612022707192E-2</v>
          </cell>
        </row>
        <row r="145">
          <cell r="A145" t="str">
            <v>Sales (IMS)</v>
          </cell>
          <cell r="AH145">
            <v>9.1631000000000004E-2</v>
          </cell>
          <cell r="AI145">
            <v>9.1631000000000004E-2</v>
          </cell>
          <cell r="AJ145">
            <v>4.2901239999999996</v>
          </cell>
          <cell r="AK145">
            <v>2.2924329999999999</v>
          </cell>
          <cell r="AL145">
            <v>3.4062459999999999</v>
          </cell>
          <cell r="AM145">
            <v>9.9888030000000008</v>
          </cell>
          <cell r="AN145">
            <v>3.7708050000000002</v>
          </cell>
          <cell r="AO145">
            <v>3.5040610000000001</v>
          </cell>
          <cell r="AP145">
            <v>3.9794990000000001</v>
          </cell>
          <cell r="AQ145">
            <v>11.254365</v>
          </cell>
          <cell r="AR145">
            <v>2.9240210000000002</v>
          </cell>
          <cell r="AS145">
            <v>3.033064</v>
          </cell>
          <cell r="AT145">
            <v>4.0100860000000003</v>
          </cell>
          <cell r="AU145">
            <v>9.9671710000000004</v>
          </cell>
          <cell r="AV145">
            <v>2.9823179999999998</v>
          </cell>
          <cell r="AW145">
            <v>3.2895020000000001</v>
          </cell>
          <cell r="AX145">
            <v>3.8934639999999998</v>
          </cell>
          <cell r="AY145">
            <v>10.165284</v>
          </cell>
          <cell r="AZ145">
            <v>3.2530700000000001</v>
          </cell>
          <cell r="BA145">
            <v>3.4028049999999999</v>
          </cell>
          <cell r="BB145">
            <v>3.981932</v>
          </cell>
          <cell r="BC145">
            <v>10.637806999999999</v>
          </cell>
          <cell r="BD145">
            <v>3.233374</v>
          </cell>
          <cell r="BE145">
            <v>3.399597</v>
          </cell>
          <cell r="BF145">
            <v>4.2642860000000002</v>
          </cell>
          <cell r="BG145">
            <v>10.897257</v>
          </cell>
          <cell r="BH145">
            <v>3.4375499999999999</v>
          </cell>
          <cell r="BI145">
            <v>3.6705299999999998</v>
          </cell>
          <cell r="BJ145">
            <v>4.4088950000000002</v>
          </cell>
          <cell r="BK145">
            <v>11.516975</v>
          </cell>
          <cell r="BL145">
            <v>3.361262</v>
          </cell>
          <cell r="BM145">
            <v>3.3706480000000001</v>
          </cell>
        </row>
        <row r="146">
          <cell r="A146" t="str">
            <v xml:space="preserve">  % Change</v>
          </cell>
          <cell r="AU146">
            <v>0</v>
          </cell>
          <cell r="AV146" t="e">
            <v>#DIV/0!</v>
          </cell>
          <cell r="AW146" t="e">
            <v>#DIV/0!</v>
          </cell>
          <cell r="AX146">
            <v>41.490685466708861</v>
          </cell>
          <cell r="AY146">
            <v>0</v>
          </cell>
          <cell r="AZ146">
            <v>-0.24173054205426225</v>
          </cell>
          <cell r="BA146">
            <v>0.48436399231733263</v>
          </cell>
          <cell r="BB146">
            <v>0.16900893241415926</v>
          </cell>
          <cell r="BC146">
            <v>6.4973150436543614E-2</v>
          </cell>
          <cell r="BD146">
            <v>-0.14252420902168106</v>
          </cell>
          <cell r="BE146">
            <v>-2.9812266396047393E-2</v>
          </cell>
          <cell r="BF146">
            <v>7.1563530987192037E-2</v>
          </cell>
          <cell r="BG146">
            <v>-3.1730621852054774E-2</v>
          </cell>
          <cell r="BH146">
            <v>0.17562425167261098</v>
          </cell>
          <cell r="BI146">
            <v>0.21017228782511665</v>
          </cell>
          <cell r="BJ146">
            <v>9.9451483085400083E-2</v>
          </cell>
          <cell r="BK146">
            <v>0.15549086094740416</v>
          </cell>
          <cell r="BL146">
            <v>0.12706357940367208</v>
          </cell>
          <cell r="BM146">
            <v>2.4668171656378357E-2</v>
          </cell>
        </row>
        <row r="148">
          <cell r="A148" t="str">
            <v xml:space="preserve">TRI-SPRINTEC 28 </v>
          </cell>
        </row>
        <row r="149">
          <cell r="A149" t="str">
            <v>TRx</v>
          </cell>
          <cell r="BB149">
            <v>37</v>
          </cell>
          <cell r="BC149">
            <v>37</v>
          </cell>
          <cell r="BD149">
            <v>205826</v>
          </cell>
          <cell r="BE149">
            <v>293553</v>
          </cell>
          <cell r="BF149">
            <v>327167</v>
          </cell>
          <cell r="BG149">
            <v>826546</v>
          </cell>
          <cell r="BH149">
            <v>327930</v>
          </cell>
          <cell r="BI149">
            <v>343200</v>
          </cell>
          <cell r="BJ149">
            <v>348041</v>
          </cell>
          <cell r="BK149">
            <v>1019171</v>
          </cell>
          <cell r="BL149">
            <v>354910</v>
          </cell>
          <cell r="BM149">
            <v>363003</v>
          </cell>
          <cell r="BN149">
            <v>317478</v>
          </cell>
          <cell r="BO149">
            <v>1035391</v>
          </cell>
        </row>
        <row r="150">
          <cell r="A150" t="str">
            <v xml:space="preserve">  % Change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0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</row>
        <row r="151">
          <cell r="A151" t="str">
            <v>NRx</v>
          </cell>
          <cell r="BB151">
            <v>24</v>
          </cell>
          <cell r="BC151">
            <v>24</v>
          </cell>
          <cell r="BD151">
            <v>83746</v>
          </cell>
          <cell r="BE151">
            <v>101982</v>
          </cell>
          <cell r="BF151">
            <v>105655</v>
          </cell>
          <cell r="BG151">
            <v>291383</v>
          </cell>
          <cell r="BH151">
            <v>95622</v>
          </cell>
          <cell r="BI151">
            <v>96796</v>
          </cell>
          <cell r="BJ151">
            <v>100945</v>
          </cell>
          <cell r="BK151">
            <v>293363</v>
          </cell>
          <cell r="BL151">
            <v>99830</v>
          </cell>
          <cell r="BM151">
            <v>105359</v>
          </cell>
          <cell r="BN151">
            <v>91468</v>
          </cell>
          <cell r="BO151">
            <v>296657</v>
          </cell>
        </row>
        <row r="152">
          <cell r="A152" t="str">
            <v xml:space="preserve">  % Change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 t="str">
            <v>Sales (IMS)</v>
          </cell>
          <cell r="BB153">
            <v>0.17133999999999999</v>
          </cell>
          <cell r="BC153">
            <v>0.17133999999999999</v>
          </cell>
          <cell r="BD153">
            <v>6.5141910000000003</v>
          </cell>
          <cell r="BE153">
            <v>7.1942709999999996</v>
          </cell>
          <cell r="BF153">
            <v>10.941901</v>
          </cell>
          <cell r="BG153">
            <v>24.650362999999999</v>
          </cell>
          <cell r="BH153">
            <v>9.2393999999999998</v>
          </cell>
          <cell r="BI153">
            <v>8.9921670000000002</v>
          </cell>
          <cell r="BJ153">
            <v>10.924191</v>
          </cell>
          <cell r="BK153">
            <v>29.155758000000002</v>
          </cell>
          <cell r="BL153">
            <v>8.5292600000000007</v>
          </cell>
          <cell r="BM153">
            <v>9.1193179999999998</v>
          </cell>
        </row>
        <row r="154">
          <cell r="A154" t="str">
            <v xml:space="preserve">  % Change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</row>
        <row r="156">
          <cell r="A156" t="str">
            <v>JUNEL</v>
          </cell>
        </row>
        <row r="157">
          <cell r="A157" t="str">
            <v>TRx</v>
          </cell>
          <cell r="AZ157">
            <v>2725</v>
          </cell>
          <cell r="BA157">
            <v>12247</v>
          </cell>
          <cell r="BB157">
            <v>27023</v>
          </cell>
          <cell r="BC157">
            <v>41995</v>
          </cell>
          <cell r="BD157">
            <v>45508</v>
          </cell>
          <cell r="BE157">
            <v>55174</v>
          </cell>
          <cell r="BF157">
            <v>66648</v>
          </cell>
          <cell r="BG157">
            <v>167330</v>
          </cell>
          <cell r="BH157">
            <v>72146</v>
          </cell>
          <cell r="BI157">
            <v>75697</v>
          </cell>
          <cell r="BJ157">
            <v>76886</v>
          </cell>
          <cell r="BK157">
            <v>224729</v>
          </cell>
          <cell r="BL157">
            <v>77737</v>
          </cell>
          <cell r="BM157">
            <v>77989</v>
          </cell>
          <cell r="BN157">
            <v>73753</v>
          </cell>
          <cell r="BO157">
            <v>229479</v>
          </cell>
        </row>
        <row r="158">
          <cell r="A158" t="str">
            <v xml:space="preserve">  % Change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0</v>
          </cell>
          <cell r="BJ158">
            <v>423057</v>
          </cell>
          <cell r="BK158">
            <v>0</v>
          </cell>
          <cell r="BO158">
            <v>0</v>
          </cell>
        </row>
        <row r="159">
          <cell r="A159" t="str">
            <v>NRx</v>
          </cell>
          <cell r="AZ159">
            <v>1159</v>
          </cell>
          <cell r="BA159">
            <v>3849</v>
          </cell>
          <cell r="BB159">
            <v>7212</v>
          </cell>
          <cell r="BC159">
            <v>12220</v>
          </cell>
          <cell r="BD159">
            <v>12351</v>
          </cell>
          <cell r="BE159">
            <v>14057</v>
          </cell>
          <cell r="BF159">
            <v>16819</v>
          </cell>
          <cell r="BG159">
            <v>43227</v>
          </cell>
          <cell r="BH159">
            <v>18221</v>
          </cell>
          <cell r="BI159">
            <v>17522</v>
          </cell>
          <cell r="BJ159">
            <v>511666</v>
          </cell>
          <cell r="BK159">
            <v>547409</v>
          </cell>
          <cell r="BL159">
            <v>519979</v>
          </cell>
          <cell r="BM159">
            <v>528778</v>
          </cell>
          <cell r="BN159">
            <v>474416</v>
          </cell>
          <cell r="BO159">
            <v>1523173</v>
          </cell>
        </row>
        <row r="160">
          <cell r="A160" t="str">
            <v xml:space="preserve">  % Change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 t="str">
            <v>Sales (IMS)</v>
          </cell>
          <cell r="AZ161">
            <v>0.68355100000000002</v>
          </cell>
          <cell r="BA161">
            <v>0.89709700000000003</v>
          </cell>
          <cell r="BB161">
            <v>1.5017070000000001</v>
          </cell>
          <cell r="BC161">
            <v>3.0823550000000002</v>
          </cell>
          <cell r="BD161">
            <v>1.625016</v>
          </cell>
          <cell r="BE161">
            <v>1.6286429999999998</v>
          </cell>
          <cell r="BF161">
            <v>2.0440299999999998</v>
          </cell>
          <cell r="BG161">
            <v>5.2976890000000001</v>
          </cell>
          <cell r="BH161">
            <v>2.0157600000000002</v>
          </cell>
          <cell r="BI161">
            <v>1.765245</v>
          </cell>
          <cell r="BJ161">
            <v>2.1477550000000001</v>
          </cell>
          <cell r="BK161">
            <v>5.9287600000000005</v>
          </cell>
          <cell r="BL161">
            <v>1.773736</v>
          </cell>
          <cell r="BM161">
            <v>1.8732260000000001</v>
          </cell>
        </row>
        <row r="162">
          <cell r="A162" t="str">
            <v xml:space="preserve">  % Change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</row>
        <row r="164">
          <cell r="A164" t="str">
            <v>VELIVET</v>
          </cell>
        </row>
        <row r="165">
          <cell r="A165" t="str">
            <v>TRx</v>
          </cell>
          <cell r="BF165">
            <v>9902</v>
          </cell>
          <cell r="BG165">
            <v>9902</v>
          </cell>
          <cell r="BH165">
            <v>21222</v>
          </cell>
          <cell r="BI165">
            <v>25411</v>
          </cell>
          <cell r="BJ165">
            <v>28002</v>
          </cell>
          <cell r="BK165">
            <v>74635</v>
          </cell>
          <cell r="BL165">
            <v>30902</v>
          </cell>
          <cell r="BM165">
            <v>33800</v>
          </cell>
          <cell r="BN165">
            <v>33509</v>
          </cell>
          <cell r="BO165">
            <v>98211</v>
          </cell>
        </row>
        <row r="166">
          <cell r="A166" t="str">
            <v xml:space="preserve">  % Change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</row>
        <row r="167">
          <cell r="A167" t="str">
            <v>NRx</v>
          </cell>
          <cell r="BF167">
            <v>7640</v>
          </cell>
          <cell r="BG167">
            <v>7640</v>
          </cell>
          <cell r="BH167">
            <v>10439</v>
          </cell>
          <cell r="BI167">
            <v>10268</v>
          </cell>
          <cell r="BJ167">
            <v>10435</v>
          </cell>
          <cell r="BK167">
            <v>31142</v>
          </cell>
          <cell r="BL167">
            <v>10488</v>
          </cell>
          <cell r="BM167">
            <v>11761</v>
          </cell>
          <cell r="BN167">
            <v>11253</v>
          </cell>
          <cell r="BO167">
            <v>33502</v>
          </cell>
        </row>
        <row r="168">
          <cell r="A168" t="str">
            <v xml:space="preserve">  % Change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 t="str">
            <v>Sales (IMS)</v>
          </cell>
          <cell r="BF169">
            <v>3.420372</v>
          </cell>
          <cell r="BG169">
            <v>3.420372</v>
          </cell>
          <cell r="BH169">
            <v>0.89316899999999999</v>
          </cell>
          <cell r="BI169">
            <v>0.78089299999999995</v>
          </cell>
          <cell r="BJ169">
            <v>1.219201</v>
          </cell>
          <cell r="BK169">
            <v>2.8932629999999997</v>
          </cell>
          <cell r="BL169">
            <v>1.148757</v>
          </cell>
          <cell r="BM169">
            <v>1.1761239999999999</v>
          </cell>
        </row>
        <row r="170">
          <cell r="A170" t="str">
            <v xml:space="preserve">  % Change</v>
          </cell>
          <cell r="BF170">
            <v>0</v>
          </cell>
          <cell r="BG170">
            <v>0</v>
          </cell>
          <cell r="BH170">
            <v>0</v>
          </cell>
        </row>
        <row r="172">
          <cell r="A172" t="str">
            <v>CAMILA BRR</v>
          </cell>
        </row>
        <row r="173">
          <cell r="A173" t="str">
            <v>TRx</v>
          </cell>
          <cell r="AJ173">
            <v>2</v>
          </cell>
          <cell r="AK173">
            <v>10832</v>
          </cell>
          <cell r="AL173">
            <v>25323</v>
          </cell>
          <cell r="AM173">
            <v>36157</v>
          </cell>
          <cell r="AN173">
            <v>34330</v>
          </cell>
          <cell r="AO173">
            <v>37117</v>
          </cell>
          <cell r="AP173">
            <v>48443</v>
          </cell>
          <cell r="AQ173">
            <v>119890</v>
          </cell>
          <cell r="AR173">
            <v>52315</v>
          </cell>
          <cell r="AS173">
            <v>58077</v>
          </cell>
          <cell r="AT173">
            <v>60488</v>
          </cell>
          <cell r="AU173">
            <v>170880</v>
          </cell>
          <cell r="AV173">
            <v>64015</v>
          </cell>
          <cell r="AW173">
            <v>65705</v>
          </cell>
          <cell r="AX173">
            <v>65745</v>
          </cell>
          <cell r="AY173">
            <v>195465</v>
          </cell>
          <cell r="AZ173">
            <v>69411</v>
          </cell>
          <cell r="BA173">
            <v>67801</v>
          </cell>
          <cell r="BB173">
            <v>71502</v>
          </cell>
          <cell r="BC173">
            <v>208714</v>
          </cell>
          <cell r="BD173">
            <v>73196</v>
          </cell>
          <cell r="BE173">
            <v>69252</v>
          </cell>
          <cell r="BF173">
            <v>76456</v>
          </cell>
          <cell r="BG173">
            <v>218904</v>
          </cell>
          <cell r="BH173">
            <v>74344</v>
          </cell>
          <cell r="BI173">
            <v>75769</v>
          </cell>
          <cell r="BJ173">
            <v>78121</v>
          </cell>
          <cell r="BK173">
            <v>228234</v>
          </cell>
          <cell r="BL173">
            <v>79035</v>
          </cell>
          <cell r="BM173">
            <v>80050</v>
          </cell>
          <cell r="BN173">
            <v>77214</v>
          </cell>
          <cell r="BO173">
            <v>236299</v>
          </cell>
        </row>
        <row r="174">
          <cell r="A174" t="str">
            <v xml:space="preserve">  % Change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1.8235990996327449</v>
          </cell>
          <cell r="BC174">
            <v>0</v>
          </cell>
          <cell r="BD174">
            <v>1.1321293329449462</v>
          </cell>
          <cell r="BE174">
            <v>0.86577579006924044</v>
          </cell>
          <cell r="BF174">
            <v>0.57826724191317624</v>
          </cell>
          <cell r="BG174">
            <v>0.82587371757444328</v>
          </cell>
          <cell r="BH174">
            <v>0.42108381917232141</v>
          </cell>
          <cell r="BI174">
            <v>0.30463006009263571</v>
          </cell>
          <cell r="BJ174">
            <v>0.29151236608914166</v>
          </cell>
          <cell r="BK174">
            <v>0.33563904494382024</v>
          </cell>
          <cell r="BL174">
            <v>0.23463250800593616</v>
          </cell>
          <cell r="BM174">
            <v>0.2183243284377141</v>
          </cell>
          <cell r="BN174">
            <v>0.17444672598676703</v>
          </cell>
          <cell r="BO174">
            <v>0.20890696544138332</v>
          </cell>
        </row>
        <row r="175">
          <cell r="A175" t="str">
            <v>NRx</v>
          </cell>
          <cell r="AJ175">
            <v>2</v>
          </cell>
          <cell r="AK175">
            <v>10159</v>
          </cell>
          <cell r="AL175">
            <v>16377</v>
          </cell>
          <cell r="AM175">
            <v>26538</v>
          </cell>
          <cell r="AN175">
            <v>17596</v>
          </cell>
          <cell r="AO175">
            <v>16245</v>
          </cell>
          <cell r="AP175">
            <v>20534</v>
          </cell>
          <cell r="AQ175">
            <v>54375</v>
          </cell>
          <cell r="AR175">
            <v>21263</v>
          </cell>
          <cell r="AS175">
            <v>22035</v>
          </cell>
          <cell r="AT175">
            <v>22238</v>
          </cell>
          <cell r="AU175">
            <v>65536</v>
          </cell>
          <cell r="AV175">
            <v>23003</v>
          </cell>
          <cell r="AW175">
            <v>22897</v>
          </cell>
          <cell r="AX175">
            <v>22643</v>
          </cell>
          <cell r="AY175">
            <v>68543</v>
          </cell>
          <cell r="AZ175">
            <v>24500</v>
          </cell>
          <cell r="BA175">
            <v>22497</v>
          </cell>
          <cell r="BB175">
            <v>22871</v>
          </cell>
          <cell r="BC175">
            <v>69868</v>
          </cell>
          <cell r="BD175">
            <v>24537</v>
          </cell>
          <cell r="BE175">
            <v>23069</v>
          </cell>
          <cell r="BF175">
            <v>25495</v>
          </cell>
          <cell r="BG175">
            <v>73101</v>
          </cell>
          <cell r="BH175">
            <v>24669</v>
          </cell>
          <cell r="BI175">
            <v>24944</v>
          </cell>
          <cell r="BJ175">
            <v>26141</v>
          </cell>
          <cell r="BK175">
            <v>75754</v>
          </cell>
          <cell r="BL175">
            <v>26911</v>
          </cell>
          <cell r="BM175">
            <v>26773</v>
          </cell>
          <cell r="BN175">
            <v>26543</v>
          </cell>
          <cell r="BO175">
            <v>80227</v>
          </cell>
        </row>
        <row r="176">
          <cell r="A176" t="str">
            <v xml:space="preserve">  % Change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1.2144896151195983</v>
          </cell>
          <cell r="BB176">
            <v>0.39653172131648051</v>
          </cell>
          <cell r="BC176">
            <v>1.6327530333860878</v>
          </cell>
          <cell r="BD176">
            <v>0.39446465105705841</v>
          </cell>
          <cell r="BE176">
            <v>0.42006771314250546</v>
          </cell>
          <cell r="BF176">
            <v>0.24159929872406738</v>
          </cell>
          <cell r="BG176">
            <v>0.34438620689655175</v>
          </cell>
          <cell r="BH176">
            <v>0.16018435780463713</v>
          </cell>
          <cell r="BI176">
            <v>0.13201724529158154</v>
          </cell>
          <cell r="BJ176">
            <v>0.17551038762478632</v>
          </cell>
          <cell r="BK176">
            <v>0.155914306640625</v>
          </cell>
          <cell r="BL176">
            <v>0.16989088379776551</v>
          </cell>
          <cell r="BM176">
            <v>0.16927981831681005</v>
          </cell>
          <cell r="BN176">
            <v>0.17223866095482054</v>
          </cell>
          <cell r="BO176">
            <v>0.17046233751075968</v>
          </cell>
        </row>
        <row r="177">
          <cell r="A177" t="str">
            <v>Sales (IMS)</v>
          </cell>
          <cell r="AK177">
            <v>0.43485200000000002</v>
          </cell>
          <cell r="AL177">
            <v>1.1230230000000001</v>
          </cell>
          <cell r="AM177">
            <v>1.5578750000000001</v>
          </cell>
          <cell r="AN177">
            <v>1.2083759999999999</v>
          </cell>
          <cell r="AO177">
            <v>1.3656379999999999</v>
          </cell>
          <cell r="AP177">
            <v>1.79532</v>
          </cell>
          <cell r="AQ177">
            <v>4.3693340000000003</v>
          </cell>
          <cell r="AR177">
            <v>1.4510700000000001</v>
          </cell>
          <cell r="AS177">
            <v>1.5836269999999999</v>
          </cell>
          <cell r="AT177">
            <v>2.0860080000000001</v>
          </cell>
          <cell r="AU177">
            <v>5.1207050000000001</v>
          </cell>
          <cell r="AV177">
            <v>1.6603559999999999</v>
          </cell>
          <cell r="AW177">
            <v>1.95146</v>
          </cell>
          <cell r="AX177">
            <v>2.354698</v>
          </cell>
          <cell r="AY177">
            <v>5.9665140000000001</v>
          </cell>
          <cell r="AZ177">
            <v>2.0808019999999998</v>
          </cell>
          <cell r="BA177">
            <v>2.1079590000000001</v>
          </cell>
          <cell r="BB177">
            <v>2.5502600000000002</v>
          </cell>
          <cell r="BC177">
            <v>6.739021000000001</v>
          </cell>
          <cell r="BD177">
            <v>1.9200809999999999</v>
          </cell>
          <cell r="BE177">
            <v>2.0323009999999999</v>
          </cell>
          <cell r="BF177">
            <v>2.7065899999999998</v>
          </cell>
          <cell r="BG177">
            <v>6.6589719999999994</v>
          </cell>
          <cell r="BH177">
            <v>2.2235140000000002</v>
          </cell>
          <cell r="BI177">
            <v>2.2626369999999998</v>
          </cell>
          <cell r="BJ177">
            <v>2.9151419999999999</v>
          </cell>
          <cell r="BK177">
            <v>7.401292999999999</v>
          </cell>
          <cell r="BL177">
            <v>2.223932</v>
          </cell>
          <cell r="BM177">
            <v>2.402406</v>
          </cell>
        </row>
        <row r="178">
          <cell r="A178" t="str">
            <v xml:space="preserve">  % Change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3.8475320338873917</v>
          </cell>
          <cell r="BB178">
            <v>1.270888485810175</v>
          </cell>
          <cell r="BC178">
            <v>3.3257777421166654</v>
          </cell>
          <cell r="BD178">
            <v>0.5889764444179626</v>
          </cell>
          <cell r="BE178">
            <v>0.48816963206940645</v>
          </cell>
          <cell r="BF178">
            <v>0.50758082124635151</v>
          </cell>
          <cell r="BG178">
            <v>0.52402448519614175</v>
          </cell>
          <cell r="BH178">
            <v>0.53232717925392992</v>
          </cell>
          <cell r="BI178">
            <v>0.42876889570587018</v>
          </cell>
          <cell r="BJ178">
            <v>0.39747402694524658</v>
          </cell>
          <cell r="BK178">
            <v>0.44536601893684535</v>
          </cell>
          <cell r="BL178">
            <v>0.33943082086010468</v>
          </cell>
          <cell r="BM178">
            <v>0.23108134422432447</v>
          </cell>
        </row>
        <row r="180">
          <cell r="A180" t="str">
            <v>TRx ORAL CONTRACEPTIVES</v>
          </cell>
          <cell r="C180">
            <v>162256</v>
          </cell>
          <cell r="D180">
            <v>176779</v>
          </cell>
          <cell r="E180">
            <v>171961</v>
          </cell>
          <cell r="F180">
            <v>186146</v>
          </cell>
          <cell r="G180">
            <v>534886</v>
          </cell>
          <cell r="H180">
            <v>191745</v>
          </cell>
          <cell r="I180">
            <v>178470</v>
          </cell>
          <cell r="J180">
            <v>202969</v>
          </cell>
          <cell r="K180">
            <v>573184</v>
          </cell>
          <cell r="L180">
            <v>200691</v>
          </cell>
          <cell r="M180">
            <v>208282</v>
          </cell>
          <cell r="N180">
            <v>277889</v>
          </cell>
          <cell r="O180">
            <v>686862</v>
          </cell>
          <cell r="P180">
            <v>334296</v>
          </cell>
          <cell r="Q180">
            <v>373074</v>
          </cell>
          <cell r="R180">
            <v>386126</v>
          </cell>
          <cell r="S180">
            <v>1093496</v>
          </cell>
          <cell r="T180">
            <v>422673</v>
          </cell>
          <cell r="U180">
            <v>439757</v>
          </cell>
          <cell r="V180">
            <v>480965</v>
          </cell>
          <cell r="W180">
            <v>1343395</v>
          </cell>
          <cell r="X180">
            <v>506236</v>
          </cell>
          <cell r="Y180">
            <v>485913</v>
          </cell>
          <cell r="Z180">
            <v>561364</v>
          </cell>
          <cell r="AA180">
            <v>1553513</v>
          </cell>
          <cell r="AB180">
            <v>597249</v>
          </cell>
          <cell r="AC180">
            <v>713661</v>
          </cell>
          <cell r="AD180">
            <v>744360</v>
          </cell>
          <cell r="AE180">
            <v>2055270</v>
          </cell>
          <cell r="AF180">
            <v>797359</v>
          </cell>
          <cell r="AG180">
            <v>829065</v>
          </cell>
          <cell r="AH180">
            <v>834564</v>
          </cell>
          <cell r="AI180">
            <v>2460988</v>
          </cell>
          <cell r="AJ180">
            <v>969220</v>
          </cell>
          <cell r="AK180">
            <v>1075614</v>
          </cell>
          <cell r="AL180">
            <v>1190554</v>
          </cell>
          <cell r="AM180">
            <v>3235388</v>
          </cell>
          <cell r="AN180">
            <v>1240484</v>
          </cell>
          <cell r="AO180">
            <v>1217842</v>
          </cell>
          <cell r="AP180">
            <v>1444373</v>
          </cell>
          <cell r="AQ180">
            <v>3902699</v>
          </cell>
          <cell r="AR180">
            <v>1407742</v>
          </cell>
          <cell r="AS180">
            <v>1505044</v>
          </cell>
          <cell r="AT180">
            <v>1511421</v>
          </cell>
          <cell r="AU180">
            <v>4424207</v>
          </cell>
          <cell r="AV180">
            <v>1533589</v>
          </cell>
          <cell r="AW180">
            <v>1572573</v>
          </cell>
          <cell r="AX180">
            <v>1540242</v>
          </cell>
          <cell r="AY180">
            <v>4646404</v>
          </cell>
          <cell r="AZ180">
            <v>1582433</v>
          </cell>
          <cell r="BA180">
            <v>1554387</v>
          </cell>
          <cell r="BB180">
            <v>1639913</v>
          </cell>
          <cell r="BC180">
            <v>4776733</v>
          </cell>
          <cell r="BD180">
            <v>1875985</v>
          </cell>
          <cell r="BE180">
            <v>1873922</v>
          </cell>
          <cell r="BF180">
            <v>2046742</v>
          </cell>
          <cell r="BG180">
            <v>5796649</v>
          </cell>
          <cell r="BH180">
            <v>2006691</v>
          </cell>
          <cell r="BI180">
            <v>2067451</v>
          </cell>
          <cell r="BJ180">
            <v>2080884</v>
          </cell>
          <cell r="BK180">
            <v>6155026</v>
          </cell>
          <cell r="BL180">
            <v>2099449</v>
          </cell>
          <cell r="BM180">
            <v>2127390</v>
          </cell>
          <cell r="BN180">
            <v>1984414</v>
          </cell>
          <cell r="BO180">
            <v>6211253</v>
          </cell>
        </row>
        <row r="181">
          <cell r="A181" t="str">
            <v xml:space="preserve">  % Change</v>
          </cell>
          <cell r="R181">
            <v>1.3797332610196231</v>
          </cell>
          <cell r="T181">
            <v>1.3909683842537857</v>
          </cell>
          <cell r="U181">
            <v>1.5573065985892152</v>
          </cell>
          <cell r="V181">
            <v>1.5838051851772263</v>
          </cell>
          <cell r="W181">
            <v>1.5115538638139716</v>
          </cell>
          <cell r="X181">
            <v>1.6401522855876296</v>
          </cell>
          <cell r="Y181">
            <v>1.7226592704656243</v>
          </cell>
          <cell r="Z181">
            <v>1.7657622592612663</v>
          </cell>
          <cell r="AA181">
            <v>1.7103216419160341</v>
          </cell>
          <cell r="AB181">
            <v>1.975963047670299</v>
          </cell>
          <cell r="AC181">
            <v>2.4264170691658427</v>
          </cell>
          <cell r="AD181">
            <v>1.6786234791589449</v>
          </cell>
          <cell r="AE181">
            <v>1.9922604540650086</v>
          </cell>
          <cell r="AF181">
            <v>1.3851885753942614</v>
          </cell>
          <cell r="AG181">
            <v>1.2222534939449008</v>
          </cell>
          <cell r="AH181">
            <v>1.161377374224994</v>
          </cell>
          <cell r="AI181">
            <v>1.2505688178100329</v>
          </cell>
          <cell r="AJ181">
            <v>1.2930728955954129</v>
          </cell>
          <cell r="AK181">
            <v>1.445928092105413</v>
          </cell>
          <cell r="AL181">
            <v>1.4753443597766989</v>
          </cell>
          <cell r="AM181">
            <v>1.4083668615708707</v>
          </cell>
          <cell r="AN181">
            <v>1.4504065297608228</v>
          </cell>
          <cell r="AO181">
            <v>1.5062963946220824</v>
          </cell>
          <cell r="AP181">
            <v>1.5729704790474628</v>
          </cell>
          <cell r="AQ181">
            <v>1.5121765958830085</v>
          </cell>
          <cell r="AR181">
            <v>1.3570437120865835</v>
          </cell>
          <cell r="AS181">
            <v>1.1089060492306571</v>
          </cell>
          <cell r="AT181">
            <v>1.0304973399967756</v>
          </cell>
          <cell r="AU181">
            <v>1.1526159580006521</v>
          </cell>
          <cell r="AV181">
            <v>0.92333566185369453</v>
          </cell>
          <cell r="AW181">
            <v>0.89680302509453425</v>
          </cell>
          <cell r="AX181">
            <v>0.8455648698002789</v>
          </cell>
          <cell r="AY181">
            <v>0.88802383432995202</v>
          </cell>
          <cell r="AZ181">
            <v>0.63268710922184845</v>
          </cell>
          <cell r="BA181">
            <v>0.44511599886204523</v>
          </cell>
          <cell r="BB181">
            <v>0.37743689072482223</v>
          </cell>
          <cell r="BC181">
            <v>0.47640190295568874</v>
          </cell>
          <cell r="BD181">
            <v>0.51230084386416919</v>
          </cell>
          <cell r="BE181">
            <v>0.5387234140389312</v>
          </cell>
          <cell r="BF181">
            <v>0.41704532001082817</v>
          </cell>
          <cell r="BG181">
            <v>0.48529235792973013</v>
          </cell>
          <cell r="BH181">
            <v>0.42546787692631183</v>
          </cell>
          <cell r="BI181">
            <v>0.37368143389827813</v>
          </cell>
          <cell r="BJ181">
            <v>0.37677324848602733</v>
          </cell>
          <cell r="BK181">
            <v>0.39121564610335824</v>
          </cell>
          <cell r="BL181">
            <v>0.36897760742937002</v>
          </cell>
          <cell r="BM181">
            <v>0.35280842288402514</v>
          </cell>
          <cell r="BN181">
            <v>0.28837806007107969</v>
          </cell>
          <cell r="BO181">
            <v>0.33678711536921879</v>
          </cell>
        </row>
        <row r="183">
          <cell r="A183" t="str">
            <v xml:space="preserve">TOTAL ORAL CONTRACEPTIVES REPORTED SALES </v>
          </cell>
          <cell r="S183">
            <v>18.100000000000001</v>
          </cell>
          <cell r="W183">
            <v>14</v>
          </cell>
          <cell r="AA183">
            <v>20.6</v>
          </cell>
          <cell r="AE183">
            <v>40.299999999999997</v>
          </cell>
          <cell r="AI183">
            <v>43.1</v>
          </cell>
          <cell r="AM183">
            <v>71.3</v>
          </cell>
          <cell r="AQ183">
            <v>83</v>
          </cell>
          <cell r="AU183">
            <v>77.7</v>
          </cell>
          <cell r="AY183">
            <v>88.2</v>
          </cell>
          <cell r="BC183">
            <v>98.5</v>
          </cell>
          <cell r="BG183">
            <v>101.8</v>
          </cell>
          <cell r="BK183">
            <v>114.9</v>
          </cell>
          <cell r="BO183">
            <v>100</v>
          </cell>
        </row>
        <row r="184">
          <cell r="A184" t="str">
            <v xml:space="preserve">  % Change</v>
          </cell>
          <cell r="AI184">
            <v>1.3812154696132595</v>
          </cell>
          <cell r="AM184">
            <v>4.0928571428571425</v>
          </cell>
          <cell r="AQ184">
            <v>3.0291262135922326</v>
          </cell>
          <cell r="AU184">
            <v>0.92803970223325072</v>
          </cell>
          <cell r="AY184">
            <v>1.0464037122969838</v>
          </cell>
          <cell r="BC184">
            <v>0.38148667601683028</v>
          </cell>
          <cell r="BG184">
            <v>0.22650602409638543</v>
          </cell>
          <cell r="BK184">
            <v>0.4787644787644787</v>
          </cell>
          <cell r="BO184">
            <v>0.13378684807256236</v>
          </cell>
        </row>
        <row r="186">
          <cell r="A186" t="str">
            <v>TOTAL ORAL CONTRACEPTIVES (IMS)</v>
          </cell>
          <cell r="C186">
            <v>6.1124599999999996</v>
          </cell>
          <cell r="D186">
            <v>4.9805210000000004</v>
          </cell>
          <cell r="E186">
            <v>5.1473820000000003</v>
          </cell>
          <cell r="F186">
            <v>7.675306</v>
          </cell>
          <cell r="G186">
            <v>17.803208999999999</v>
          </cell>
          <cell r="H186">
            <v>5.6783979999999996</v>
          </cell>
          <cell r="I186">
            <v>5.5059420000000001</v>
          </cell>
          <cell r="J186">
            <v>7.8040929999999999</v>
          </cell>
          <cell r="K186">
            <v>18.988433000000001</v>
          </cell>
          <cell r="L186">
            <v>5.5722630000000004</v>
          </cell>
          <cell r="M186">
            <v>6.633616</v>
          </cell>
          <cell r="N186">
            <v>11.011454000000001</v>
          </cell>
          <cell r="O186">
            <v>23.217333</v>
          </cell>
          <cell r="P186">
            <v>10.262</v>
          </cell>
          <cell r="Q186">
            <v>11.089980000000001</v>
          </cell>
          <cell r="R186">
            <v>13.370997000000001</v>
          </cell>
          <cell r="S186">
            <v>34.722977</v>
          </cell>
          <cell r="T186">
            <v>11.063065999999999</v>
          </cell>
          <cell r="U186">
            <v>14.367908999999999</v>
          </cell>
          <cell r="V186">
            <v>14.229889</v>
          </cell>
          <cell r="W186">
            <v>39.660863999999997</v>
          </cell>
          <cell r="X186">
            <v>13.940738</v>
          </cell>
          <cell r="Y186">
            <v>13.43093</v>
          </cell>
          <cell r="Z186">
            <v>18.629694999999998</v>
          </cell>
          <cell r="AA186">
            <v>46.001362999999998</v>
          </cell>
          <cell r="AB186">
            <v>18.565674999999999</v>
          </cell>
          <cell r="AC186">
            <v>18.384585999999999</v>
          </cell>
          <cell r="AD186">
            <v>23.983356999999998</v>
          </cell>
          <cell r="AE186">
            <v>60.933618000000003</v>
          </cell>
          <cell r="AF186">
            <v>20.205607000000001</v>
          </cell>
          <cell r="AG186">
            <v>21.686232</v>
          </cell>
          <cell r="AH186">
            <v>29.043521999999999</v>
          </cell>
          <cell r="AI186">
            <v>70.935361</v>
          </cell>
          <cell r="AJ186">
            <v>25.743145999999999</v>
          </cell>
          <cell r="AK186">
            <v>27.021621000000003</v>
          </cell>
          <cell r="AL186">
            <v>31.956135000000003</v>
          </cell>
          <cell r="AM186">
            <v>84.720901999999995</v>
          </cell>
          <cell r="AN186">
            <v>31.740828999999998</v>
          </cell>
          <cell r="AO186">
            <v>34.702149000000006</v>
          </cell>
          <cell r="AP186">
            <v>43.694089000000005</v>
          </cell>
          <cell r="AQ186">
            <v>110.137067</v>
          </cell>
          <cell r="AR186">
            <v>33.380130999999992</v>
          </cell>
          <cell r="AS186">
            <v>34.754324999999994</v>
          </cell>
          <cell r="AT186">
            <v>45.988462999999996</v>
          </cell>
          <cell r="AU186">
            <v>114.122919</v>
          </cell>
          <cell r="AV186">
            <v>34.187107000000005</v>
          </cell>
          <cell r="AW186">
            <v>36.639955999999998</v>
          </cell>
          <cell r="AX186">
            <v>45.470780999999995</v>
          </cell>
          <cell r="AY186">
            <v>116.29784400000003</v>
          </cell>
          <cell r="AZ186">
            <v>36.727969999999999</v>
          </cell>
          <cell r="BA186">
            <v>37.813631000000001</v>
          </cell>
          <cell r="BB186">
            <v>45.30472300000001</v>
          </cell>
          <cell r="BC186">
            <v>119.84632400000001</v>
          </cell>
          <cell r="BD186">
            <v>42.225924000000006</v>
          </cell>
          <cell r="BE186">
            <v>43.772331000000008</v>
          </cell>
          <cell r="BF186">
            <v>59.323220999999997</v>
          </cell>
          <cell r="BG186">
            <v>145.32147600000002</v>
          </cell>
          <cell r="BH186">
            <v>47.970149000000006</v>
          </cell>
          <cell r="BI186">
            <v>48.192371999999999</v>
          </cell>
          <cell r="BJ186">
            <v>60.53662099999999</v>
          </cell>
          <cell r="BK186">
            <v>156.69914199999999</v>
          </cell>
          <cell r="BL186">
            <v>44.878858999999999</v>
          </cell>
          <cell r="BM186">
            <v>47.787793000000001</v>
          </cell>
        </row>
        <row r="187">
          <cell r="A187" t="str">
            <v xml:space="preserve">  % Change</v>
          </cell>
          <cell r="R187">
            <v>1.1874984866976637</v>
          </cell>
          <cell r="T187">
            <v>1.221266811243241</v>
          </cell>
          <cell r="U187">
            <v>1.7913042008539484</v>
          </cell>
          <cell r="V187">
            <v>0.8539832809271708</v>
          </cell>
          <cell r="W187">
            <v>1.2277368085719829</v>
          </cell>
          <cell r="X187">
            <v>1.455047708878455</v>
          </cell>
          <cell r="Y187">
            <v>1.4393518856537173</v>
          </cell>
          <cell r="Z187">
            <v>1.387169783855728</v>
          </cell>
          <cell r="AA187">
            <v>1.4225992213259513</v>
          </cell>
          <cell r="AB187">
            <v>2.3318016396569936</v>
          </cell>
          <cell r="AC187">
            <v>1.7714275291183572</v>
          </cell>
          <cell r="AD187">
            <v>1.1780372510297004</v>
          </cell>
          <cell r="AE187">
            <v>1.6244882648665979</v>
          </cell>
          <cell r="AF187">
            <v>0.9689735918924185</v>
          </cell>
          <cell r="AG187">
            <v>0.95547981150552119</v>
          </cell>
          <cell r="AH187">
            <v>1.1721283760664964</v>
          </cell>
          <cell r="AI187">
            <v>1.0428939891876206</v>
          </cell>
          <cell r="AJ187">
            <v>1.3269449897523886</v>
          </cell>
          <cell r="AK187">
            <v>0.88069266028898174</v>
          </cell>
          <cell r="AL187">
            <v>1.2457051492109321</v>
          </cell>
          <cell r="AM187">
            <v>1.1361335446449177</v>
          </cell>
          <cell r="AN187">
            <v>1.2768399348728883</v>
          </cell>
          <cell r="AO187">
            <v>1.5837487798685577</v>
          </cell>
          <cell r="AP187">
            <v>1.3454001259816657</v>
          </cell>
          <cell r="AQ187">
            <v>1.3942131236415758</v>
          </cell>
          <cell r="AR187">
            <v>0.79794868756455095</v>
          </cell>
          <cell r="AS187">
            <v>0.89040563654792093</v>
          </cell>
          <cell r="AT187">
            <v>0.91751567555784619</v>
          </cell>
          <cell r="AU187">
            <v>0.87290567581265233</v>
          </cell>
          <cell r="AV187">
            <v>0.6919613946762404</v>
          </cell>
          <cell r="AW187">
            <v>0.68954920338397185</v>
          </cell>
          <cell r="AX187">
            <v>0.56560836526644387</v>
          </cell>
          <cell r="AY187">
            <v>0.63949040873986718</v>
          </cell>
          <cell r="AZ187">
            <v>0.42670868587700972</v>
          </cell>
          <cell r="BA187">
            <v>0.39938425603704508</v>
          </cell>
          <cell r="BB187">
            <v>0.4177159722225483</v>
          </cell>
          <cell r="BC187">
            <v>0.41460160563446324</v>
          </cell>
          <cell r="BD187">
            <v>0.33033462988632123</v>
          </cell>
          <cell r="BE187">
            <v>0.26137234325171055</v>
          </cell>
          <cell r="BF187">
            <v>0.35769442406729168</v>
          </cell>
          <cell r="BG187">
            <v>0.31946019590298347</v>
          </cell>
          <cell r="BH187">
            <v>0.43708690058765853</v>
          </cell>
          <cell r="BI187">
            <v>0.38665826483466459</v>
          </cell>
          <cell r="BJ187">
            <v>0.31634364470932619</v>
          </cell>
          <cell r="BK187">
            <v>0.37307337888895042</v>
          </cell>
          <cell r="BL187">
            <v>0.31274222764739923</v>
          </cell>
          <cell r="BM187">
            <v>0.30425355860143499</v>
          </cell>
        </row>
        <row r="189">
          <cell r="A189" t="str">
            <v>REPORTED SALES/TRx WOMEN'S HEALTH</v>
          </cell>
          <cell r="S189">
            <v>16.552415372347042</v>
          </cell>
          <cell r="W189">
            <v>10.421357828486782</v>
          </cell>
          <cell r="AA189">
            <v>13.260268822983779</v>
          </cell>
          <cell r="AE189">
            <v>19.60812934553611</v>
          </cell>
          <cell r="AI189">
            <v>17.513291409791513</v>
          </cell>
          <cell r="AM189">
            <v>22.037542328771696</v>
          </cell>
          <cell r="AQ189">
            <v>21.267333196846593</v>
          </cell>
          <cell r="AU189">
            <v>17.562469387169273</v>
          </cell>
          <cell r="AY189">
            <v>18.982421674912469</v>
          </cell>
          <cell r="BC189">
            <v>20.620788308662007</v>
          </cell>
          <cell r="BG189">
            <v>17.561870660100343</v>
          </cell>
          <cell r="BK189">
            <v>18.667670940788877</v>
          </cell>
          <cell r="BO189">
            <v>16.099811100916352</v>
          </cell>
        </row>
        <row r="190">
          <cell r="A190" t="str">
            <v>IMS SALES/REPORTED SALES</v>
          </cell>
          <cell r="S190">
            <v>1.9183965193370165</v>
          </cell>
          <cell r="W190">
            <v>2.832918857142857</v>
          </cell>
          <cell r="AA190">
            <v>2.2330758737864076</v>
          </cell>
          <cell r="AE190">
            <v>1.5120004466501242</v>
          </cell>
          <cell r="AI190">
            <v>1.645832041763341</v>
          </cell>
          <cell r="AM190">
            <v>1.1882314446002804</v>
          </cell>
          <cell r="AQ190">
            <v>1.3269526144578314</v>
          </cell>
          <cell r="AU190">
            <v>1.4687634362934361</v>
          </cell>
          <cell r="AY190">
            <v>1.3185696598639458</v>
          </cell>
          <cell r="BC190">
            <v>1.2167139492385788</v>
          </cell>
          <cell r="BG190">
            <v>1.4275194106090376</v>
          </cell>
          <cell r="BK190">
            <v>1.363787136640557</v>
          </cell>
        </row>
        <row r="192">
          <cell r="A192" t="str">
            <v>Other Generics</v>
          </cell>
        </row>
        <row r="193">
          <cell r="A193" t="str">
            <v>WARFARIN SODIUM</v>
          </cell>
        </row>
        <row r="194">
          <cell r="A194" t="str">
            <v>TRx</v>
          </cell>
          <cell r="C194">
            <v>515011</v>
          </cell>
          <cell r="D194">
            <v>548160</v>
          </cell>
          <cell r="E194">
            <v>535104</v>
          </cell>
          <cell r="F194">
            <v>547653</v>
          </cell>
          <cell r="G194">
            <v>1630917</v>
          </cell>
          <cell r="H194">
            <v>583377</v>
          </cell>
          <cell r="I194">
            <v>541261</v>
          </cell>
          <cell r="J194">
            <v>609953</v>
          </cell>
          <cell r="K194">
            <v>1734591</v>
          </cell>
          <cell r="L194">
            <v>593276</v>
          </cell>
          <cell r="M194">
            <v>627785</v>
          </cell>
          <cell r="N194">
            <v>609259</v>
          </cell>
          <cell r="O194">
            <v>1830320</v>
          </cell>
          <cell r="P194">
            <v>646618</v>
          </cell>
          <cell r="Q194">
            <v>664232</v>
          </cell>
          <cell r="R194">
            <v>630137</v>
          </cell>
          <cell r="S194">
            <v>1940987</v>
          </cell>
          <cell r="T194">
            <v>697315</v>
          </cell>
          <cell r="U194">
            <v>681070</v>
          </cell>
          <cell r="V194">
            <v>731433</v>
          </cell>
          <cell r="W194">
            <v>2109818</v>
          </cell>
          <cell r="X194">
            <v>788089</v>
          </cell>
          <cell r="Y194">
            <v>735040</v>
          </cell>
          <cell r="Z194">
            <v>804281</v>
          </cell>
          <cell r="AA194">
            <v>2327410</v>
          </cell>
          <cell r="AB194">
            <v>839336</v>
          </cell>
          <cell r="AC194">
            <v>869195</v>
          </cell>
          <cell r="AD194">
            <v>823429</v>
          </cell>
          <cell r="AE194">
            <v>2531960</v>
          </cell>
          <cell r="AF194">
            <v>904653</v>
          </cell>
          <cell r="AG194">
            <v>898007</v>
          </cell>
          <cell r="AH194">
            <v>878128</v>
          </cell>
          <cell r="AI194">
            <v>2680788</v>
          </cell>
          <cell r="AJ194">
            <v>943640</v>
          </cell>
          <cell r="AK194">
            <v>915167</v>
          </cell>
          <cell r="AL194">
            <v>987973</v>
          </cell>
          <cell r="AM194">
            <v>2846780</v>
          </cell>
          <cell r="AN194">
            <v>988623</v>
          </cell>
          <cell r="AO194">
            <v>913022</v>
          </cell>
          <cell r="AP194">
            <v>1010918</v>
          </cell>
          <cell r="AQ194">
            <v>2912563</v>
          </cell>
          <cell r="AR194">
            <v>1008909</v>
          </cell>
          <cell r="AS194">
            <v>1054204</v>
          </cell>
          <cell r="AT194">
            <v>1033213</v>
          </cell>
          <cell r="AU194">
            <v>3096326</v>
          </cell>
          <cell r="AV194">
            <v>1086914</v>
          </cell>
          <cell r="AW194">
            <v>1082588</v>
          </cell>
          <cell r="AX194">
            <v>1110453</v>
          </cell>
          <cell r="AY194">
            <v>3279955</v>
          </cell>
          <cell r="AZ194">
            <v>1159585</v>
          </cell>
          <cell r="BA194">
            <v>1099763</v>
          </cell>
          <cell r="BB194">
            <v>1231348</v>
          </cell>
          <cell r="BC194">
            <v>3490696</v>
          </cell>
          <cell r="BD194">
            <v>1200992</v>
          </cell>
          <cell r="BE194">
            <v>1125269</v>
          </cell>
          <cell r="BF194">
            <v>1258988</v>
          </cell>
          <cell r="BG194">
            <v>3585249</v>
          </cell>
          <cell r="BH194">
            <v>1213209</v>
          </cell>
          <cell r="BI194">
            <v>1204463</v>
          </cell>
          <cell r="BJ194">
            <v>1272087</v>
          </cell>
          <cell r="BK194">
            <v>3689759</v>
          </cell>
          <cell r="BL194">
            <v>1278933</v>
          </cell>
          <cell r="BM194">
            <v>1307346</v>
          </cell>
          <cell r="BN194">
            <v>1277416</v>
          </cell>
          <cell r="BO194">
            <v>3863695</v>
          </cell>
        </row>
        <row r="195">
          <cell r="A195" t="str">
            <v xml:space="preserve">  % Change</v>
          </cell>
          <cell r="R195">
            <v>0.22354085640889232</v>
          </cell>
          <cell r="T195">
            <v>0.27210121132516063</v>
          </cell>
          <cell r="U195">
            <v>0.27278061834708778</v>
          </cell>
          <cell r="V195">
            <v>0.33557745506735115</v>
          </cell>
          <cell r="W195">
            <v>0.29363909996646065</v>
          </cell>
          <cell r="X195">
            <v>0.35090858912847089</v>
          </cell>
          <cell r="Y195">
            <v>0.35801397107864785</v>
          </cell>
          <cell r="Z195">
            <v>0.3185950392899124</v>
          </cell>
          <cell r="AA195">
            <v>0.34176298620251111</v>
          </cell>
          <cell r="AB195">
            <v>0.41474794193596232</v>
          </cell>
          <cell r="AC195">
            <v>0.38454247871484659</v>
          </cell>
          <cell r="AD195">
            <v>0.35152537754879298</v>
          </cell>
          <cell r="AE195">
            <v>0.38334280344420657</v>
          </cell>
          <cell r="AF195">
            <v>0.39905322771713747</v>
          </cell>
          <cell r="AG195">
            <v>0.35194781341459014</v>
          </cell>
          <cell r="AH195">
            <v>0.39355092622715371</v>
          </cell>
          <cell r="AI195">
            <v>0.38114680829907677</v>
          </cell>
          <cell r="AJ195">
            <v>0.35324781483260792</v>
          </cell>
          <cell r="AK195">
            <v>0.3437194414671032</v>
          </cell>
          <cell r="AL195">
            <v>0.35073615765217037</v>
          </cell>
          <cell r="AM195">
            <v>0.34930121934688207</v>
          </cell>
          <cell r="AN195">
            <v>0.25445603225016455</v>
          </cell>
          <cell r="AO195">
            <v>0.24213920330866356</v>
          </cell>
          <cell r="AP195">
            <v>0.25692139936166591</v>
          </cell>
          <cell r="AQ195">
            <v>0.2514180999480109</v>
          </cell>
          <cell r="AR195">
            <v>0.20203232078690769</v>
          </cell>
          <cell r="AS195">
            <v>0.21285097130103137</v>
          </cell>
          <cell r="AT195">
            <v>0.25476877787884566</v>
          </cell>
          <cell r="AU195">
            <v>0.22289688620673309</v>
          </cell>
          <cell r="AV195">
            <v>0.20147061912136466</v>
          </cell>
          <cell r="AW195">
            <v>0.20554516835614867</v>
          </cell>
          <cell r="AX195">
            <v>0.26456849115390924</v>
          </cell>
          <cell r="AY195">
            <v>0.22350405925421923</v>
          </cell>
          <cell r="AZ195">
            <v>0.22884256708066641</v>
          </cell>
          <cell r="BA195">
            <v>0.20170744793026851</v>
          </cell>
          <cell r="BB195">
            <v>0.24633770356072482</v>
          </cell>
          <cell r="BC195">
            <v>0.22619099473791437</v>
          </cell>
          <cell r="BD195">
            <v>0.21481292666668694</v>
          </cell>
          <cell r="BE195">
            <v>0.23246646849692554</v>
          </cell>
          <cell r="BF195">
            <v>0.24539082299454562</v>
          </cell>
          <cell r="BG195">
            <v>0.23096015433829242</v>
          </cell>
          <cell r="BH195">
            <v>0.20249596346152132</v>
          </cell>
          <cell r="BI195">
            <v>0.14253313400442424</v>
          </cell>
          <cell r="BJ195">
            <v>0.23119531016353845</v>
          </cell>
          <cell r="BK195">
            <v>0.19165714462882777</v>
          </cell>
          <cell r="BL195">
            <v>0.1766643911109802</v>
          </cell>
          <cell r="BM195">
            <v>0.20761175996778092</v>
          </cell>
          <cell r="BN195">
            <v>0.15035575571410953</v>
          </cell>
          <cell r="BO195">
            <v>0.17797195388351361</v>
          </cell>
        </row>
        <row r="196">
          <cell r="A196" t="str">
            <v>NRx</v>
          </cell>
          <cell r="C196">
            <v>221092</v>
          </cell>
          <cell r="D196">
            <v>236737</v>
          </cell>
          <cell r="E196">
            <v>229095</v>
          </cell>
          <cell r="F196">
            <v>229176</v>
          </cell>
          <cell r="G196">
            <v>695008</v>
          </cell>
          <cell r="H196">
            <v>256709</v>
          </cell>
          <cell r="I196">
            <v>240261</v>
          </cell>
          <cell r="J196">
            <v>266093</v>
          </cell>
          <cell r="K196">
            <v>763063</v>
          </cell>
          <cell r="L196">
            <v>254089</v>
          </cell>
          <cell r="M196">
            <v>268406</v>
          </cell>
          <cell r="N196">
            <v>259009</v>
          </cell>
          <cell r="O196">
            <v>781504</v>
          </cell>
          <cell r="P196">
            <v>269269</v>
          </cell>
          <cell r="Q196">
            <v>278110</v>
          </cell>
          <cell r="R196">
            <v>259735</v>
          </cell>
          <cell r="S196">
            <v>807114</v>
          </cell>
          <cell r="T196">
            <v>292061</v>
          </cell>
          <cell r="U196">
            <v>284711</v>
          </cell>
          <cell r="V196">
            <v>303460</v>
          </cell>
          <cell r="W196">
            <v>880232</v>
          </cell>
          <cell r="X196">
            <v>350163</v>
          </cell>
          <cell r="Y196">
            <v>322446</v>
          </cell>
          <cell r="Z196">
            <v>348737</v>
          </cell>
          <cell r="AA196">
            <v>1021346</v>
          </cell>
          <cell r="AB196">
            <v>361456</v>
          </cell>
          <cell r="AC196">
            <v>370810</v>
          </cell>
          <cell r="AD196">
            <v>342385</v>
          </cell>
          <cell r="AE196">
            <v>1074651</v>
          </cell>
          <cell r="AF196">
            <v>377233</v>
          </cell>
          <cell r="AG196">
            <v>372832</v>
          </cell>
          <cell r="AH196">
            <v>360722</v>
          </cell>
          <cell r="AI196">
            <v>1110787</v>
          </cell>
          <cell r="AJ196">
            <v>392231</v>
          </cell>
          <cell r="AK196">
            <v>375510</v>
          </cell>
          <cell r="AL196">
            <v>401130</v>
          </cell>
          <cell r="AM196">
            <v>1168871</v>
          </cell>
          <cell r="AN196">
            <v>418680</v>
          </cell>
          <cell r="AO196">
            <v>389433</v>
          </cell>
          <cell r="AP196">
            <v>421695</v>
          </cell>
          <cell r="AQ196">
            <v>1229808</v>
          </cell>
          <cell r="AR196">
            <v>417527</v>
          </cell>
          <cell r="AS196">
            <v>435087</v>
          </cell>
          <cell r="AT196">
            <v>420476</v>
          </cell>
          <cell r="AU196">
            <v>1273090</v>
          </cell>
          <cell r="AV196">
            <v>444628</v>
          </cell>
          <cell r="AW196">
            <v>439540</v>
          </cell>
          <cell r="AX196">
            <v>453238</v>
          </cell>
          <cell r="AY196">
            <v>1337406</v>
          </cell>
          <cell r="AZ196">
            <v>480674</v>
          </cell>
          <cell r="BA196">
            <v>446863</v>
          </cell>
          <cell r="BB196">
            <v>502208</v>
          </cell>
          <cell r="BC196">
            <v>1429745</v>
          </cell>
          <cell r="BD196">
            <v>500519</v>
          </cell>
          <cell r="BE196">
            <v>471885</v>
          </cell>
          <cell r="BF196">
            <v>524825</v>
          </cell>
          <cell r="BG196">
            <v>1497229</v>
          </cell>
          <cell r="BH196">
            <v>502412</v>
          </cell>
          <cell r="BI196">
            <v>489418</v>
          </cell>
          <cell r="BJ196">
            <v>521183</v>
          </cell>
          <cell r="BK196">
            <v>1513013</v>
          </cell>
          <cell r="BL196">
            <v>521160</v>
          </cell>
          <cell r="BM196">
            <v>528689</v>
          </cell>
          <cell r="BN196">
            <v>521731</v>
          </cell>
          <cell r="BO196">
            <v>1571580</v>
          </cell>
        </row>
        <row r="197">
          <cell r="A197" t="str">
            <v xml:space="preserve">  % Change</v>
          </cell>
          <cell r="R197">
            <v>0.17478244350768013</v>
          </cell>
          <cell r="T197">
            <v>0.23369393039533315</v>
          </cell>
          <cell r="U197">
            <v>0.24276391889827353</v>
          </cell>
          <cell r="V197">
            <v>0.32413516249520025</v>
          </cell>
          <cell r="W197">
            <v>0.26650628481974303</v>
          </cell>
          <cell r="X197">
            <v>0.36404644948170883</v>
          </cell>
          <cell r="Y197">
            <v>0.34206550376465583</v>
          </cell>
          <cell r="Z197">
            <v>0.31058314198419357</v>
          </cell>
          <cell r="AA197">
            <v>0.33848188157465375</v>
          </cell>
          <cell r="AB197">
            <v>0.42255666321643193</v>
          </cell>
          <cell r="AC197">
            <v>0.38152649344649525</v>
          </cell>
          <cell r="AD197">
            <v>0.32190387206622173</v>
          </cell>
          <cell r="AE197">
            <v>0.37510620547047746</v>
          </cell>
          <cell r="AF197">
            <v>0.40095220764365735</v>
          </cell>
          <cell r="AG197">
            <v>0.34059185214483478</v>
          </cell>
          <cell r="AH197">
            <v>0.3888078233584229</v>
          </cell>
          <cell r="AI197">
            <v>0.37624548700679217</v>
          </cell>
          <cell r="AJ197">
            <v>0.34297629604774338</v>
          </cell>
          <cell r="AK197">
            <v>0.31891637485028679</v>
          </cell>
          <cell r="AL197">
            <v>0.32185461016278927</v>
          </cell>
          <cell r="AM197">
            <v>0.32791241399994542</v>
          </cell>
          <cell r="AN197">
            <v>0.19567173002287497</v>
          </cell>
          <cell r="AO197">
            <v>0.20774641335293342</v>
          </cell>
          <cell r="AP197">
            <v>0.20920636468169418</v>
          </cell>
          <cell r="AQ197">
            <v>0.2041051710194195</v>
          </cell>
          <cell r="AR197">
            <v>0.15512538178920798</v>
          </cell>
          <cell r="AS197">
            <v>0.1733421428764057</v>
          </cell>
          <cell r="AT197">
            <v>0.22807950114637032</v>
          </cell>
          <cell r="AU197">
            <v>0.1846543668595666</v>
          </cell>
          <cell r="AV197">
            <v>0.17865616210670865</v>
          </cell>
          <cell r="AW197">
            <v>0.17892241009355425</v>
          </cell>
          <cell r="AX197">
            <v>0.25647451500047125</v>
          </cell>
          <cell r="AY197">
            <v>0.20401661164561702</v>
          </cell>
          <cell r="AZ197">
            <v>0.22548702167855161</v>
          </cell>
          <cell r="BA197">
            <v>0.19001624457404587</v>
          </cell>
          <cell r="BB197">
            <v>0.25198314760800744</v>
          </cell>
          <cell r="BC197">
            <v>0.22318459436498972</v>
          </cell>
          <cell r="BD197">
            <v>0.1954690933409764</v>
          </cell>
          <cell r="BE197">
            <v>0.21172319757185454</v>
          </cell>
          <cell r="BF197">
            <v>0.24456064217028906</v>
          </cell>
          <cell r="BG197">
            <v>0.21744939047396006</v>
          </cell>
          <cell r="BH197">
            <v>0.2033042174518056</v>
          </cell>
          <cell r="BI197">
            <v>0.12487387579955267</v>
          </cell>
          <cell r="BJ197">
            <v>0.23950713001455504</v>
          </cell>
          <cell r="BK197">
            <v>0.18845721826422324</v>
          </cell>
          <cell r="BL197">
            <v>0.17212591199834471</v>
          </cell>
          <cell r="BM197">
            <v>0.20282340628839246</v>
          </cell>
          <cell r="BN197">
            <v>0.15111927949554094</v>
          </cell>
          <cell r="BO197">
            <v>0.1750956702751445</v>
          </cell>
        </row>
        <row r="198">
          <cell r="A198" t="str">
            <v>Sales (IMS)</v>
          </cell>
          <cell r="C198">
            <v>7.3796189999999999</v>
          </cell>
          <cell r="D198">
            <v>5.9566299999999996</v>
          </cell>
          <cell r="E198">
            <v>6.0225010000000001</v>
          </cell>
          <cell r="F198">
            <v>7.9266209999999999</v>
          </cell>
          <cell r="G198">
            <v>19.905752</v>
          </cell>
          <cell r="H198">
            <v>6.7153039999999997</v>
          </cell>
          <cell r="I198">
            <v>6.48386</v>
          </cell>
          <cell r="J198">
            <v>8.3907439999999998</v>
          </cell>
          <cell r="K198">
            <v>21.589908000000001</v>
          </cell>
          <cell r="L198">
            <v>6.5358400000000003</v>
          </cell>
          <cell r="M198">
            <v>7.1658900000000001</v>
          </cell>
          <cell r="N198">
            <v>8.887556</v>
          </cell>
          <cell r="O198">
            <v>22.589286000000001</v>
          </cell>
          <cell r="P198">
            <v>6.9394989999999996</v>
          </cell>
          <cell r="Q198">
            <v>7.1754179999999996</v>
          </cell>
          <cell r="R198">
            <v>8.5618079999999992</v>
          </cell>
          <cell r="S198">
            <v>22.676724999999998</v>
          </cell>
          <cell r="T198">
            <v>7.0063870000000001</v>
          </cell>
          <cell r="U198">
            <v>8.9127670000000006</v>
          </cell>
          <cell r="V198">
            <v>9.1388700000000007</v>
          </cell>
          <cell r="W198">
            <v>25.058024</v>
          </cell>
          <cell r="X198">
            <v>7.4897099999999996</v>
          </cell>
          <cell r="Y198">
            <v>7.5255429999999999</v>
          </cell>
          <cell r="Z198">
            <v>9.7434560000000001</v>
          </cell>
          <cell r="AA198">
            <v>24.758709</v>
          </cell>
          <cell r="AB198">
            <v>7.0855090000000001</v>
          </cell>
          <cell r="AC198">
            <v>7.403715</v>
          </cell>
          <cell r="AD198">
            <v>9.7037689999999994</v>
          </cell>
          <cell r="AE198">
            <v>24.192993000000001</v>
          </cell>
          <cell r="AF198">
            <v>7.7326370000000004</v>
          </cell>
          <cell r="AG198">
            <v>7.6421049999999999</v>
          </cell>
          <cell r="AH198">
            <v>9.6949570000000005</v>
          </cell>
          <cell r="AI198">
            <v>25.069699</v>
          </cell>
          <cell r="AJ198">
            <v>7.7134369999999999</v>
          </cell>
          <cell r="AK198">
            <v>7.7060529999999998</v>
          </cell>
          <cell r="AL198">
            <v>9.8761939999999999</v>
          </cell>
          <cell r="AM198">
            <v>25.295683999999998</v>
          </cell>
          <cell r="AN198">
            <v>8.0660340000000001</v>
          </cell>
          <cell r="AO198">
            <v>8.3131369999999993</v>
          </cell>
          <cell r="AP198">
            <v>10.358720999999999</v>
          </cell>
          <cell r="AQ198">
            <v>26.737892000000002</v>
          </cell>
          <cell r="AR198">
            <v>8.0350350000000006</v>
          </cell>
          <cell r="AS198">
            <v>8.2241309999999999</v>
          </cell>
          <cell r="AT198">
            <v>11.136647999999999</v>
          </cell>
          <cell r="AU198">
            <v>27.395814000000001</v>
          </cell>
          <cell r="AV198">
            <v>8.3682280000000002</v>
          </cell>
          <cell r="AW198">
            <v>8.8387539999999998</v>
          </cell>
          <cell r="AX198">
            <v>10.468851000000001</v>
          </cell>
          <cell r="AY198">
            <v>27.675833000000004</v>
          </cell>
          <cell r="AZ198">
            <v>8.4578410000000002</v>
          </cell>
          <cell r="BA198">
            <v>8.5943869999999993</v>
          </cell>
          <cell r="BB198">
            <v>10.533861999999999</v>
          </cell>
          <cell r="BC198">
            <v>27.586089999999999</v>
          </cell>
          <cell r="BD198">
            <v>8.3697929999999996</v>
          </cell>
          <cell r="BE198">
            <v>8.6398840000000003</v>
          </cell>
          <cell r="BF198">
            <v>10.861553000000001</v>
          </cell>
          <cell r="BG198">
            <v>27.871230000000004</v>
          </cell>
          <cell r="BH198">
            <v>8.1627039999999997</v>
          </cell>
          <cell r="BI198">
            <v>8.4638989999999996</v>
          </cell>
          <cell r="BJ198">
            <v>10.599774</v>
          </cell>
          <cell r="BK198">
            <v>27.226376999999999</v>
          </cell>
          <cell r="BL198">
            <v>8.2335930000000008</v>
          </cell>
          <cell r="BM198">
            <v>8.5174199999999995</v>
          </cell>
        </row>
        <row r="199">
          <cell r="A199" t="str">
            <v xml:space="preserve">  % Change</v>
          </cell>
          <cell r="R199">
            <v>0.16019648168828216</v>
          </cell>
          <cell r="T199">
            <v>0.17623337356861191</v>
          </cell>
          <cell r="U199">
            <v>0.47991125281672864</v>
          </cell>
          <cell r="V199">
            <v>0.15293389200770435</v>
          </cell>
          <cell r="W199">
            <v>0.25883332616622567</v>
          </cell>
          <cell r="X199">
            <v>0.11531957451218888</v>
          </cell>
          <cell r="Y199">
            <v>0.16065784887397316</v>
          </cell>
          <cell r="Z199">
            <v>0.16121478619774376</v>
          </cell>
          <cell r="AA199">
            <v>0.14677232529198347</v>
          </cell>
          <cell r="AB199">
            <v>8.4100742980244281E-2</v>
          </cell>
          <cell r="AC199">
            <v>3.3188480426018296E-2</v>
          </cell>
          <cell r="AD199">
            <v>9.1837733568148394E-2</v>
          </cell>
          <cell r="AE199">
            <v>7.0994142975568053E-2</v>
          </cell>
          <cell r="AF199">
            <v>0.11429326526309769</v>
          </cell>
          <cell r="AG199">
            <v>6.5039695248416241E-2</v>
          </cell>
          <cell r="AH199">
            <v>0.13234926548224402</v>
          </cell>
          <cell r="AI199">
            <v>0.10552555538773789</v>
          </cell>
          <cell r="AJ199">
            <v>0.10091506506848669</v>
          </cell>
          <cell r="AK199">
            <v>-0.13539162417238115</v>
          </cell>
          <cell r="AL199">
            <v>8.0679996542242005E-2</v>
          </cell>
          <cell r="AM199">
            <v>9.4843871168770466E-3</v>
          </cell>
          <cell r="AN199">
            <v>7.6948773717540497E-2</v>
          </cell>
          <cell r="AO199">
            <v>0.10465610255632041</v>
          </cell>
          <cell r="AP199">
            <v>6.3146485189649271E-2</v>
          </cell>
          <cell r="AQ199">
            <v>7.9938861109438486E-2</v>
          </cell>
          <cell r="AR199">
            <v>0.13400956797881425</v>
          </cell>
          <cell r="AS199">
            <v>0.1108113967109754</v>
          </cell>
          <cell r="AT199">
            <v>0.14766210943397362</v>
          </cell>
          <cell r="AU199">
            <v>0.13238630706006482</v>
          </cell>
          <cell r="AV199">
            <v>8.2195892552566541E-2</v>
          </cell>
          <cell r="AW199">
            <v>0.15658630704498311</v>
          </cell>
          <cell r="AX199">
            <v>7.9824387049885814E-2</v>
          </cell>
          <cell r="AY199">
            <v>0.10395553612350938</v>
          </cell>
          <cell r="AZ199">
            <v>9.6507432419555617E-2</v>
          </cell>
          <cell r="BA199">
            <v>0.11527743190969475</v>
          </cell>
          <cell r="BB199">
            <v>6.6591239499750543E-2</v>
          </cell>
          <cell r="BC199">
            <v>9.0545327811653697E-2</v>
          </cell>
          <cell r="BD199">
            <v>3.7659027968391934E-2</v>
          </cell>
          <cell r="BE199">
            <v>3.9304897778059011E-2</v>
          </cell>
          <cell r="BF199">
            <v>4.8541900105235181E-2</v>
          </cell>
          <cell r="BG199">
            <v>4.2386961545061386E-2</v>
          </cell>
          <cell r="BH199">
            <v>1.5889040931371001E-2</v>
          </cell>
          <cell r="BI199">
            <v>2.9154204863711453E-2</v>
          </cell>
          <cell r="BJ199">
            <v>-4.8207862904529164E-2</v>
          </cell>
          <cell r="BK199">
            <v>-6.1847769881925307E-3</v>
          </cell>
          <cell r="BL199">
            <v>-1.6088830275656885E-2</v>
          </cell>
          <cell r="BM199">
            <v>-3.6355124262990035E-2</v>
          </cell>
        </row>
        <row r="201">
          <cell r="A201" t="str">
            <v xml:space="preserve">AMPHETAMINE SALTS </v>
          </cell>
        </row>
        <row r="202">
          <cell r="A202" t="str">
            <v>TRx</v>
          </cell>
          <cell r="Y202">
            <v>5231</v>
          </cell>
          <cell r="Z202">
            <v>124507</v>
          </cell>
          <cell r="AA202">
            <v>129738</v>
          </cell>
          <cell r="AB202">
            <v>207546</v>
          </cell>
          <cell r="AC202">
            <v>222904</v>
          </cell>
          <cell r="AD202">
            <v>182325</v>
          </cell>
          <cell r="AE202">
            <v>612775</v>
          </cell>
          <cell r="AF202">
            <v>186369</v>
          </cell>
          <cell r="AG202">
            <v>226928</v>
          </cell>
          <cell r="AH202">
            <v>219149</v>
          </cell>
          <cell r="AI202">
            <v>632446</v>
          </cell>
          <cell r="AJ202">
            <v>234136</v>
          </cell>
          <cell r="AK202">
            <v>216679</v>
          </cell>
          <cell r="AL202">
            <v>208236</v>
          </cell>
          <cell r="AM202">
            <v>659051</v>
          </cell>
          <cell r="AN202">
            <v>219538</v>
          </cell>
          <cell r="AO202">
            <v>191507</v>
          </cell>
          <cell r="AP202">
            <v>203892</v>
          </cell>
          <cell r="AQ202">
            <v>614937</v>
          </cell>
          <cell r="AR202">
            <v>199004</v>
          </cell>
          <cell r="AS202">
            <v>191733</v>
          </cell>
          <cell r="AT202">
            <v>158972</v>
          </cell>
          <cell r="AU202">
            <v>549709</v>
          </cell>
          <cell r="AV202">
            <v>158789</v>
          </cell>
          <cell r="AW202">
            <v>182817</v>
          </cell>
          <cell r="AX202">
            <v>194830</v>
          </cell>
          <cell r="AY202">
            <v>536436</v>
          </cell>
          <cell r="AZ202">
            <v>207127</v>
          </cell>
          <cell r="BA202">
            <v>185641</v>
          </cell>
          <cell r="BB202">
            <v>195479</v>
          </cell>
          <cell r="BC202">
            <v>588247</v>
          </cell>
          <cell r="BD202">
            <v>202775</v>
          </cell>
          <cell r="BE202">
            <v>196485</v>
          </cell>
          <cell r="BF202">
            <v>224573</v>
          </cell>
          <cell r="BG202">
            <v>623833</v>
          </cell>
          <cell r="BH202">
            <v>211891</v>
          </cell>
          <cell r="BI202">
            <v>198626</v>
          </cell>
          <cell r="BJ202">
            <v>158195</v>
          </cell>
          <cell r="BK202">
            <v>568712</v>
          </cell>
          <cell r="BL202">
            <v>140990</v>
          </cell>
          <cell r="BM202">
            <v>156499</v>
          </cell>
          <cell r="BN202">
            <v>158367</v>
          </cell>
          <cell r="BO202">
            <v>455856</v>
          </cell>
        </row>
        <row r="203">
          <cell r="A203" t="str">
            <v xml:space="preserve">  % Change</v>
          </cell>
          <cell r="AB203" t="e">
            <v>#DIV/0!</v>
          </cell>
          <cell r="AC203" t="e">
            <v>#DIV/0!</v>
          </cell>
          <cell r="AD203" t="e">
            <v>#DIV/0!</v>
          </cell>
          <cell r="AP203">
            <v>0.63759467339185738</v>
          </cell>
          <cell r="AQ203">
            <v>3.7398372103778383</v>
          </cell>
          <cell r="AR203">
            <v>-4.1157141067522329E-2</v>
          </cell>
          <cell r="AS203">
            <v>-0.13984046943975881</v>
          </cell>
          <cell r="AT203">
            <v>-0.12808446455505273</v>
          </cell>
          <cell r="AU203">
            <v>-0.10291868956794903</v>
          </cell>
          <cell r="AV203">
            <v>-0.14798598479360836</v>
          </cell>
          <cell r="AW203">
            <v>-0.1943832404991892</v>
          </cell>
          <cell r="AX203">
            <v>-0.11097016185335096</v>
          </cell>
          <cell r="AY203">
            <v>-0.15180742703724903</v>
          </cell>
          <cell r="AZ203">
            <v>-0.11535603239143066</v>
          </cell>
          <cell r="BA203">
            <v>-0.14324415379432243</v>
          </cell>
          <cell r="BB203">
            <v>-6.1262221709982856E-2</v>
          </cell>
          <cell r="BC203">
            <v>-0.10743326389004793</v>
          </cell>
          <cell r="BD203">
            <v>-7.6355801729085626E-2</v>
          </cell>
          <cell r="BE203">
            <v>2.5993827901852118E-2</v>
          </cell>
          <cell r="BF203">
            <v>0.10143114982441692</v>
          </cell>
          <cell r="BG203">
            <v>1.4466522586866537E-2</v>
          </cell>
          <cell r="BH203">
            <v>6.4757492311712239E-2</v>
          </cell>
          <cell r="BI203">
            <v>3.5951036076210086E-2</v>
          </cell>
          <cell r="BJ203">
            <v>-4.8876531716277594E-3</v>
          </cell>
          <cell r="BK203">
            <v>3.4569199340014345E-2</v>
          </cell>
          <cell r="BL203">
            <v>-0.11209214744094365</v>
          </cell>
          <cell r="BM203">
            <v>-0.14395816581608933</v>
          </cell>
          <cell r="BN203">
            <v>-0.18715290253041117</v>
          </cell>
          <cell r="BO203">
            <v>-0.15021363219470729</v>
          </cell>
        </row>
        <row r="204">
          <cell r="A204" t="str">
            <v>NRx</v>
          </cell>
          <cell r="Y204">
            <v>5216</v>
          </cell>
          <cell r="Z204">
            <v>124096</v>
          </cell>
          <cell r="AA204">
            <v>129312</v>
          </cell>
          <cell r="AB204">
            <v>206787</v>
          </cell>
          <cell r="AC204">
            <v>222185</v>
          </cell>
          <cell r="AD204">
            <v>181735</v>
          </cell>
          <cell r="AE204">
            <v>610707</v>
          </cell>
          <cell r="AF204">
            <v>185721</v>
          </cell>
          <cell r="AG204">
            <v>226261</v>
          </cell>
          <cell r="AH204">
            <v>218444</v>
          </cell>
          <cell r="AI204">
            <v>630426</v>
          </cell>
          <cell r="AJ204">
            <v>233352</v>
          </cell>
          <cell r="AK204">
            <v>215956</v>
          </cell>
          <cell r="AL204">
            <v>207552</v>
          </cell>
          <cell r="AM204">
            <v>656860</v>
          </cell>
          <cell r="AN204">
            <v>218831</v>
          </cell>
          <cell r="AO204">
            <v>190837</v>
          </cell>
          <cell r="AP204">
            <v>203276</v>
          </cell>
          <cell r="AQ204">
            <v>612944</v>
          </cell>
          <cell r="AR204">
            <v>197648</v>
          </cell>
          <cell r="AS204">
            <v>190277</v>
          </cell>
          <cell r="AT204">
            <v>157678</v>
          </cell>
          <cell r="AU204">
            <v>545603</v>
          </cell>
          <cell r="AV204">
            <v>157518</v>
          </cell>
          <cell r="AW204">
            <v>182122</v>
          </cell>
          <cell r="AX204">
            <v>194173</v>
          </cell>
          <cell r="AY204">
            <v>533813</v>
          </cell>
          <cell r="AZ204">
            <v>206253</v>
          </cell>
          <cell r="BA204">
            <v>184932</v>
          </cell>
          <cell r="BB204">
            <v>194704</v>
          </cell>
          <cell r="BC204">
            <v>585889</v>
          </cell>
          <cell r="BD204">
            <v>201998</v>
          </cell>
          <cell r="BE204">
            <v>195828</v>
          </cell>
          <cell r="BF204">
            <v>223800</v>
          </cell>
          <cell r="BG204">
            <v>621626</v>
          </cell>
          <cell r="BH204">
            <v>211181</v>
          </cell>
          <cell r="BI204">
            <v>198163</v>
          </cell>
          <cell r="BJ204">
            <v>157632</v>
          </cell>
          <cell r="BK204">
            <v>566976</v>
          </cell>
          <cell r="BL204">
            <v>140474</v>
          </cell>
          <cell r="BM204">
            <v>155951</v>
          </cell>
          <cell r="BN204">
            <v>157773</v>
          </cell>
          <cell r="BO204">
            <v>454198</v>
          </cell>
        </row>
        <row r="205">
          <cell r="A205" t="str">
            <v xml:space="preserve">  % Change</v>
          </cell>
          <cell r="AP205">
            <v>0.6380544094894276</v>
          </cell>
          <cell r="AQ205">
            <v>3.7400395941598612</v>
          </cell>
          <cell r="AR205">
            <v>-4.419523471011233E-2</v>
          </cell>
          <cell r="AS205">
            <v>-0.14361005468415955</v>
          </cell>
          <cell r="AT205">
            <v>-0.13237406113296835</v>
          </cell>
          <cell r="AU205">
            <v>-0.10660431270642057</v>
          </cell>
          <cell r="AV205">
            <v>-0.15185681748429092</v>
          </cell>
          <cell r="AW205">
            <v>-0.1950800182090594</v>
          </cell>
          <cell r="AX205">
            <v>-0.1111085678709417</v>
          </cell>
          <cell r="AY205">
            <v>-0.15325034183234831</v>
          </cell>
          <cell r="AZ205">
            <v>-0.11612928108608456</v>
          </cell>
          <cell r="BA205">
            <v>-0.14365889347830119</v>
          </cell>
          <cell r="BB205">
            <v>-6.1902559358618547E-2</v>
          </cell>
          <cell r="BC205">
            <v>-0.10804585451998905</v>
          </cell>
          <cell r="BD205">
            <v>-7.6922373886697981E-2</v>
          </cell>
          <cell r="BE205">
            <v>2.6153209283314993E-2</v>
          </cell>
          <cell r="BF205">
            <v>0.10096617406875374</v>
          </cell>
          <cell r="BG205">
            <v>1.4164426113967954E-2</v>
          </cell>
          <cell r="BH205">
            <v>6.8470209665668191E-2</v>
          </cell>
          <cell r="BI205">
            <v>4.1444840942415517E-2</v>
          </cell>
          <cell r="BJ205">
            <v>-2.9173378657776361E-4</v>
          </cell>
          <cell r="BK205">
            <v>3.9173171701768483E-2</v>
          </cell>
          <cell r="BL205">
            <v>-0.10820350690079861</v>
          </cell>
          <cell r="BM205">
            <v>-0.14370037667058344</v>
          </cell>
          <cell r="BN205">
            <v>-0.18746169652835354</v>
          </cell>
          <cell r="BO205">
            <v>-0.14914398862523015</v>
          </cell>
        </row>
        <row r="206">
          <cell r="A206" t="str">
            <v>Sales (IMS)</v>
          </cell>
          <cell r="Y206">
            <v>2.2924669999999998</v>
          </cell>
          <cell r="Z206">
            <v>18.524768999999999</v>
          </cell>
          <cell r="AA206">
            <v>20.817235999999998</v>
          </cell>
          <cell r="AB206">
            <v>11.770607999999999</v>
          </cell>
          <cell r="AC206">
            <v>11.42909</v>
          </cell>
          <cell r="AD206">
            <v>12.743547</v>
          </cell>
          <cell r="AE206">
            <v>35.943245000000005</v>
          </cell>
          <cell r="AF206">
            <v>9.6507799999999992</v>
          </cell>
          <cell r="AG206">
            <v>11.046972</v>
          </cell>
          <cell r="AH206">
            <v>13.038028000000001</v>
          </cell>
          <cell r="AI206">
            <v>33.735779999999998</v>
          </cell>
          <cell r="AJ206">
            <v>10.517715000000001</v>
          </cell>
          <cell r="AK206">
            <v>9.8627409999999998</v>
          </cell>
          <cell r="AL206">
            <v>11.195484</v>
          </cell>
          <cell r="AM206">
            <v>31.575940000000003</v>
          </cell>
          <cell r="AN206">
            <v>9.1684509999999992</v>
          </cell>
          <cell r="AO206">
            <v>8.8861170000000005</v>
          </cell>
          <cell r="AP206">
            <v>10.700134</v>
          </cell>
          <cell r="AQ206">
            <v>28.754702000000002</v>
          </cell>
          <cell r="AR206">
            <v>7.1221629999999996</v>
          </cell>
          <cell r="AS206">
            <v>6.8860340000000004</v>
          </cell>
          <cell r="AT206">
            <v>7.9935020000000003</v>
          </cell>
          <cell r="AU206">
            <v>22.001699000000002</v>
          </cell>
          <cell r="AV206">
            <v>5.9292280000000002</v>
          </cell>
          <cell r="AW206">
            <v>6.4405349999999997</v>
          </cell>
          <cell r="AX206">
            <v>8.1140950000000007</v>
          </cell>
          <cell r="AY206">
            <v>20.483857999999998</v>
          </cell>
          <cell r="AZ206">
            <v>6.0197450000000003</v>
          </cell>
          <cell r="BA206">
            <v>6.6044939999999999</v>
          </cell>
          <cell r="BB206">
            <v>7.5274359999999998</v>
          </cell>
          <cell r="BC206">
            <v>20.151675000000001</v>
          </cell>
          <cell r="BD206">
            <v>6.4022899999999998</v>
          </cell>
          <cell r="BE206">
            <v>6.6008430000000002</v>
          </cell>
          <cell r="BF206">
            <v>8.4168869999999991</v>
          </cell>
          <cell r="BG206">
            <v>21.420020000000001</v>
          </cell>
          <cell r="BH206">
            <v>6.2896369999999999</v>
          </cell>
          <cell r="BI206">
            <v>6.0387329999999997</v>
          </cell>
          <cell r="BJ206">
            <v>5.2371559999999997</v>
          </cell>
          <cell r="BK206">
            <v>17.565525999999998</v>
          </cell>
          <cell r="BL206">
            <v>4.3540400000000004</v>
          </cell>
          <cell r="BM206">
            <v>4.1757470000000003</v>
          </cell>
        </row>
        <row r="207">
          <cell r="A207" t="str">
            <v xml:space="preserve">  % Change</v>
          </cell>
          <cell r="AO207">
            <v>2.8762246086857526</v>
          </cell>
          <cell r="AP207">
            <v>-0.4223877231613522</v>
          </cell>
          <cell r="AQ207">
            <v>0.38129298241130605</v>
          </cell>
          <cell r="AR207">
            <v>-0.3949197016840591</v>
          </cell>
          <cell r="AS207">
            <v>-0.3974993634663827</v>
          </cell>
          <cell r="AT207">
            <v>-0.37274119991867249</v>
          </cell>
          <cell r="AU207">
            <v>-0.38787666500339635</v>
          </cell>
          <cell r="AV207">
            <v>-0.38562188755727511</v>
          </cell>
          <cell r="AW207">
            <v>-0.41698639228921741</v>
          </cell>
          <cell r="AX207">
            <v>-0.37765933621250081</v>
          </cell>
          <cell r="AY207">
            <v>-0.39281504681379831</v>
          </cell>
          <cell r="AZ207">
            <v>-0.42765657749805919</v>
          </cell>
          <cell r="BA207">
            <v>-0.33035917702796813</v>
          </cell>
          <cell r="BB207">
            <v>-0.32763639338861994</v>
          </cell>
          <cell r="BC207">
            <v>-0.36180284735783008</v>
          </cell>
          <cell r="BD207">
            <v>-0.3017042900703728</v>
          </cell>
          <cell r="BE207">
            <v>-0.25717352134796334</v>
          </cell>
          <cell r="BF207">
            <v>-0.21338489779660719</v>
          </cell>
          <cell r="BG207">
            <v>-0.25507765651683678</v>
          </cell>
          <cell r="BH207">
            <v>-0.11689229802800072</v>
          </cell>
          <cell r="BI207">
            <v>-0.1230462992195509</v>
          </cell>
          <cell r="BJ207">
            <v>-0.34482333275202792</v>
          </cell>
          <cell r="BK207">
            <v>-0.2016286560415177</v>
          </cell>
          <cell r="BL207">
            <v>-0.26566493985388984</v>
          </cell>
          <cell r="BM207">
            <v>-0.35164594245664371</v>
          </cell>
        </row>
        <row r="209">
          <cell r="A209" t="str">
            <v>CLARAVIS</v>
          </cell>
        </row>
        <row r="210">
          <cell r="A210" t="str">
            <v>TRx</v>
          </cell>
          <cell r="AS210">
            <v>943</v>
          </cell>
          <cell r="AT210">
            <v>7162</v>
          </cell>
          <cell r="AU210">
            <v>8105</v>
          </cell>
          <cell r="AV210">
            <v>10291</v>
          </cell>
          <cell r="AW210">
            <v>11352</v>
          </cell>
          <cell r="AX210">
            <v>12489</v>
          </cell>
          <cell r="AY210">
            <v>34132</v>
          </cell>
          <cell r="AZ210">
            <v>14218</v>
          </cell>
          <cell r="BA210">
            <v>14066</v>
          </cell>
          <cell r="BB210">
            <v>16644</v>
          </cell>
          <cell r="BC210">
            <v>44928</v>
          </cell>
          <cell r="BD210">
            <v>17762</v>
          </cell>
          <cell r="BE210">
            <v>17852</v>
          </cell>
          <cell r="BF210">
            <v>20836</v>
          </cell>
          <cell r="BG210">
            <v>56450</v>
          </cell>
          <cell r="BH210">
            <v>19432</v>
          </cell>
          <cell r="BI210">
            <v>18772</v>
          </cell>
          <cell r="BJ210">
            <v>19342</v>
          </cell>
          <cell r="BK210">
            <v>57546</v>
          </cell>
          <cell r="BL210">
            <v>18177</v>
          </cell>
          <cell r="BM210">
            <v>18679</v>
          </cell>
          <cell r="BN210">
            <v>19087</v>
          </cell>
          <cell r="BO210">
            <v>55943</v>
          </cell>
        </row>
        <row r="211">
          <cell r="A211" t="str">
            <v xml:space="preserve">  % Change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</row>
        <row r="212">
          <cell r="A212" t="str">
            <v>NRx</v>
          </cell>
          <cell r="AS212">
            <v>943</v>
          </cell>
          <cell r="AT212">
            <v>7115</v>
          </cell>
          <cell r="AU212">
            <v>8058</v>
          </cell>
          <cell r="AV212">
            <v>10195</v>
          </cell>
          <cell r="AW212">
            <v>11228</v>
          </cell>
          <cell r="AX212">
            <v>12366</v>
          </cell>
          <cell r="AY212">
            <v>33789</v>
          </cell>
          <cell r="AZ212">
            <v>14094</v>
          </cell>
          <cell r="BA212">
            <v>13944</v>
          </cell>
          <cell r="BB212">
            <v>16510</v>
          </cell>
          <cell r="BC212">
            <v>44548</v>
          </cell>
          <cell r="BD212">
            <v>17610</v>
          </cell>
          <cell r="BE212">
            <v>17712</v>
          </cell>
          <cell r="BF212">
            <v>20659</v>
          </cell>
          <cell r="BG212">
            <v>55981</v>
          </cell>
          <cell r="BH212">
            <v>19284</v>
          </cell>
          <cell r="BI212">
            <v>18664</v>
          </cell>
          <cell r="BJ212">
            <v>19218</v>
          </cell>
          <cell r="BK212">
            <v>57166</v>
          </cell>
          <cell r="BL212">
            <v>18030</v>
          </cell>
          <cell r="BM212">
            <v>18542</v>
          </cell>
          <cell r="BN212">
            <v>18937</v>
          </cell>
          <cell r="BO212">
            <v>55509</v>
          </cell>
        </row>
        <row r="213">
          <cell r="A213" t="str">
            <v xml:space="preserve">  % Change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0</v>
          </cell>
          <cell r="BJ213">
            <v>0</v>
          </cell>
        </row>
        <row r="214">
          <cell r="A214" t="str">
            <v>Sales (IMS)</v>
          </cell>
          <cell r="AS214">
            <v>0.64383299999999999</v>
          </cell>
          <cell r="AT214">
            <v>3.260923</v>
          </cell>
          <cell r="AU214">
            <v>3.9047559999999999</v>
          </cell>
          <cell r="AV214">
            <v>2.305186</v>
          </cell>
          <cell r="AW214">
            <v>2.687433</v>
          </cell>
          <cell r="AX214">
            <v>3.4228290000000001</v>
          </cell>
          <cell r="AY214">
            <v>8.4154480000000014</v>
          </cell>
          <cell r="AZ214">
            <v>2.7814190000000001</v>
          </cell>
          <cell r="BA214">
            <v>2.9163619999999999</v>
          </cell>
          <cell r="BB214">
            <v>3.9946860000000002</v>
          </cell>
          <cell r="BC214">
            <v>9.6924670000000006</v>
          </cell>
          <cell r="BD214">
            <v>3.2507090000000001</v>
          </cell>
          <cell r="BE214">
            <v>3.7068979999999998</v>
          </cell>
          <cell r="BF214">
            <v>4.7925890000000004</v>
          </cell>
          <cell r="BG214">
            <v>11.750196000000001</v>
          </cell>
          <cell r="BH214">
            <v>4.834308</v>
          </cell>
          <cell r="BI214">
            <v>3.9631449999999999</v>
          </cell>
          <cell r="BJ214">
            <v>4.4719429999999996</v>
          </cell>
          <cell r="BK214">
            <v>13.269396</v>
          </cell>
          <cell r="BL214">
            <v>2.9116420000000001</v>
          </cell>
          <cell r="BM214">
            <v>2.8162310000000002</v>
          </cell>
        </row>
        <row r="215">
          <cell r="A215" t="str">
            <v xml:space="preserve">  % Change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</row>
        <row r="217">
          <cell r="A217" t="str">
            <v>DEXTROAMPHETAMINE</v>
          </cell>
        </row>
        <row r="218">
          <cell r="A218" t="str">
            <v>TRx</v>
          </cell>
          <cell r="I218">
            <v>71</v>
          </cell>
          <cell r="J218">
            <v>2918</v>
          </cell>
          <cell r="K218">
            <v>2989</v>
          </cell>
          <cell r="L218">
            <v>5203</v>
          </cell>
          <cell r="M218">
            <v>6013</v>
          </cell>
          <cell r="N218">
            <v>7144</v>
          </cell>
          <cell r="O218">
            <v>18360</v>
          </cell>
          <cell r="P218">
            <v>9849</v>
          </cell>
          <cell r="Q218">
            <v>13424</v>
          </cell>
          <cell r="R218">
            <v>14001</v>
          </cell>
          <cell r="S218">
            <v>37274</v>
          </cell>
          <cell r="T218">
            <v>16178</v>
          </cell>
          <cell r="U218">
            <v>15923</v>
          </cell>
          <cell r="V218">
            <v>15738</v>
          </cell>
          <cell r="W218">
            <v>47839</v>
          </cell>
          <cell r="X218">
            <v>17835</v>
          </cell>
          <cell r="Y218">
            <v>16217</v>
          </cell>
          <cell r="Z218">
            <v>19877</v>
          </cell>
          <cell r="AA218">
            <v>53929</v>
          </cell>
          <cell r="AB218">
            <v>33437</v>
          </cell>
          <cell r="AC218">
            <v>43230</v>
          </cell>
          <cell r="AD218">
            <v>41082</v>
          </cell>
          <cell r="AE218">
            <v>117749</v>
          </cell>
          <cell r="AF218">
            <v>45154</v>
          </cell>
          <cell r="AG218">
            <v>53177</v>
          </cell>
          <cell r="AH218">
            <v>54074</v>
          </cell>
          <cell r="AI218">
            <v>152405</v>
          </cell>
          <cell r="AJ218">
            <v>59961</v>
          </cell>
          <cell r="AK218">
            <v>58080</v>
          </cell>
          <cell r="AL218">
            <v>59570</v>
          </cell>
          <cell r="AM218">
            <v>177611</v>
          </cell>
          <cell r="AN218">
            <v>63265</v>
          </cell>
          <cell r="AO218">
            <v>57605</v>
          </cell>
          <cell r="AP218">
            <v>62277</v>
          </cell>
          <cell r="AQ218">
            <v>183147</v>
          </cell>
          <cell r="AR218">
            <v>62889</v>
          </cell>
          <cell r="AS218">
            <v>62728</v>
          </cell>
          <cell r="AT218">
            <v>55685</v>
          </cell>
          <cell r="AU218">
            <v>181302</v>
          </cell>
          <cell r="AV218">
            <v>56962</v>
          </cell>
          <cell r="AW218">
            <v>59841</v>
          </cell>
          <cell r="AX218">
            <v>61907</v>
          </cell>
          <cell r="AY218">
            <v>178710</v>
          </cell>
          <cell r="AZ218">
            <v>65445</v>
          </cell>
          <cell r="BA218">
            <v>59364</v>
          </cell>
          <cell r="BB218">
            <v>62932</v>
          </cell>
          <cell r="BC218">
            <v>187741</v>
          </cell>
          <cell r="BD218">
            <v>61154</v>
          </cell>
          <cell r="BE218">
            <v>57461</v>
          </cell>
          <cell r="BF218">
            <v>64376</v>
          </cell>
          <cell r="BG218">
            <v>182991</v>
          </cell>
          <cell r="BH218">
            <v>61177</v>
          </cell>
          <cell r="BI218">
            <v>59004</v>
          </cell>
          <cell r="BJ218">
            <v>55979</v>
          </cell>
          <cell r="BK218">
            <v>176160</v>
          </cell>
          <cell r="BL218">
            <v>54444</v>
          </cell>
          <cell r="BM218">
            <v>58197</v>
          </cell>
          <cell r="BN218">
            <v>57939</v>
          </cell>
          <cell r="BO218">
            <v>170580</v>
          </cell>
        </row>
        <row r="219">
          <cell r="A219" t="str">
            <v xml:space="preserve">  % Change</v>
          </cell>
          <cell r="Z219">
            <v>5.8118574366004117</v>
          </cell>
          <cell r="AB219">
            <v>5.4264847203536419</v>
          </cell>
          <cell r="AC219">
            <v>6.1894229170131378</v>
          </cell>
          <cell r="AD219">
            <v>4.7505599104143341</v>
          </cell>
          <cell r="AE219">
            <v>5.4133442265795209</v>
          </cell>
          <cell r="AF219">
            <v>3.5846278810031471</v>
          </cell>
          <cell r="AG219">
            <v>2.9613379022646007</v>
          </cell>
          <cell r="AH219">
            <v>2.8621527033783303</v>
          </cell>
          <cell r="AI219">
            <v>3.0887750174384285</v>
          </cell>
          <cell r="AJ219">
            <v>2.7063295833848438</v>
          </cell>
          <cell r="AK219">
            <v>2.6475538529171638</v>
          </cell>
          <cell r="AL219">
            <v>2.7851061125937222</v>
          </cell>
          <cell r="AM219">
            <v>2.7126821212817993</v>
          </cell>
          <cell r="AN219">
            <v>2.5472385758340343</v>
          </cell>
          <cell r="AO219">
            <v>2.5521366467287416</v>
          </cell>
          <cell r="AP219">
            <v>2.13311867988127</v>
          </cell>
          <cell r="AQ219">
            <v>2.396076322572271</v>
          </cell>
          <cell r="AR219">
            <v>0.88082064778538749</v>
          </cell>
          <cell r="AS219">
            <v>0.45102937774693497</v>
          </cell>
          <cell r="AT219">
            <v>0.35545981208315069</v>
          </cell>
          <cell r="AU219">
            <v>0.53973282151016155</v>
          </cell>
          <cell r="AV219">
            <v>0.26150507153297609</v>
          </cell>
          <cell r="AW219">
            <v>0.12531733644244691</v>
          </cell>
          <cell r="AX219">
            <v>0.14485704774938046</v>
          </cell>
          <cell r="AY219">
            <v>0.17259932416915458</v>
          </cell>
          <cell r="AZ219">
            <v>9.1459448641617147E-2</v>
          </cell>
          <cell r="BA219">
            <v>2.2107438016528924E-2</v>
          </cell>
          <cell r="BB219">
            <v>5.6437804263891111E-2</v>
          </cell>
          <cell r="BC219">
            <v>5.7034755730219322E-2</v>
          </cell>
          <cell r="BD219">
            <v>-3.3367580810874875E-2</v>
          </cell>
          <cell r="BE219">
            <v>-2.4997830049474645E-3</v>
          </cell>
          <cell r="BF219">
            <v>3.3704256788220421E-2</v>
          </cell>
          <cell r="BG219">
            <v>-8.5177480384612814E-4</v>
          </cell>
          <cell r="BH219">
            <v>-2.7222566744581678E-2</v>
          </cell>
          <cell r="BI219">
            <v>-5.936742762402758E-2</v>
          </cell>
          <cell r="BJ219">
            <v>5.2796983029541611E-3</v>
          </cell>
          <cell r="BK219">
            <v>-2.8361518350597303E-2</v>
          </cell>
          <cell r="BL219">
            <v>-4.4204908535514953E-2</v>
          </cell>
          <cell r="BM219">
            <v>-2.7472802927758555E-2</v>
          </cell>
          <cell r="BN219">
            <v>-6.409614421632448E-2</v>
          </cell>
          <cell r="BO219">
            <v>-4.5492697666610682E-2</v>
          </cell>
        </row>
        <row r="220">
          <cell r="A220" t="str">
            <v>NRx</v>
          </cell>
          <cell r="I220">
            <v>71</v>
          </cell>
          <cell r="J220">
            <v>2918</v>
          </cell>
          <cell r="K220">
            <v>2989</v>
          </cell>
          <cell r="L220">
            <v>5108</v>
          </cell>
          <cell r="M220">
            <v>5917</v>
          </cell>
          <cell r="N220">
            <v>7065</v>
          </cell>
          <cell r="O220">
            <v>18090</v>
          </cell>
          <cell r="P220">
            <v>9756</v>
          </cell>
          <cell r="Q220">
            <v>13334</v>
          </cell>
          <cell r="R220">
            <v>13894</v>
          </cell>
          <cell r="S220">
            <v>36984</v>
          </cell>
          <cell r="T220">
            <v>16122</v>
          </cell>
          <cell r="U220">
            <v>15798</v>
          </cell>
          <cell r="V220">
            <v>15640</v>
          </cell>
          <cell r="W220">
            <v>47560</v>
          </cell>
          <cell r="X220">
            <v>17723</v>
          </cell>
          <cell r="Y220">
            <v>16132</v>
          </cell>
          <cell r="Z220">
            <v>19759</v>
          </cell>
          <cell r="AA220">
            <v>53614</v>
          </cell>
          <cell r="AB220">
            <v>33252</v>
          </cell>
          <cell r="AC220">
            <v>43039</v>
          </cell>
          <cell r="AD220">
            <v>40951</v>
          </cell>
          <cell r="AE220">
            <v>117242</v>
          </cell>
          <cell r="AF220">
            <v>44980</v>
          </cell>
          <cell r="AG220">
            <v>52974</v>
          </cell>
          <cell r="AH220">
            <v>53879</v>
          </cell>
          <cell r="AI220">
            <v>151833</v>
          </cell>
          <cell r="AJ220">
            <v>59701</v>
          </cell>
          <cell r="AK220">
            <v>57880</v>
          </cell>
          <cell r="AL220">
            <v>59368</v>
          </cell>
          <cell r="AM220">
            <v>176949</v>
          </cell>
          <cell r="AN220">
            <v>62993</v>
          </cell>
          <cell r="AO220">
            <v>57360</v>
          </cell>
          <cell r="AP220">
            <v>62033</v>
          </cell>
          <cell r="AQ220">
            <v>182386</v>
          </cell>
          <cell r="AR220">
            <v>62292</v>
          </cell>
          <cell r="AS220">
            <v>62160</v>
          </cell>
          <cell r="AT220">
            <v>55136</v>
          </cell>
          <cell r="AU220">
            <v>179588</v>
          </cell>
          <cell r="AV220">
            <v>56366</v>
          </cell>
          <cell r="AW220">
            <v>59512</v>
          </cell>
          <cell r="AX220">
            <v>61645</v>
          </cell>
          <cell r="AY220">
            <v>177523</v>
          </cell>
          <cell r="AZ220">
            <v>65070</v>
          </cell>
          <cell r="BA220">
            <v>58962</v>
          </cell>
          <cell r="BB220">
            <v>62542</v>
          </cell>
          <cell r="BC220">
            <v>186574</v>
          </cell>
          <cell r="BD220">
            <v>60757</v>
          </cell>
          <cell r="BE220">
            <v>57091</v>
          </cell>
          <cell r="BF220">
            <v>63997</v>
          </cell>
          <cell r="BG220">
            <v>181845</v>
          </cell>
          <cell r="BH220">
            <v>60784</v>
          </cell>
          <cell r="BI220">
            <v>58661</v>
          </cell>
          <cell r="BJ220">
            <v>55691</v>
          </cell>
          <cell r="BK220">
            <v>175136</v>
          </cell>
          <cell r="BL220">
            <v>54169</v>
          </cell>
          <cell r="BM220">
            <v>57900</v>
          </cell>
          <cell r="BN220">
            <v>57674</v>
          </cell>
          <cell r="BO220">
            <v>169743</v>
          </cell>
        </row>
        <row r="221">
          <cell r="A221" t="str">
            <v xml:space="preserve">  % Change</v>
          </cell>
          <cell r="Z221">
            <v>5.7714187799862922</v>
          </cell>
          <cell r="AB221">
            <v>5.509788566953798</v>
          </cell>
          <cell r="AC221">
            <v>6.2737873922595906</v>
          </cell>
          <cell r="AD221">
            <v>4.7963198867657466</v>
          </cell>
          <cell r="AE221">
            <v>5.4810392482034276</v>
          </cell>
          <cell r="AF221">
            <v>3.61049610496105</v>
          </cell>
          <cell r="AG221">
            <v>2.9728513574321282</v>
          </cell>
          <cell r="AH221">
            <v>2.8778609471714409</v>
          </cell>
          <cell r="AI221">
            <v>3.1053698896820245</v>
          </cell>
          <cell r="AJ221">
            <v>2.7030765413720381</v>
          </cell>
          <cell r="AK221">
            <v>2.663754905684264</v>
          </cell>
          <cell r="AL221">
            <v>2.7959079283887469</v>
          </cell>
          <cell r="AM221">
            <v>2.7205424726661058</v>
          </cell>
          <cell r="AN221">
            <v>2.5543079614060824</v>
          </cell>
          <cell r="AO221">
            <v>2.5556657575006199</v>
          </cell>
          <cell r="AP221">
            <v>2.1394807429525784</v>
          </cell>
          <cell r="AQ221">
            <v>2.4018353415152758</v>
          </cell>
          <cell r="AR221">
            <v>0.87333092746300967</v>
          </cell>
          <cell r="AS221">
            <v>0.44427147470898487</v>
          </cell>
          <cell r="AT221">
            <v>0.34638958755585936</v>
          </cell>
          <cell r="AU221">
            <v>0.53177189061940267</v>
          </cell>
          <cell r="AV221">
            <v>0.25313472654513114</v>
          </cell>
          <cell r="AW221">
            <v>0.12341903575338842</v>
          </cell>
          <cell r="AX221">
            <v>0.14413779023367179</v>
          </cell>
          <cell r="AY221">
            <v>0.16919905422404868</v>
          </cell>
          <cell r="AZ221">
            <v>8.9931491934808427E-2</v>
          </cell>
          <cell r="BA221">
            <v>1.8693849343469182E-2</v>
          </cell>
          <cell r="BB221">
            <v>5.3463145128688883E-2</v>
          </cell>
          <cell r="BC221">
            <v>5.4394203979677869E-2</v>
          </cell>
          <cell r="BD221">
            <v>-3.5496007492896053E-2</v>
          </cell>
          <cell r="BE221">
            <v>-4.6896792189679015E-3</v>
          </cell>
          <cell r="BF221">
            <v>3.1660567762320069E-2</v>
          </cell>
          <cell r="BG221">
            <v>-2.9662364435867339E-3</v>
          </cell>
          <cell r="BH221">
            <v>-2.4208566108007479E-2</v>
          </cell>
          <cell r="BI221">
            <v>-5.6290218790218782E-2</v>
          </cell>
          <cell r="BJ221">
            <v>1.006601857225764E-2</v>
          </cell>
          <cell r="BK221">
            <v>-2.4790075060694527E-2</v>
          </cell>
          <cell r="BL221">
            <v>-3.8977397722031015E-2</v>
          </cell>
          <cell r="BM221">
            <v>-2.7086974055652635E-2</v>
          </cell>
          <cell r="BN221">
            <v>-6.4417227674588351E-2</v>
          </cell>
          <cell r="BO221">
            <v>-4.3825307143299796E-2</v>
          </cell>
        </row>
        <row r="222">
          <cell r="A222" t="str">
            <v>Sales (IMS)</v>
          </cell>
          <cell r="J222">
            <v>8.8569999999999996E-2</v>
          </cell>
          <cell r="K222">
            <v>8.8569999999999996E-2</v>
          </cell>
          <cell r="L222">
            <v>7.3261000000000007E-2</v>
          </cell>
          <cell r="M222">
            <v>0.12684500000000001</v>
          </cell>
          <cell r="N222">
            <v>0.26410099999999997</v>
          </cell>
          <cell r="O222">
            <v>0.46420700000000004</v>
          </cell>
          <cell r="P222">
            <v>0.22317300000000001</v>
          </cell>
          <cell r="Q222">
            <v>0.261797</v>
          </cell>
          <cell r="R222">
            <v>0.33330599999999999</v>
          </cell>
          <cell r="S222">
            <v>0.818276</v>
          </cell>
          <cell r="T222">
            <v>0.28487400000000002</v>
          </cell>
          <cell r="U222">
            <v>0.35707800000000001</v>
          </cell>
          <cell r="V222">
            <v>0.33857599999999999</v>
          </cell>
          <cell r="W222">
            <v>0.98052800000000007</v>
          </cell>
          <cell r="X222">
            <v>0.29952200000000001</v>
          </cell>
          <cell r="Y222">
            <v>0.30183700000000002</v>
          </cell>
          <cell r="Z222">
            <v>1.1576519999999999</v>
          </cell>
          <cell r="AA222">
            <v>1.7590110000000001</v>
          </cell>
          <cell r="AB222">
            <v>1.879772</v>
          </cell>
          <cell r="AC222">
            <v>1.86992</v>
          </cell>
          <cell r="AD222">
            <v>2.2954599999999998</v>
          </cell>
          <cell r="AE222">
            <v>6.0451519999999999</v>
          </cell>
          <cell r="AF222">
            <v>1.801291</v>
          </cell>
          <cell r="AG222">
            <v>2.034961</v>
          </cell>
          <cell r="AH222">
            <v>2.5922770000000002</v>
          </cell>
          <cell r="AI222">
            <v>6.4285290000000002</v>
          </cell>
          <cell r="AJ222">
            <v>2.1264959999999999</v>
          </cell>
          <cell r="AK222">
            <v>2.1250309999999999</v>
          </cell>
          <cell r="AL222">
            <v>2.6190349999999998</v>
          </cell>
          <cell r="AM222">
            <v>6.8705619999999996</v>
          </cell>
          <cell r="AN222">
            <v>2.2713990000000002</v>
          </cell>
          <cell r="AO222">
            <v>2.250626</v>
          </cell>
          <cell r="AP222">
            <v>2.7975859999999999</v>
          </cell>
          <cell r="AQ222">
            <v>7.3196110000000001</v>
          </cell>
          <cell r="AR222">
            <v>2.1692420000000001</v>
          </cell>
          <cell r="AS222">
            <v>2.199802</v>
          </cell>
          <cell r="AT222">
            <v>2.5880999999999998</v>
          </cell>
          <cell r="AU222">
            <v>6.9571439999999996</v>
          </cell>
          <cell r="AV222">
            <v>2.0392169999999998</v>
          </cell>
          <cell r="AW222">
            <v>2.0687489999999999</v>
          </cell>
          <cell r="AX222">
            <v>2.62941</v>
          </cell>
          <cell r="AY222">
            <v>6.7373760000000003</v>
          </cell>
          <cell r="AZ222">
            <v>2.0469819999999999</v>
          </cell>
          <cell r="BA222">
            <v>2.0265629999999999</v>
          </cell>
          <cell r="BB222">
            <v>2.4239099999999998</v>
          </cell>
          <cell r="BC222">
            <v>6.4974549999999995</v>
          </cell>
          <cell r="BD222">
            <v>2.0165739999999999</v>
          </cell>
          <cell r="BE222">
            <v>2.0271020000000002</v>
          </cell>
          <cell r="BF222">
            <v>2.506211</v>
          </cell>
          <cell r="BG222">
            <v>6.549887</v>
          </cell>
          <cell r="BH222">
            <v>1.982135</v>
          </cell>
          <cell r="BI222">
            <v>2.0212650000000001</v>
          </cell>
          <cell r="BJ222">
            <v>2.3611080000000002</v>
          </cell>
          <cell r="BK222">
            <v>6.3645080000000007</v>
          </cell>
          <cell r="BL222">
            <v>1.8207089999999999</v>
          </cell>
          <cell r="BM222">
            <v>1.8493919999999999</v>
          </cell>
        </row>
        <row r="223">
          <cell r="A223" t="str">
            <v xml:space="preserve">  % Change</v>
          </cell>
          <cell r="AC223">
            <v>13.741771453348573</v>
          </cell>
          <cell r="AD223">
            <v>7.6915990473341633</v>
          </cell>
          <cell r="AE223">
            <v>12.022535205199404</v>
          </cell>
          <cell r="AF223">
            <v>7.07127654330945</v>
          </cell>
          <cell r="AG223">
            <v>6.7730493473951192</v>
          </cell>
          <cell r="AH223">
            <v>6.7774687524377004</v>
          </cell>
          <cell r="AI223">
            <v>6.8561866656238237</v>
          </cell>
          <cell r="AJ223">
            <v>6.4646896522673174</v>
          </cell>
          <cell r="AK223">
            <v>4.9511675320238151</v>
          </cell>
          <cell r="AL223">
            <v>6.7354419687160334</v>
          </cell>
          <cell r="AM223">
            <v>6.0070023497544174</v>
          </cell>
          <cell r="AN223">
            <v>6.5834129045612677</v>
          </cell>
          <cell r="AO223">
            <v>6.4564284696707155</v>
          </cell>
          <cell r="AP223">
            <v>1.4166036079927302</v>
          </cell>
          <cell r="AQ223">
            <v>3.1612082016542251</v>
          </cell>
          <cell r="AR223">
            <v>0.15399207989053987</v>
          </cell>
          <cell r="AS223">
            <v>0.17641503379823731</v>
          </cell>
          <cell r="AT223">
            <v>0.12748642973521651</v>
          </cell>
          <cell r="AU223">
            <v>0.15086336952321466</v>
          </cell>
          <cell r="AV223">
            <v>0.13208637582711513</v>
          </cell>
          <cell r="AW223">
            <v>1.6603758008138625E-2</v>
          </cell>
          <cell r="AX223">
            <v>1.4324472268974375E-2</v>
          </cell>
          <cell r="AY223">
            <v>4.8043183751679486E-2</v>
          </cell>
          <cell r="AZ223">
            <v>-3.7392028952793699E-2</v>
          </cell>
          <cell r="BA223">
            <v>-4.6337206374871709E-2</v>
          </cell>
          <cell r="BB223">
            <v>-7.4502631694498223E-2</v>
          </cell>
          <cell r="BC223">
            <v>-5.4305164555679686E-2</v>
          </cell>
          <cell r="BD223">
            <v>-0.11218856748638184</v>
          </cell>
          <cell r="BE223">
            <v>-9.9316367979397691E-2</v>
          </cell>
          <cell r="BF223">
            <v>-0.10415229415646199</v>
          </cell>
          <cell r="BG223">
            <v>-0.10515914028764639</v>
          </cell>
          <cell r="BH223">
            <v>-8.6254553433872339E-2</v>
          </cell>
          <cell r="BI223">
            <v>-8.1160486261945386E-2</v>
          </cell>
          <cell r="BJ223">
            <v>-8.7706039179320627E-2</v>
          </cell>
          <cell r="BK223">
            <v>-8.5183805308615024E-2</v>
          </cell>
          <cell r="BL223">
            <v>-0.10715289250727111</v>
          </cell>
          <cell r="BM223">
            <v>-0.10603364642109803</v>
          </cell>
        </row>
        <row r="224">
          <cell r="A224" t="str">
            <v>Product</v>
          </cell>
          <cell r="C224">
            <v>36770</v>
          </cell>
          <cell r="D224">
            <v>36800</v>
          </cell>
          <cell r="E224">
            <v>36831</v>
          </cell>
          <cell r="F224">
            <v>36861</v>
          </cell>
          <cell r="G224" t="str">
            <v>Q2:01</v>
          </cell>
          <cell r="H224">
            <v>36892</v>
          </cell>
          <cell r="I224">
            <v>36923</v>
          </cell>
          <cell r="J224">
            <v>36951</v>
          </cell>
          <cell r="K224" t="str">
            <v>Q3:01</v>
          </cell>
          <cell r="L224">
            <v>36982</v>
          </cell>
          <cell r="M224">
            <v>37012</v>
          </cell>
          <cell r="N224">
            <v>37043</v>
          </cell>
          <cell r="O224" t="str">
            <v>Q4:01</v>
          </cell>
          <cell r="P224">
            <v>37073</v>
          </cell>
          <cell r="Q224">
            <v>37104</v>
          </cell>
          <cell r="R224">
            <v>37135</v>
          </cell>
          <cell r="S224" t="str">
            <v>Q1:02</v>
          </cell>
          <cell r="T224">
            <v>37165</v>
          </cell>
          <cell r="U224">
            <v>37196</v>
          </cell>
          <cell r="V224">
            <v>37226</v>
          </cell>
          <cell r="W224" t="str">
            <v>Q2:02</v>
          </cell>
          <cell r="X224">
            <v>37257</v>
          </cell>
          <cell r="Y224">
            <v>37288</v>
          </cell>
          <cell r="Z224">
            <v>37316</v>
          </cell>
          <cell r="AA224" t="str">
            <v>Q3:02</v>
          </cell>
          <cell r="AB224">
            <v>37347</v>
          </cell>
          <cell r="AC224">
            <v>37377</v>
          </cell>
          <cell r="AD224">
            <v>37408</v>
          </cell>
          <cell r="AE224" t="str">
            <v>Q4:02</v>
          </cell>
          <cell r="AF224">
            <v>37438</v>
          </cell>
          <cell r="AG224">
            <v>37469</v>
          </cell>
          <cell r="AH224">
            <v>37500</v>
          </cell>
          <cell r="AI224" t="str">
            <v>Q1:03</v>
          </cell>
          <cell r="AJ224">
            <v>37530</v>
          </cell>
          <cell r="AK224">
            <v>37561</v>
          </cell>
          <cell r="AL224">
            <v>37591</v>
          </cell>
          <cell r="AM224" t="str">
            <v>Q2:03</v>
          </cell>
          <cell r="AN224">
            <v>37622</v>
          </cell>
          <cell r="AO224">
            <v>37653</v>
          </cell>
          <cell r="AP224">
            <v>37681</v>
          </cell>
          <cell r="AQ224" t="str">
            <v>Q3:03</v>
          </cell>
          <cell r="AR224">
            <v>37712</v>
          </cell>
          <cell r="AS224">
            <v>37742</v>
          </cell>
          <cell r="AT224">
            <v>37773</v>
          </cell>
          <cell r="AU224" t="str">
            <v>Q4:F03</v>
          </cell>
          <cell r="AV224">
            <v>37803</v>
          </cell>
          <cell r="AW224">
            <v>37834</v>
          </cell>
          <cell r="AX224">
            <v>37865</v>
          </cell>
          <cell r="AY224" t="str">
            <v>Q1:F04</v>
          </cell>
          <cell r="AZ224">
            <v>37895</v>
          </cell>
          <cell r="BA224">
            <v>37926</v>
          </cell>
          <cell r="BB224">
            <v>37956</v>
          </cell>
          <cell r="BC224" t="str">
            <v>Q2:F04</v>
          </cell>
          <cell r="BD224">
            <v>37987</v>
          </cell>
          <cell r="BE224">
            <v>38018</v>
          </cell>
          <cell r="BF224">
            <v>38047</v>
          </cell>
          <cell r="BG224" t="str">
            <v>Q3:F04</v>
          </cell>
          <cell r="BH224">
            <v>38078</v>
          </cell>
          <cell r="BI224">
            <v>38108</v>
          </cell>
          <cell r="BJ224">
            <v>38139</v>
          </cell>
          <cell r="BK224" t="str">
            <v>Q4:F04</v>
          </cell>
          <cell r="BL224">
            <v>38169</v>
          </cell>
          <cell r="BM224">
            <v>38200</v>
          </cell>
          <cell r="BN224">
            <v>38231</v>
          </cell>
          <cell r="BO224" t="str">
            <v>Q1:F05E</v>
          </cell>
        </row>
        <row r="225">
          <cell r="A225" t="str">
            <v>MIRTAZAPINE</v>
          </cell>
        </row>
        <row r="226">
          <cell r="A226" t="str">
            <v>TRx</v>
          </cell>
          <cell r="BB226">
            <v>2316</v>
          </cell>
          <cell r="BC226">
            <v>2316</v>
          </cell>
          <cell r="BD226">
            <v>39566</v>
          </cell>
          <cell r="BE226">
            <v>68367</v>
          </cell>
          <cell r="BF226">
            <v>85622</v>
          </cell>
          <cell r="BG226">
            <v>193555</v>
          </cell>
          <cell r="BH226">
            <v>89798</v>
          </cell>
          <cell r="BI226">
            <v>91354</v>
          </cell>
          <cell r="BJ226">
            <v>92553</v>
          </cell>
          <cell r="BK226">
            <v>273705</v>
          </cell>
          <cell r="BL226">
            <v>93294</v>
          </cell>
          <cell r="BM226">
            <v>94146</v>
          </cell>
          <cell r="BN226">
            <v>89377</v>
          </cell>
          <cell r="BO226">
            <v>276817</v>
          </cell>
        </row>
        <row r="227">
          <cell r="A227" t="str">
            <v xml:space="preserve">  % Change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</row>
        <row r="228">
          <cell r="A228" t="str">
            <v>NRx</v>
          </cell>
          <cell r="BB228">
            <v>1975</v>
          </cell>
          <cell r="BC228">
            <v>1975</v>
          </cell>
          <cell r="BD228">
            <v>26042</v>
          </cell>
          <cell r="BE228">
            <v>34064</v>
          </cell>
          <cell r="BF228">
            <v>35602</v>
          </cell>
          <cell r="BG228">
            <v>95708</v>
          </cell>
          <cell r="BH228">
            <v>33734</v>
          </cell>
          <cell r="BI228">
            <v>31370</v>
          </cell>
          <cell r="BJ228">
            <v>31284</v>
          </cell>
          <cell r="BK228">
            <v>96388</v>
          </cell>
          <cell r="BL228">
            <v>30918</v>
          </cell>
          <cell r="BM228">
            <v>31127</v>
          </cell>
          <cell r="BN228">
            <v>28855</v>
          </cell>
          <cell r="BO228">
            <v>90900</v>
          </cell>
        </row>
        <row r="229">
          <cell r="A229" t="str">
            <v xml:space="preserve">  % Change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0</v>
          </cell>
          <cell r="BJ229">
            <v>0</v>
          </cell>
        </row>
        <row r="230">
          <cell r="A230" t="str">
            <v>Sales (IMS)</v>
          </cell>
          <cell r="BB230">
            <v>1.8095190000000001</v>
          </cell>
          <cell r="BC230">
            <v>1.8095190000000001</v>
          </cell>
          <cell r="BD230">
            <v>3.3830439999999999</v>
          </cell>
          <cell r="BE230">
            <v>3.051396</v>
          </cell>
          <cell r="BF230">
            <v>4.0946280000000002</v>
          </cell>
          <cell r="BG230">
            <v>10.529068000000001</v>
          </cell>
          <cell r="BH230">
            <v>3.2564630000000001</v>
          </cell>
          <cell r="BI230">
            <v>3.2847040000000001</v>
          </cell>
          <cell r="BJ230">
            <v>3.9472209999999999</v>
          </cell>
          <cell r="BK230">
            <v>10.488388</v>
          </cell>
          <cell r="BL230">
            <v>3.092517</v>
          </cell>
          <cell r="BM230">
            <v>3.135548</v>
          </cell>
        </row>
        <row r="231">
          <cell r="A231" t="str">
            <v xml:space="preserve">  % Change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</row>
        <row r="233">
          <cell r="A233" t="str">
            <v>METHOTREXATE</v>
          </cell>
        </row>
        <row r="234">
          <cell r="A234" t="str">
            <v>TRx</v>
          </cell>
          <cell r="C234">
            <v>86472</v>
          </cell>
          <cell r="D234">
            <v>92022</v>
          </cell>
          <cell r="E234">
            <v>88645</v>
          </cell>
          <cell r="F234">
            <v>90954</v>
          </cell>
          <cell r="G234">
            <v>271621</v>
          </cell>
          <cell r="H234">
            <v>94871</v>
          </cell>
          <cell r="I234">
            <v>86398</v>
          </cell>
          <cell r="J234">
            <v>97740</v>
          </cell>
          <cell r="K234">
            <v>279009</v>
          </cell>
          <cell r="L234">
            <v>94156</v>
          </cell>
          <cell r="M234">
            <v>101887</v>
          </cell>
          <cell r="N234">
            <v>100503</v>
          </cell>
          <cell r="O234">
            <v>296546</v>
          </cell>
          <cell r="P234">
            <v>102690</v>
          </cell>
          <cell r="Q234">
            <v>112949</v>
          </cell>
          <cell r="R234">
            <v>123377</v>
          </cell>
          <cell r="S234">
            <v>339016</v>
          </cell>
          <cell r="T234">
            <v>143585</v>
          </cell>
          <cell r="U234">
            <v>144079</v>
          </cell>
          <cell r="V234">
            <v>152210</v>
          </cell>
          <cell r="W234">
            <v>439874</v>
          </cell>
          <cell r="X234">
            <v>160357</v>
          </cell>
          <cell r="Y234">
            <v>147833</v>
          </cell>
          <cell r="Z234">
            <v>160773</v>
          </cell>
          <cell r="AA234">
            <v>468963</v>
          </cell>
          <cell r="AB234">
            <v>168200</v>
          </cell>
          <cell r="AC234">
            <v>172303</v>
          </cell>
          <cell r="AD234">
            <v>164364</v>
          </cell>
          <cell r="AE234">
            <v>504867</v>
          </cell>
          <cell r="AF234">
            <v>176918</v>
          </cell>
          <cell r="AG234">
            <v>178459</v>
          </cell>
          <cell r="AH234">
            <v>185439</v>
          </cell>
          <cell r="AI234">
            <v>540816</v>
          </cell>
          <cell r="AJ234">
            <v>199061</v>
          </cell>
          <cell r="AK234">
            <v>193047</v>
          </cell>
          <cell r="AL234">
            <v>207199</v>
          </cell>
          <cell r="AM234">
            <v>599307</v>
          </cell>
          <cell r="AN234">
            <v>203930</v>
          </cell>
          <cell r="AO234">
            <v>186930</v>
          </cell>
          <cell r="AP234">
            <v>205332</v>
          </cell>
          <cell r="AQ234">
            <v>596192</v>
          </cell>
          <cell r="AR234">
            <v>202962</v>
          </cell>
          <cell r="AS234">
            <v>208429</v>
          </cell>
          <cell r="AT234">
            <v>205769</v>
          </cell>
          <cell r="AU234">
            <v>617160</v>
          </cell>
          <cell r="AV234">
            <v>215070</v>
          </cell>
          <cell r="AW234">
            <v>209577</v>
          </cell>
          <cell r="AX234">
            <v>214979</v>
          </cell>
          <cell r="AY234">
            <v>639626</v>
          </cell>
          <cell r="AZ234">
            <v>220615</v>
          </cell>
          <cell r="BA234">
            <v>206013</v>
          </cell>
          <cell r="BB234">
            <v>229949</v>
          </cell>
          <cell r="BC234">
            <v>656577</v>
          </cell>
          <cell r="BD234">
            <v>218323</v>
          </cell>
          <cell r="BE234">
            <v>205579</v>
          </cell>
          <cell r="BF234">
            <v>230190</v>
          </cell>
          <cell r="BG234">
            <v>654092</v>
          </cell>
          <cell r="BH234">
            <v>219628</v>
          </cell>
          <cell r="BI234">
            <v>218259</v>
          </cell>
          <cell r="BJ234">
            <v>230137</v>
          </cell>
          <cell r="BK234">
            <v>668024</v>
          </cell>
          <cell r="BL234">
            <v>227309</v>
          </cell>
          <cell r="BM234">
            <v>232679</v>
          </cell>
          <cell r="BN234">
            <v>227835</v>
          </cell>
          <cell r="BO234">
            <v>687823</v>
          </cell>
        </row>
        <row r="235">
          <cell r="A235" t="str">
            <v xml:space="preserve">  % Change</v>
          </cell>
          <cell r="R235">
            <v>0.42678554907947075</v>
          </cell>
          <cell r="T235">
            <v>0.56033339853513286</v>
          </cell>
          <cell r="U235">
            <v>0.62534829939646897</v>
          </cell>
          <cell r="V235">
            <v>0.67348329925017048</v>
          </cell>
          <cell r="W235">
            <v>0.61944032309725694</v>
          </cell>
          <cell r="X235">
            <v>0.69026362112763651</v>
          </cell>
          <cell r="Y235">
            <v>0.71106970068751596</v>
          </cell>
          <cell r="Z235">
            <v>0.64490484960098216</v>
          </cell>
          <cell r="AA235">
            <v>0.68081674784684365</v>
          </cell>
          <cell r="AB235">
            <v>0.7863970432048939</v>
          </cell>
          <cell r="AC235">
            <v>0.69111859216583071</v>
          </cell>
          <cell r="AD235">
            <v>0.63541386824273904</v>
          </cell>
          <cell r="AE235">
            <v>0.70249135041443833</v>
          </cell>
          <cell r="AF235">
            <v>0.72283571915473765</v>
          </cell>
          <cell r="AG235">
            <v>0.57999628150758298</v>
          </cell>
          <cell r="AH235">
            <v>0.50302730654822203</v>
          </cell>
          <cell r="AI235">
            <v>0.59525214149184702</v>
          </cell>
          <cell r="AJ235">
            <v>0.38636347807918647</v>
          </cell>
          <cell r="AK235">
            <v>0.3398690995911966</v>
          </cell>
          <cell r="AL235">
            <v>0.36127061296892449</v>
          </cell>
          <cell r="AM235">
            <v>0.3624515202080596</v>
          </cell>
          <cell r="AN235">
            <v>0.2717249636748007</v>
          </cell>
          <cell r="AO235">
            <v>0.26446733814506906</v>
          </cell>
          <cell r="AP235">
            <v>0.27715474613274615</v>
          </cell>
          <cell r="AQ235">
            <v>0.27129858858801237</v>
          </cell>
          <cell r="AR235">
            <v>0.20667063020214038</v>
          </cell>
          <cell r="AS235">
            <v>0.20966553107026575</v>
          </cell>
          <cell r="AT235">
            <v>0.2519103940035532</v>
          </cell>
          <cell r="AU235">
            <v>0.22242095442958254</v>
          </cell>
          <cell r="AV235">
            <v>0.21564792728834825</v>
          </cell>
          <cell r="AW235">
            <v>0.17437058371950975</v>
          </cell>
          <cell r="AX235">
            <v>0.15929766661813316</v>
          </cell>
          <cell r="AY235">
            <v>0.18270539333155833</v>
          </cell>
          <cell r="AZ235">
            <v>0.10827836693274917</v>
          </cell>
          <cell r="BA235">
            <v>6.7164990908949562E-2</v>
          </cell>
          <cell r="BB235">
            <v>0.10979782720959075</v>
          </cell>
          <cell r="BC235">
            <v>9.5560372229925639E-2</v>
          </cell>
          <cell r="BD235">
            <v>7.0578139557691433E-2</v>
          </cell>
          <cell r="BE235">
            <v>9.9764617771358255E-2</v>
          </cell>
          <cell r="BF235">
            <v>0.12106247443165219</v>
          </cell>
          <cell r="BG235">
            <v>9.7116365197788657E-2</v>
          </cell>
          <cell r="BH235">
            <v>8.2113893241099412E-2</v>
          </cell>
          <cell r="BI235">
            <v>4.7162343052070455E-2</v>
          </cell>
          <cell r="BJ235">
            <v>0.11842405804567258</v>
          </cell>
          <cell r="BK235">
            <v>8.2416229178819078E-2</v>
          </cell>
          <cell r="BL235">
            <v>5.6907053517459394E-2</v>
          </cell>
          <cell r="BM235">
            <v>0.11023156166945802</v>
          </cell>
          <cell r="BN235">
            <v>5.9801189883663008E-2</v>
          </cell>
          <cell r="BO235">
            <v>7.5351846235143682E-2</v>
          </cell>
        </row>
        <row r="236">
          <cell r="A236" t="str">
            <v>NRx</v>
          </cell>
          <cell r="C236">
            <v>33354</v>
          </cell>
          <cell r="D236">
            <v>35661</v>
          </cell>
          <cell r="E236">
            <v>34335</v>
          </cell>
          <cell r="F236">
            <v>33952</v>
          </cell>
          <cell r="G236">
            <v>103948</v>
          </cell>
          <cell r="H236">
            <v>37390</v>
          </cell>
          <cell r="I236">
            <v>34063</v>
          </cell>
          <cell r="J236">
            <v>38077</v>
          </cell>
          <cell r="K236">
            <v>109530</v>
          </cell>
          <cell r="L236">
            <v>36313</v>
          </cell>
          <cell r="M236">
            <v>39749</v>
          </cell>
          <cell r="N236">
            <v>38998</v>
          </cell>
          <cell r="O236">
            <v>115060</v>
          </cell>
          <cell r="P236">
            <v>38346</v>
          </cell>
          <cell r="Q236">
            <v>47838</v>
          </cell>
          <cell r="R236">
            <v>57601</v>
          </cell>
          <cell r="S236">
            <v>143785</v>
          </cell>
          <cell r="T236">
            <v>64395</v>
          </cell>
          <cell r="U236">
            <v>60566</v>
          </cell>
          <cell r="V236">
            <v>61641</v>
          </cell>
          <cell r="W236">
            <v>186602</v>
          </cell>
          <cell r="X236">
            <v>67341</v>
          </cell>
          <cell r="Y236">
            <v>61825</v>
          </cell>
          <cell r="Z236">
            <v>66714</v>
          </cell>
          <cell r="AA236">
            <v>195880</v>
          </cell>
          <cell r="AB236">
            <v>69577</v>
          </cell>
          <cell r="AC236">
            <v>71119</v>
          </cell>
          <cell r="AD236">
            <v>66507</v>
          </cell>
          <cell r="AE236">
            <v>207203</v>
          </cell>
          <cell r="AF236">
            <v>70674</v>
          </cell>
          <cell r="AG236">
            <v>72366</v>
          </cell>
          <cell r="AH236">
            <v>74372</v>
          </cell>
          <cell r="AI236">
            <v>217412</v>
          </cell>
          <cell r="AJ236">
            <v>81120</v>
          </cell>
          <cell r="AK236">
            <v>77503</v>
          </cell>
          <cell r="AL236">
            <v>82098</v>
          </cell>
          <cell r="AM236">
            <v>240721</v>
          </cell>
          <cell r="AN236">
            <v>85173</v>
          </cell>
          <cell r="AO236">
            <v>77398</v>
          </cell>
          <cell r="AP236">
            <v>84035</v>
          </cell>
          <cell r="AQ236">
            <v>246606</v>
          </cell>
          <cell r="AR236">
            <v>82500</v>
          </cell>
          <cell r="AS236">
            <v>85207</v>
          </cell>
          <cell r="AT236">
            <v>82552</v>
          </cell>
          <cell r="AU236">
            <v>250259</v>
          </cell>
          <cell r="AV236">
            <v>86754</v>
          </cell>
          <cell r="AW236">
            <v>83371</v>
          </cell>
          <cell r="AX236">
            <v>85932</v>
          </cell>
          <cell r="AY236">
            <v>256057</v>
          </cell>
          <cell r="AZ236">
            <v>89181</v>
          </cell>
          <cell r="BA236">
            <v>81028</v>
          </cell>
          <cell r="BB236">
            <v>90601</v>
          </cell>
          <cell r="BC236">
            <v>260810</v>
          </cell>
          <cell r="BD236">
            <v>88327</v>
          </cell>
          <cell r="BE236">
            <v>83715</v>
          </cell>
          <cell r="BF236">
            <v>93153</v>
          </cell>
          <cell r="BG236">
            <v>265195</v>
          </cell>
          <cell r="BH236">
            <v>88120</v>
          </cell>
          <cell r="BI236">
            <v>86385</v>
          </cell>
          <cell r="BJ236">
            <v>91863</v>
          </cell>
          <cell r="BK236">
            <v>266368</v>
          </cell>
          <cell r="BL236">
            <v>89301</v>
          </cell>
          <cell r="BM236">
            <v>92078</v>
          </cell>
          <cell r="BN236">
            <v>91838</v>
          </cell>
          <cell r="BO236">
            <v>273217</v>
          </cell>
        </row>
        <row r="237">
          <cell r="A237" t="str">
            <v xml:space="preserve">  % Change</v>
          </cell>
          <cell r="R237">
            <v>0.72695928524314923</v>
          </cell>
          <cell r="T237">
            <v>0.80575418524438458</v>
          </cell>
          <cell r="U237">
            <v>0.76397262268821908</v>
          </cell>
          <cell r="V237">
            <v>0.81553369462770964</v>
          </cell>
          <cell r="W237">
            <v>0.79514757378689338</v>
          </cell>
          <cell r="X237">
            <v>0.80104305964161537</v>
          </cell>
          <cell r="Y237">
            <v>0.81501922907553648</v>
          </cell>
          <cell r="Z237">
            <v>0.75208130892664871</v>
          </cell>
          <cell r="AA237">
            <v>0.78836848352049671</v>
          </cell>
          <cell r="AB237">
            <v>0.91603557954451564</v>
          </cell>
          <cell r="AC237">
            <v>0.78920224408161221</v>
          </cell>
          <cell r="AD237">
            <v>0.7053951484691523</v>
          </cell>
          <cell r="AE237">
            <v>0.80082565617938473</v>
          </cell>
          <cell r="AF237">
            <v>0.84306055390392731</v>
          </cell>
          <cell r="AG237">
            <v>0.51273046532045652</v>
          </cell>
          <cell r="AH237">
            <v>0.29115813961563175</v>
          </cell>
          <cell r="AI237">
            <v>0.51206314984177759</v>
          </cell>
          <cell r="AJ237">
            <v>0.25972513393897034</v>
          </cell>
          <cell r="AK237">
            <v>0.27964534557342402</v>
          </cell>
          <cell r="AL237">
            <v>0.33187326617024393</v>
          </cell>
          <cell r="AM237">
            <v>0.29002368677720503</v>
          </cell>
          <cell r="AN237">
            <v>0.26480153249877492</v>
          </cell>
          <cell r="AO237">
            <v>0.25188839466235335</v>
          </cell>
          <cell r="AP237">
            <v>0.25963066222981679</v>
          </cell>
          <cell r="AQ237">
            <v>0.25896467224831521</v>
          </cell>
          <cell r="AR237">
            <v>0.18573666585222126</v>
          </cell>
          <cell r="AS237">
            <v>0.19809052433245689</v>
          </cell>
          <cell r="AT237">
            <v>0.24125280045709485</v>
          </cell>
          <cell r="AU237">
            <v>0.20779621916671087</v>
          </cell>
          <cell r="AV237">
            <v>0.22752355887596565</v>
          </cell>
          <cell r="AW237">
            <v>0.15207417848160731</v>
          </cell>
          <cell r="AX237">
            <v>0.15543484106921968</v>
          </cell>
          <cell r="AY237">
            <v>0.17775007819255606</v>
          </cell>
          <cell r="AZ237">
            <v>9.9371301775147858E-2</v>
          </cell>
          <cell r="BA237">
            <v>4.5482110369921225E-2</v>
          </cell>
          <cell r="BB237">
            <v>0.10357134156739511</v>
          </cell>
          <cell r="BC237">
            <v>8.3453458568218064E-2</v>
          </cell>
          <cell r="BD237">
            <v>3.7030514364880807E-2</v>
          </cell>
          <cell r="BE237">
            <v>8.1617096048993476E-2</v>
          </cell>
          <cell r="BF237">
            <v>0.10850240971023983</v>
          </cell>
          <cell r="BG237">
            <v>7.5379350056365313E-2</v>
          </cell>
          <cell r="BH237">
            <v>6.8121212121212027E-2</v>
          </cell>
          <cell r="BI237">
            <v>1.3825155210252627E-2</v>
          </cell>
          <cell r="BJ237">
            <v>0.11278951448783792</v>
          </cell>
          <cell r="BK237">
            <v>6.4369313391326566E-2</v>
          </cell>
          <cell r="BL237">
            <v>2.9358876824123303E-2</v>
          </cell>
          <cell r="BM237">
            <v>0.10443679456885491</v>
          </cell>
          <cell r="BN237">
            <v>6.8728762277149302E-2</v>
          </cell>
          <cell r="BO237">
            <v>6.7016328395630653E-2</v>
          </cell>
        </row>
        <row r="238">
          <cell r="A238" t="str">
            <v>Sales (IMS)</v>
          </cell>
          <cell r="C238">
            <v>0.83305600000000002</v>
          </cell>
          <cell r="D238">
            <v>0.65578000000000003</v>
          </cell>
          <cell r="E238">
            <v>0.66476199999999996</v>
          </cell>
          <cell r="F238">
            <v>0.81379199999999996</v>
          </cell>
          <cell r="G238">
            <v>2.134334</v>
          </cell>
          <cell r="H238">
            <v>0.64543499999999998</v>
          </cell>
          <cell r="I238">
            <v>0.64443499999999998</v>
          </cell>
          <cell r="J238">
            <v>0.84325799999999995</v>
          </cell>
          <cell r="K238">
            <v>2.1331280000000001</v>
          </cell>
          <cell r="L238">
            <v>0.70940899999999996</v>
          </cell>
          <cell r="M238">
            <v>0.81401199999999996</v>
          </cell>
          <cell r="N238">
            <v>1.003347</v>
          </cell>
          <cell r="O238">
            <v>2.5267679999999997</v>
          </cell>
          <cell r="P238">
            <v>0.82505300000000004</v>
          </cell>
          <cell r="Q238">
            <v>1.1434299999999999</v>
          </cell>
          <cell r="R238">
            <v>1.502694</v>
          </cell>
          <cell r="S238">
            <v>3.471177</v>
          </cell>
          <cell r="T238">
            <v>1.290627</v>
          </cell>
          <cell r="U238">
            <v>1.6013869999999999</v>
          </cell>
          <cell r="V238">
            <v>1.6661980000000001</v>
          </cell>
          <cell r="W238">
            <v>4.5582120000000002</v>
          </cell>
          <cell r="X238">
            <v>1.155157</v>
          </cell>
          <cell r="Y238">
            <v>1.1220840000000001</v>
          </cell>
          <cell r="Z238">
            <v>1.4661040000000001</v>
          </cell>
          <cell r="AA238">
            <v>3.7433450000000001</v>
          </cell>
          <cell r="AB238">
            <v>1.1615009999999999</v>
          </cell>
          <cell r="AC238">
            <v>1.2039519999999999</v>
          </cell>
          <cell r="AD238">
            <v>1.622358</v>
          </cell>
          <cell r="AE238">
            <v>3.9878109999999998</v>
          </cell>
          <cell r="AF238">
            <v>1.2480530000000001</v>
          </cell>
          <cell r="AG238">
            <v>1.4901120000000001</v>
          </cell>
          <cell r="AH238">
            <v>1.805426</v>
          </cell>
          <cell r="AI238">
            <v>4.5435910000000002</v>
          </cell>
          <cell r="AJ238">
            <v>1.3663240000000001</v>
          </cell>
          <cell r="AK238">
            <v>1.4080589999999999</v>
          </cell>
          <cell r="AL238">
            <v>1.80951</v>
          </cell>
          <cell r="AM238">
            <v>4.5838929999999998</v>
          </cell>
          <cell r="AN238">
            <v>1.3842970000000001</v>
          </cell>
          <cell r="AO238">
            <v>1.393675</v>
          </cell>
          <cell r="AP238">
            <v>1.784886</v>
          </cell>
          <cell r="AQ238">
            <v>4.5628580000000003</v>
          </cell>
          <cell r="AR238">
            <v>1.1596249999999999</v>
          </cell>
          <cell r="AS238">
            <v>1.176919</v>
          </cell>
          <cell r="AT238">
            <v>1.5661670000000001</v>
          </cell>
          <cell r="AU238">
            <v>3.902711</v>
          </cell>
          <cell r="AV238">
            <v>1.221846</v>
          </cell>
          <cell r="AW238">
            <v>1.3318399999999999</v>
          </cell>
          <cell r="AX238">
            <v>1.609138</v>
          </cell>
          <cell r="AY238">
            <v>4.1628239999999996</v>
          </cell>
          <cell r="AZ238">
            <v>1.306943</v>
          </cell>
          <cell r="BA238">
            <v>1.2401</v>
          </cell>
          <cell r="BB238">
            <v>1.5163500000000001</v>
          </cell>
          <cell r="BC238">
            <v>4.0633929999999996</v>
          </cell>
          <cell r="BD238">
            <v>1.2577389999999999</v>
          </cell>
          <cell r="BE238">
            <v>1.259061</v>
          </cell>
          <cell r="BF238">
            <v>1.6043499999999999</v>
          </cell>
          <cell r="BG238">
            <v>4.1211500000000001</v>
          </cell>
          <cell r="BH238">
            <v>1.273514</v>
          </cell>
          <cell r="BI238">
            <v>1.3309759999999999</v>
          </cell>
          <cell r="BJ238">
            <v>1.7265919999999999</v>
          </cell>
          <cell r="BK238">
            <v>4.3310820000000003</v>
          </cell>
          <cell r="BL238">
            <v>1.379176</v>
          </cell>
          <cell r="BM238">
            <v>1.4307989999999999</v>
          </cell>
        </row>
        <row r="239">
          <cell r="A239" t="str">
            <v xml:space="preserve">  % Change</v>
          </cell>
          <cell r="R239">
            <v>0.80383311566089177</v>
          </cell>
          <cell r="T239">
            <v>0.96807923388941397</v>
          </cell>
          <cell r="U239">
            <v>1.4089629070253715</v>
          </cell>
          <cell r="V239">
            <v>1.0474494711179272</v>
          </cell>
          <cell r="W239">
            <v>1.1356601169264042</v>
          </cell>
          <cell r="X239">
            <v>0.78973405532702756</v>
          </cell>
          <cell r="Y239">
            <v>0.74119034503091874</v>
          </cell>
          <cell r="Z239">
            <v>0.73861854853437525</v>
          </cell>
          <cell r="AA239">
            <v>0.7548618742053923</v>
          </cell>
          <cell r="AB239">
            <v>0.63727976385977625</v>
          </cell>
          <cell r="AC239">
            <v>0.47903470710505491</v>
          </cell>
          <cell r="AD239">
            <v>0.61694608146533558</v>
          </cell>
          <cell r="AE239">
            <v>0.57822601837604415</v>
          </cell>
          <cell r="AF239">
            <v>0.51269433600023273</v>
          </cell>
          <cell r="AG239">
            <v>0.30319477361972336</v>
          </cell>
          <cell r="AH239">
            <v>0.20145951204969204</v>
          </cell>
          <cell r="AI239">
            <v>0.30894823283284034</v>
          </cell>
          <cell r="AJ239">
            <v>5.8651337683157223E-2</v>
          </cell>
          <cell r="AK239">
            <v>-0.12072534621549946</v>
          </cell>
          <cell r="AL239">
            <v>8.6011386401856127E-2</v>
          </cell>
          <cell r="AM239">
            <v>5.6340073695562154E-3</v>
          </cell>
          <cell r="AN239">
            <v>0.19836264680904847</v>
          </cell>
          <cell r="AO239">
            <v>0.2420415940339582</v>
          </cell>
          <cell r="AP239">
            <v>0.2174347795245084</v>
          </cell>
          <cell r="AQ239">
            <v>0.21892531946694738</v>
          </cell>
          <cell r="AR239">
            <v>-1.6151514290559943E-3</v>
          </cell>
          <cell r="AS239">
            <v>-2.2453552965566614E-2</v>
          </cell>
          <cell r="AT239">
            <v>-3.4635388736641293E-2</v>
          </cell>
          <cell r="AU239">
            <v>-2.1340028401546585E-2</v>
          </cell>
          <cell r="AV239">
            <v>-2.0998306962925484E-2</v>
          </cell>
          <cell r="AW239">
            <v>-0.10621483485805105</v>
          </cell>
          <cell r="AX239">
            <v>-0.10872115500718393</v>
          </cell>
          <cell r="AY239">
            <v>-8.3803097593951659E-2</v>
          </cell>
          <cell r="AZ239">
            <v>-4.3460409097695774E-2</v>
          </cell>
          <cell r="BA239">
            <v>-0.1192840640910644</v>
          </cell>
          <cell r="BB239">
            <v>-0.16201071008173473</v>
          </cell>
          <cell r="BC239">
            <v>-0.11354977090433838</v>
          </cell>
          <cell r="BD239">
            <v>-9.1424022446050301E-2</v>
          </cell>
          <cell r="BE239">
            <v>-9.6589233501354288E-2</v>
          </cell>
          <cell r="BF239">
            <v>-0.10114707605975959</v>
          </cell>
          <cell r="BG239">
            <v>-9.6805116442370109E-2</v>
          </cell>
          <cell r="BH239">
            <v>9.821192195752948E-2</v>
          </cell>
          <cell r="BI239">
            <v>0.1308985580146127</v>
          </cell>
          <cell r="BJ239">
            <v>0.10243160531412032</v>
          </cell>
          <cell r="BK239">
            <v>0.10976241899541117</v>
          </cell>
          <cell r="BL239">
            <v>0.12876418141075052</v>
          </cell>
          <cell r="BM239">
            <v>7.4302468765016894E-2</v>
          </cell>
        </row>
        <row r="241">
          <cell r="A241" t="str">
            <v>DIPYRIDAMOLE</v>
          </cell>
        </row>
        <row r="242">
          <cell r="A242" t="str">
            <v>TRx</v>
          </cell>
          <cell r="C242">
            <v>92504</v>
          </cell>
          <cell r="D242">
            <v>95108</v>
          </cell>
          <cell r="E242">
            <v>92120</v>
          </cell>
          <cell r="F242">
            <v>92791</v>
          </cell>
          <cell r="G242">
            <v>280019</v>
          </cell>
          <cell r="H242">
            <v>94904</v>
          </cell>
          <cell r="I242">
            <v>84828</v>
          </cell>
          <cell r="J242">
            <v>96369</v>
          </cell>
          <cell r="K242">
            <v>276101</v>
          </cell>
          <cell r="L242">
            <v>93529</v>
          </cell>
          <cell r="M242">
            <v>98084</v>
          </cell>
          <cell r="N242">
            <v>94487</v>
          </cell>
          <cell r="O242">
            <v>286100</v>
          </cell>
          <cell r="P242">
            <v>98045</v>
          </cell>
          <cell r="Q242">
            <v>98547</v>
          </cell>
          <cell r="R242">
            <v>91752</v>
          </cell>
          <cell r="S242">
            <v>288344</v>
          </cell>
          <cell r="T242">
            <v>99625</v>
          </cell>
          <cell r="U242">
            <v>93735</v>
          </cell>
          <cell r="V242">
            <v>95919</v>
          </cell>
          <cell r="W242">
            <v>289279</v>
          </cell>
          <cell r="X242">
            <v>97101</v>
          </cell>
          <cell r="Y242">
            <v>86585</v>
          </cell>
          <cell r="Z242">
            <v>91870</v>
          </cell>
          <cell r="AA242">
            <v>275556</v>
          </cell>
          <cell r="AB242">
            <v>92532</v>
          </cell>
          <cell r="AC242">
            <v>92351</v>
          </cell>
          <cell r="AD242">
            <v>84673</v>
          </cell>
          <cell r="AE242">
            <v>269556</v>
          </cell>
          <cell r="AF242">
            <v>90992</v>
          </cell>
          <cell r="AG242">
            <v>87595</v>
          </cell>
          <cell r="AH242">
            <v>82882</v>
          </cell>
          <cell r="AI242">
            <v>261469</v>
          </cell>
          <cell r="AJ242">
            <v>87060</v>
          </cell>
          <cell r="AK242">
            <v>80792</v>
          </cell>
          <cell r="AL242">
            <v>85624</v>
          </cell>
          <cell r="AM242">
            <v>253476</v>
          </cell>
          <cell r="AN242">
            <v>82483</v>
          </cell>
          <cell r="AO242">
            <v>74364</v>
          </cell>
          <cell r="AP242">
            <v>80484</v>
          </cell>
          <cell r="AQ242">
            <v>237331</v>
          </cell>
          <cell r="AR242">
            <v>77380</v>
          </cell>
          <cell r="AS242">
            <v>78867</v>
          </cell>
          <cell r="AT242">
            <v>75823</v>
          </cell>
          <cell r="AU242">
            <v>232070</v>
          </cell>
          <cell r="AV242">
            <v>77085</v>
          </cell>
          <cell r="AW242">
            <v>74080</v>
          </cell>
          <cell r="AX242">
            <v>73815</v>
          </cell>
          <cell r="AY242">
            <v>224980</v>
          </cell>
          <cell r="AZ242">
            <v>76343</v>
          </cell>
          <cell r="BA242">
            <v>69973</v>
          </cell>
          <cell r="BB242">
            <v>76839</v>
          </cell>
          <cell r="BC242">
            <v>223155</v>
          </cell>
          <cell r="BD242">
            <v>73004</v>
          </cell>
          <cell r="BE242">
            <v>66855</v>
          </cell>
          <cell r="BF242">
            <v>72883</v>
          </cell>
          <cell r="BG242">
            <v>212742</v>
          </cell>
          <cell r="BH242">
            <v>68456</v>
          </cell>
          <cell r="BI242">
            <v>66402</v>
          </cell>
          <cell r="BJ242">
            <v>68604</v>
          </cell>
          <cell r="BK242">
            <v>203462</v>
          </cell>
          <cell r="BL242">
            <v>66895</v>
          </cell>
          <cell r="BM242">
            <v>67611</v>
          </cell>
          <cell r="BN242">
            <v>64953</v>
          </cell>
          <cell r="BO242">
            <v>199459</v>
          </cell>
        </row>
        <row r="243">
          <cell r="A243" t="str">
            <v xml:space="preserve">  % Change</v>
          </cell>
          <cell r="R243">
            <v>-8.1293781890512395E-3</v>
          </cell>
          <cell r="T243">
            <v>4.7493375951549899E-2</v>
          </cell>
          <cell r="U243">
            <v>1.753148067737742E-2</v>
          </cell>
          <cell r="V243">
            <v>3.3710165856602581E-2</v>
          </cell>
          <cell r="W243">
            <v>3.3069184591045575E-2</v>
          </cell>
          <cell r="X243">
            <v>2.3149709179802747E-2</v>
          </cell>
          <cell r="Y243">
            <v>2.0712500589427973E-2</v>
          </cell>
          <cell r="Z243">
            <v>-4.6685137336695437E-2</v>
          </cell>
          <cell r="AA243">
            <v>-1.973915342573962E-3</v>
          </cell>
          <cell r="AB243">
            <v>-1.0659795357589652E-2</v>
          </cell>
          <cell r="AC243">
            <v>-5.8449900085640882E-2</v>
          </cell>
          <cell r="AD243">
            <v>-0.10386614031559893</v>
          </cell>
          <cell r="AE243">
            <v>-5.7825934987766558E-2</v>
          </cell>
          <cell r="AF243">
            <v>-7.193635575501045E-2</v>
          </cell>
          <cell r="AG243">
            <v>-0.11113478847656444</v>
          </cell>
          <cell r="AH243">
            <v>-9.6673641991455228E-2</v>
          </cell>
          <cell r="AI243">
            <v>-9.3204644452459573E-2</v>
          </cell>
          <cell r="AJ243">
            <v>-0.12612296110414056</v>
          </cell>
          <cell r="AK243">
            <v>-0.13808075958820076</v>
          </cell>
          <cell r="AL243">
            <v>-0.10733014314160905</v>
          </cell>
          <cell r="AM243">
            <v>-0.12376632939134879</v>
          </cell>
          <cell r="AN243">
            <v>-0.15054427863770714</v>
          </cell>
          <cell r="AO243">
            <v>-0.14114454004735233</v>
          </cell>
          <cell r="AP243">
            <v>-0.12393599651681719</v>
          </cell>
          <cell r="AQ243">
            <v>-0.13871953432333173</v>
          </cell>
          <cell r="AR243">
            <v>-0.16374875718670301</v>
          </cell>
          <cell r="AS243">
            <v>-0.14600816450282073</v>
          </cell>
          <cell r="AT243">
            <v>-0.10451974064932146</v>
          </cell>
          <cell r="AU243">
            <v>-0.13906572289246022</v>
          </cell>
          <cell r="AV243">
            <v>-0.15283761209776681</v>
          </cell>
          <cell r="AW243">
            <v>-0.15428962840344773</v>
          </cell>
          <cell r="AX243">
            <v>-0.10939649139740837</v>
          </cell>
          <cell r="AY243">
            <v>-0.13955382856093834</v>
          </cell>
          <cell r="AZ243">
            <v>-0.12309901217551111</v>
          </cell>
          <cell r="BA243">
            <v>-0.13391177344291516</v>
          </cell>
          <cell r="BB243">
            <v>-0.10259973839110526</v>
          </cell>
          <cell r="BC243">
            <v>-0.11962079250106517</v>
          </cell>
          <cell r="BD243">
            <v>-0.11492065031582266</v>
          </cell>
          <cell r="BE243">
            <v>-0.10097627884460225</v>
          </cell>
          <cell r="BF243">
            <v>-9.4441131156503211E-2</v>
          </cell>
          <cell r="BG243">
            <v>-0.10360635568046317</v>
          </cell>
          <cell r="BH243">
            <v>-0.11532695787025071</v>
          </cell>
          <cell r="BI243">
            <v>-0.15805089581193654</v>
          </cell>
          <cell r="BJ243">
            <v>-9.5208577872149647E-2</v>
          </cell>
          <cell r="BK243">
            <v>-0.12327315034256903</v>
          </cell>
          <cell r="BL243">
            <v>-0.13219173639488879</v>
          </cell>
          <cell r="BM243">
            <v>-8.7324514038876866E-2</v>
          </cell>
          <cell r="BN243">
            <v>-0.12005689900426741</v>
          </cell>
          <cell r="BO243">
            <v>-0.11343674993332742</v>
          </cell>
        </row>
        <row r="244">
          <cell r="A244" t="str">
            <v>NRx</v>
          </cell>
          <cell r="C244">
            <v>26879</v>
          </cell>
          <cell r="D244">
            <v>27227</v>
          </cell>
          <cell r="E244">
            <v>26354</v>
          </cell>
          <cell r="F244">
            <v>25723</v>
          </cell>
          <cell r="G244">
            <v>79304</v>
          </cell>
          <cell r="H244">
            <v>28351</v>
          </cell>
          <cell r="I244">
            <v>24960</v>
          </cell>
          <cell r="J244">
            <v>28460</v>
          </cell>
          <cell r="K244">
            <v>81771</v>
          </cell>
          <cell r="L244">
            <v>26994</v>
          </cell>
          <cell r="M244">
            <v>28398</v>
          </cell>
          <cell r="N244">
            <v>27179</v>
          </cell>
          <cell r="O244">
            <v>82571</v>
          </cell>
          <cell r="P244">
            <v>27818</v>
          </cell>
          <cell r="Q244">
            <v>27873</v>
          </cell>
          <cell r="R244">
            <v>25352</v>
          </cell>
          <cell r="S244">
            <v>81043</v>
          </cell>
          <cell r="T244">
            <v>28723</v>
          </cell>
          <cell r="U244">
            <v>26553</v>
          </cell>
          <cell r="V244">
            <v>26388</v>
          </cell>
          <cell r="W244">
            <v>81664</v>
          </cell>
          <cell r="X244">
            <v>28943</v>
          </cell>
          <cell r="Y244">
            <v>25512</v>
          </cell>
          <cell r="Z244">
            <v>26769</v>
          </cell>
          <cell r="AA244">
            <v>81224</v>
          </cell>
          <cell r="AB244">
            <v>26696</v>
          </cell>
          <cell r="AC244">
            <v>26345</v>
          </cell>
          <cell r="AD244">
            <v>23881</v>
          </cell>
          <cell r="AE244">
            <v>76922</v>
          </cell>
          <cell r="AF244">
            <v>24992</v>
          </cell>
          <cell r="AG244">
            <v>24503</v>
          </cell>
          <cell r="AH244">
            <v>23005</v>
          </cell>
          <cell r="AI244">
            <v>72500</v>
          </cell>
          <cell r="AJ244">
            <v>24258</v>
          </cell>
          <cell r="AK244">
            <v>22040</v>
          </cell>
          <cell r="AL244">
            <v>23345</v>
          </cell>
          <cell r="AM244">
            <v>69643</v>
          </cell>
          <cell r="AN244">
            <v>24198</v>
          </cell>
          <cell r="AO244">
            <v>21882</v>
          </cell>
          <cell r="AP244">
            <v>23348</v>
          </cell>
          <cell r="AQ244">
            <v>69428</v>
          </cell>
          <cell r="AR244">
            <v>21533</v>
          </cell>
          <cell r="AS244">
            <v>22154</v>
          </cell>
          <cell r="AT244">
            <v>21018</v>
          </cell>
          <cell r="AU244">
            <v>64705</v>
          </cell>
          <cell r="AV244">
            <v>21335</v>
          </cell>
          <cell r="AW244">
            <v>20374</v>
          </cell>
          <cell r="AX244">
            <v>20895</v>
          </cell>
          <cell r="AY244">
            <v>62604</v>
          </cell>
          <cell r="AZ244">
            <v>21567</v>
          </cell>
          <cell r="BA244">
            <v>19064</v>
          </cell>
          <cell r="BB244">
            <v>20705</v>
          </cell>
          <cell r="BC244">
            <v>61336</v>
          </cell>
          <cell r="BD244">
            <v>20555</v>
          </cell>
          <cell r="BE244">
            <v>19428</v>
          </cell>
          <cell r="BF244">
            <v>20996</v>
          </cell>
          <cell r="BG244">
            <v>60979</v>
          </cell>
          <cell r="BH244">
            <v>18921</v>
          </cell>
          <cell r="BI244">
            <v>18748</v>
          </cell>
          <cell r="BJ244">
            <v>19322</v>
          </cell>
          <cell r="BK244">
            <v>56991</v>
          </cell>
          <cell r="BL244">
            <v>18717</v>
          </cell>
          <cell r="BM244">
            <v>18722</v>
          </cell>
          <cell r="BN244">
            <v>18318</v>
          </cell>
          <cell r="BO244">
            <v>55757</v>
          </cell>
        </row>
        <row r="245">
          <cell r="A245" t="str">
            <v xml:space="preserve">  % Change</v>
          </cell>
          <cell r="R245">
            <v>-5.6810149187097703E-2</v>
          </cell>
          <cell r="T245">
            <v>5.4945458552172477E-2</v>
          </cell>
          <cell r="U245">
            <v>7.5510358958792434E-3</v>
          </cell>
          <cell r="V245">
            <v>2.585235003693187E-2</v>
          </cell>
          <cell r="W245">
            <v>2.9758902451326508E-2</v>
          </cell>
          <cell r="X245">
            <v>2.0881097668512538E-2</v>
          </cell>
          <cell r="Y245">
            <v>2.2115384615384537E-2</v>
          </cell>
          <cell r="Z245">
            <v>-5.9416725228390699E-2</v>
          </cell>
          <cell r="AA245">
            <v>-6.6894131171197913E-3</v>
          </cell>
          <cell r="AB245">
            <v>-1.1039490257094164E-2</v>
          </cell>
          <cell r="AC245">
            <v>-7.2293823508697841E-2</v>
          </cell>
          <cell r="AD245">
            <v>-0.12134368446226862</v>
          </cell>
          <cell r="AE245">
            <v>-6.841384989887489E-2</v>
          </cell>
          <cell r="AF245">
            <v>-0.10158889927385151</v>
          </cell>
          <cell r="AG245">
            <v>-0.12090553582319807</v>
          </cell>
          <cell r="AH245">
            <v>-9.2576522562322516E-2</v>
          </cell>
          <cell r="AI245">
            <v>-0.10541317572153053</v>
          </cell>
          <cell r="AJ245">
            <v>-0.15545033596769142</v>
          </cell>
          <cell r="AK245">
            <v>-0.16996196286671938</v>
          </cell>
          <cell r="AL245">
            <v>-0.1153175685917841</v>
          </cell>
          <cell r="AM245">
            <v>-0.14720072492163006</v>
          </cell>
          <cell r="AN245">
            <v>-0.16394292229554641</v>
          </cell>
          <cell r="AO245">
            <v>-0.14228598306679208</v>
          </cell>
          <cell r="AP245">
            <v>-0.12779707871044865</v>
          </cell>
          <cell r="AQ245">
            <v>-0.14522801142519448</v>
          </cell>
          <cell r="AR245">
            <v>-0.19339976026370997</v>
          </cell>
          <cell r="AS245">
            <v>-0.15908141962421707</v>
          </cell>
          <cell r="AT245">
            <v>-0.11988610192203009</v>
          </cell>
          <cell r="AU245">
            <v>-0.15882322352512934</v>
          </cell>
          <cell r="AV245">
            <v>-0.14632682458386681</v>
          </cell>
          <cell r="AW245">
            <v>-0.16850997836999548</v>
          </cell>
          <cell r="AX245">
            <v>-9.1719191480112983E-2</v>
          </cell>
          <cell r="AY245">
            <v>-0.13649655172413788</v>
          </cell>
          <cell r="AZ245">
            <v>-0.11093247588424437</v>
          </cell>
          <cell r="BA245">
            <v>-0.13502722323048999</v>
          </cell>
          <cell r="BB245">
            <v>-0.11308631398586422</v>
          </cell>
          <cell r="BC245">
            <v>-0.11927975532357882</v>
          </cell>
          <cell r="BD245">
            <v>-0.15054963220100837</v>
          </cell>
          <cell r="BE245">
            <v>-0.11214697011242114</v>
          </cell>
          <cell r="BF245">
            <v>-0.10073667980126777</v>
          </cell>
          <cell r="BG245">
            <v>-0.12169441723800201</v>
          </cell>
          <cell r="BH245">
            <v>-0.12130218734036136</v>
          </cell>
          <cell r="BI245">
            <v>-0.15374198790286175</v>
          </cell>
          <cell r="BJ245">
            <v>-8.0692739556570525E-2</v>
          </cell>
          <cell r="BK245">
            <v>-0.11921798933621819</v>
          </cell>
          <cell r="BL245">
            <v>-0.12270916334661353</v>
          </cell>
          <cell r="BM245">
            <v>-8.1083734171002231E-2</v>
          </cell>
          <cell r="BN245">
            <v>-0.12333094041636761</v>
          </cell>
          <cell r="BO245">
            <v>-0.10937000830617849</v>
          </cell>
        </row>
        <row r="246">
          <cell r="A246" t="str">
            <v>Sales (IMS)</v>
          </cell>
          <cell r="C246">
            <v>0.81322300000000003</v>
          </cell>
          <cell r="D246">
            <v>0.71023899999999995</v>
          </cell>
          <cell r="E246">
            <v>0.702183</v>
          </cell>
          <cell r="F246">
            <v>0.71460199999999996</v>
          </cell>
          <cell r="G246">
            <v>2.127024</v>
          </cell>
          <cell r="H246">
            <v>0.45484999999999998</v>
          </cell>
          <cell r="I246">
            <v>0.591167</v>
          </cell>
          <cell r="J246">
            <v>0.83217099999999999</v>
          </cell>
          <cell r="K246">
            <v>1.878188</v>
          </cell>
          <cell r="L246">
            <v>0.81515499999999996</v>
          </cell>
          <cell r="M246">
            <v>0.78176500000000004</v>
          </cell>
          <cell r="N246">
            <v>0.98689400000000005</v>
          </cell>
          <cell r="O246">
            <v>2.5838139999999998</v>
          </cell>
          <cell r="P246">
            <v>0.76012000000000002</v>
          </cell>
          <cell r="Q246">
            <v>0.76127400000000001</v>
          </cell>
          <cell r="R246">
            <v>0.94931299999999996</v>
          </cell>
          <cell r="S246">
            <v>2.470707</v>
          </cell>
          <cell r="T246">
            <v>0.73031199999999996</v>
          </cell>
          <cell r="U246">
            <v>0.88091399999999997</v>
          </cell>
          <cell r="V246">
            <v>0.88123399999999996</v>
          </cell>
          <cell r="W246">
            <v>2.4924599999999999</v>
          </cell>
          <cell r="X246">
            <v>0.68835199999999996</v>
          </cell>
          <cell r="Y246">
            <v>0.69918800000000003</v>
          </cell>
          <cell r="Z246">
            <v>1.0218970000000001</v>
          </cell>
          <cell r="AA246">
            <v>2.4094370000000001</v>
          </cell>
          <cell r="AB246">
            <v>1.0231189999999999</v>
          </cell>
          <cell r="AC246">
            <v>1.10781</v>
          </cell>
          <cell r="AD246">
            <v>1.2208779999999999</v>
          </cell>
          <cell r="AE246">
            <v>3.3518069999999995</v>
          </cell>
          <cell r="AF246">
            <v>0.91237500000000005</v>
          </cell>
          <cell r="AG246">
            <v>0.95949300000000004</v>
          </cell>
          <cell r="AH246">
            <v>1.1899839999999999</v>
          </cell>
          <cell r="AI246">
            <v>3.061852</v>
          </cell>
          <cell r="AJ246">
            <v>1.0429189999999999</v>
          </cell>
          <cell r="AK246">
            <v>0.94930300000000001</v>
          </cell>
          <cell r="AL246">
            <v>1.28173</v>
          </cell>
          <cell r="AM246">
            <v>3.273952</v>
          </cell>
          <cell r="AN246">
            <v>0.925844</v>
          </cell>
          <cell r="AO246">
            <v>0.92115199999999997</v>
          </cell>
          <cell r="AP246">
            <v>1.208669</v>
          </cell>
          <cell r="AQ246">
            <v>3.0556649999999999</v>
          </cell>
          <cell r="AR246">
            <v>0.98976799999999998</v>
          </cell>
          <cell r="AS246">
            <v>0.98239200000000004</v>
          </cell>
          <cell r="AT246">
            <v>1.2803690000000001</v>
          </cell>
          <cell r="AU246">
            <v>3.252529</v>
          </cell>
          <cell r="AV246">
            <v>0.99402400000000002</v>
          </cell>
          <cell r="AW246">
            <v>0.99502900000000005</v>
          </cell>
          <cell r="AX246">
            <v>1.1607430000000001</v>
          </cell>
          <cell r="AY246">
            <v>3.1497960000000003</v>
          </cell>
          <cell r="AZ246">
            <v>0.96771499999999999</v>
          </cell>
          <cell r="BA246">
            <v>0.73564300000000005</v>
          </cell>
          <cell r="BB246">
            <v>1.0173749999999999</v>
          </cell>
          <cell r="BC246">
            <v>2.7207330000000001</v>
          </cell>
          <cell r="BD246">
            <v>0.73843499999999995</v>
          </cell>
          <cell r="BE246">
            <v>0.85123099999999996</v>
          </cell>
          <cell r="BF246">
            <v>1.0873809999999999</v>
          </cell>
          <cell r="BG246">
            <v>2.677047</v>
          </cell>
          <cell r="BH246">
            <v>0.82837099999999997</v>
          </cell>
          <cell r="BI246">
            <v>0.85166699999999995</v>
          </cell>
          <cell r="BJ246">
            <v>1.053474</v>
          </cell>
          <cell r="BK246">
            <v>2.7335120000000002</v>
          </cell>
          <cell r="BL246">
            <v>0.80260100000000001</v>
          </cell>
          <cell r="BM246">
            <v>0.78745399999999999</v>
          </cell>
        </row>
        <row r="247">
          <cell r="A247" t="str">
            <v xml:space="preserve">  % Change</v>
          </cell>
          <cell r="R247">
            <v>0.16734647200091479</v>
          </cell>
          <cell r="T247">
            <v>2.8262317332616194E-2</v>
          </cell>
          <cell r="U247">
            <v>0.25453621064594278</v>
          </cell>
          <cell r="V247">
            <v>0.23318154721089512</v>
          </cell>
          <cell r="W247">
            <v>0.17180624196059835</v>
          </cell>
          <cell r="X247">
            <v>0.51336044849950535</v>
          </cell>
          <cell r="Y247">
            <v>0.18272501678882613</v>
          </cell>
          <cell r="Z247">
            <v>0.22798919933523276</v>
          </cell>
          <cell r="AA247">
            <v>0.28285187638298193</v>
          </cell>
          <cell r="AB247">
            <v>0.25512203200618289</v>
          </cell>
          <cell r="AC247">
            <v>0.41706267228642857</v>
          </cell>
          <cell r="AD247">
            <v>0.23709131882451384</v>
          </cell>
          <cell r="AE247">
            <v>0.29723230851756344</v>
          </cell>
          <cell r="AF247">
            <v>0.20030389938430782</v>
          </cell>
          <cell r="AG247">
            <v>0.26037799793504046</v>
          </cell>
          <cell r="AH247">
            <v>0.25352123061624554</v>
          </cell>
          <cell r="AI247">
            <v>0.23926147454959246</v>
          </cell>
          <cell r="AJ247">
            <v>0.42804582151190185</v>
          </cell>
          <cell r="AK247">
            <v>7.7634139087356946E-2</v>
          </cell>
          <cell r="AL247">
            <v>0.45447179750213906</v>
          </cell>
          <cell r="AM247">
            <v>0.31354244401113762</v>
          </cell>
          <cell r="AN247">
            <v>0.34501534098833164</v>
          </cell>
          <cell r="AO247">
            <v>0.3174596818023192</v>
          </cell>
          <cell r="AP247">
            <v>0.18276988776755387</v>
          </cell>
          <cell r="AQ247">
            <v>0.26820705417904667</v>
          </cell>
          <cell r="AR247">
            <v>-3.259738114530164E-2</v>
          </cell>
          <cell r="AS247">
            <v>-0.11321255449941769</v>
          </cell>
          <cell r="AT247">
            <v>4.872804653700058E-2</v>
          </cell>
          <cell r="AU247">
            <v>-2.9619247170257545E-2</v>
          </cell>
          <cell r="AV247">
            <v>8.9490615152760578E-2</v>
          </cell>
          <cell r="AW247">
            <v>3.703622642374671E-2</v>
          </cell>
          <cell r="AX247">
            <v>-2.4572599295452635E-2</v>
          </cell>
          <cell r="AY247">
            <v>2.8722485606750503E-2</v>
          </cell>
          <cell r="AZ247">
            <v>-7.2109147498511383E-2</v>
          </cell>
          <cell r="BA247">
            <v>-0.22507039375204752</v>
          </cell>
          <cell r="BB247">
            <v>-0.20624858589562556</v>
          </cell>
          <cell r="BC247">
            <v>-0.16897590435046084</v>
          </cell>
          <cell r="BD247">
            <v>-0.20241963008887032</v>
          </cell>
          <cell r="BE247">
            <v>-7.5906039394149971E-2</v>
          </cell>
          <cell r="BF247">
            <v>-0.10034839976867116</v>
          </cell>
          <cell r="BG247">
            <v>-0.12390690733441001</v>
          </cell>
          <cell r="BH247">
            <v>-0.1630654860532974</v>
          </cell>
          <cell r="BI247">
            <v>-0.13306806244350533</v>
          </cell>
          <cell r="BJ247">
            <v>-0.17721063224742251</v>
          </cell>
          <cell r="BK247">
            <v>-0.15957336583317161</v>
          </cell>
          <cell r="BL247">
            <v>-0.19257382115522359</v>
          </cell>
          <cell r="BM247">
            <v>-0.2086120103032173</v>
          </cell>
        </row>
        <row r="249">
          <cell r="A249" t="str">
            <v>TRAZODONE</v>
          </cell>
        </row>
        <row r="250">
          <cell r="A250" t="str">
            <v>TRx</v>
          </cell>
          <cell r="T250">
            <v>167426</v>
          </cell>
          <cell r="U250">
            <v>162827</v>
          </cell>
          <cell r="V250">
            <v>171102</v>
          </cell>
          <cell r="W250">
            <v>501355</v>
          </cell>
          <cell r="X250">
            <v>183739</v>
          </cell>
          <cell r="Y250">
            <v>168492</v>
          </cell>
          <cell r="Z250">
            <v>180208</v>
          </cell>
          <cell r="AA250">
            <v>532439</v>
          </cell>
          <cell r="AB250">
            <v>180032</v>
          </cell>
          <cell r="AC250">
            <v>179062</v>
          </cell>
          <cell r="AD250">
            <v>168171</v>
          </cell>
          <cell r="AE250">
            <v>527265</v>
          </cell>
          <cell r="AF250">
            <v>184016</v>
          </cell>
          <cell r="AG250">
            <v>179403</v>
          </cell>
          <cell r="AH250">
            <v>174847</v>
          </cell>
          <cell r="AI250">
            <v>538266</v>
          </cell>
          <cell r="AJ250">
            <v>189149</v>
          </cell>
          <cell r="AK250">
            <v>180150</v>
          </cell>
          <cell r="AL250">
            <v>195106</v>
          </cell>
          <cell r="AM250">
            <v>564405</v>
          </cell>
          <cell r="AN250">
            <v>199206</v>
          </cell>
          <cell r="AO250">
            <v>182663</v>
          </cell>
          <cell r="AP250">
            <v>206703</v>
          </cell>
          <cell r="AQ250">
            <v>588572</v>
          </cell>
          <cell r="AR250">
            <v>201068</v>
          </cell>
          <cell r="AS250">
            <v>201543</v>
          </cell>
          <cell r="AT250">
            <v>197153</v>
          </cell>
          <cell r="AU250">
            <v>599764</v>
          </cell>
          <cell r="AV250">
            <v>205669</v>
          </cell>
          <cell r="AW250">
            <v>200881</v>
          </cell>
          <cell r="AX250">
            <v>208778</v>
          </cell>
          <cell r="AY250">
            <v>615328</v>
          </cell>
          <cell r="AZ250">
            <v>217872</v>
          </cell>
          <cell r="BA250">
            <v>199699</v>
          </cell>
          <cell r="BB250">
            <v>221976</v>
          </cell>
          <cell r="BC250">
            <v>639547</v>
          </cell>
          <cell r="BD250">
            <v>219627</v>
          </cell>
          <cell r="BE250">
            <v>207253</v>
          </cell>
          <cell r="BF250">
            <v>232242</v>
          </cell>
          <cell r="BG250">
            <v>659122</v>
          </cell>
          <cell r="BH250">
            <v>220283</v>
          </cell>
          <cell r="BI250">
            <v>215882</v>
          </cell>
          <cell r="BJ250">
            <v>227963</v>
          </cell>
          <cell r="BK250">
            <v>664128</v>
          </cell>
          <cell r="BL250">
            <v>228444</v>
          </cell>
          <cell r="BM250">
            <v>232426</v>
          </cell>
          <cell r="BN250">
            <v>228328</v>
          </cell>
          <cell r="BO250">
            <v>689198</v>
          </cell>
        </row>
        <row r="251">
          <cell r="A251" t="str">
            <v xml:space="preserve">  % Change</v>
          </cell>
          <cell r="AJ251">
            <v>0.12974687324549361</v>
          </cell>
          <cell r="AK251">
            <v>0.10638898954104659</v>
          </cell>
          <cell r="AL251">
            <v>0.14029058690138041</v>
          </cell>
          <cell r="AM251">
            <v>0.12575919258808632</v>
          </cell>
          <cell r="AN251">
            <v>8.4179188958250606E-2</v>
          </cell>
          <cell r="AO251">
            <v>8.4104883317902335E-2</v>
          </cell>
          <cell r="AP251">
            <v>0.14702454940957121</v>
          </cell>
          <cell r="AQ251">
            <v>0.10542616149455619</v>
          </cell>
          <cell r="AR251">
            <v>0.11684589406327772</v>
          </cell>
          <cell r="AS251">
            <v>0.12554869263160251</v>
          </cell>
          <cell r="AT251">
            <v>0.17233649083373481</v>
          </cell>
          <cell r="AU251">
            <v>0.13750011853621991</v>
          </cell>
          <cell r="AV251">
            <v>0.11766911572906702</v>
          </cell>
          <cell r="AW251">
            <v>0.1197192912047178</v>
          </cell>
          <cell r="AX251">
            <v>0.19406109341309841</v>
          </cell>
          <cell r="AY251">
            <v>0.14316713297886174</v>
          </cell>
          <cell r="AZ251">
            <v>0.15185382952064241</v>
          </cell>
          <cell r="BA251">
            <v>0.10851512628365256</v>
          </cell>
          <cell r="BB251">
            <v>0.13772000861070399</v>
          </cell>
          <cell r="BC251">
            <v>0.13313489426918612</v>
          </cell>
          <cell r="BD251">
            <v>0.10251197253094779</v>
          </cell>
          <cell r="BE251">
            <v>0.13461949053721889</v>
          </cell>
          <cell r="BF251">
            <v>0.12355408484637387</v>
          </cell>
          <cell r="BG251">
            <v>0.11986638847923459</v>
          </cell>
          <cell r="BH251">
            <v>9.5564684584319659E-2</v>
          </cell>
          <cell r="BI251">
            <v>7.1146107778488954E-2</v>
          </cell>
          <cell r="BJ251">
            <v>0.15627456848234611</v>
          </cell>
          <cell r="BK251">
            <v>0.10731554411401811</v>
          </cell>
          <cell r="BL251">
            <v>0.11073618289581799</v>
          </cell>
          <cell r="BM251">
            <v>0.1570332684524669</v>
          </cell>
          <cell r="BN251">
            <v>9.3640134496929761E-2</v>
          </cell>
          <cell r="BO251">
            <v>0.12004979458110143</v>
          </cell>
        </row>
        <row r="252">
          <cell r="A252" t="str">
            <v>NRx</v>
          </cell>
          <cell r="T252">
            <v>78098</v>
          </cell>
          <cell r="U252">
            <v>73121</v>
          </cell>
          <cell r="V252">
            <v>74424</v>
          </cell>
          <cell r="W252">
            <v>225643</v>
          </cell>
          <cell r="X252">
            <v>85245</v>
          </cell>
          <cell r="Y252">
            <v>78274</v>
          </cell>
          <cell r="Z252">
            <v>81246</v>
          </cell>
          <cell r="AA252">
            <v>244765</v>
          </cell>
          <cell r="AB252">
            <v>80111</v>
          </cell>
          <cell r="AC252">
            <v>78968</v>
          </cell>
          <cell r="AD252">
            <v>72129</v>
          </cell>
          <cell r="AE252">
            <v>231208</v>
          </cell>
          <cell r="AF252">
            <v>79726</v>
          </cell>
          <cell r="AG252">
            <v>78799</v>
          </cell>
          <cell r="AH252">
            <v>76357</v>
          </cell>
          <cell r="AI252">
            <v>234882</v>
          </cell>
          <cell r="AJ252">
            <v>84354</v>
          </cell>
          <cell r="AK252">
            <v>78650</v>
          </cell>
          <cell r="AL252">
            <v>81629</v>
          </cell>
          <cell r="AM252">
            <v>244633</v>
          </cell>
          <cell r="AN252">
            <v>90690</v>
          </cell>
          <cell r="AO252">
            <v>82622</v>
          </cell>
          <cell r="AP252">
            <v>93711</v>
          </cell>
          <cell r="AQ252">
            <v>267023</v>
          </cell>
          <cell r="AR252">
            <v>87826</v>
          </cell>
          <cell r="AS252">
            <v>87585</v>
          </cell>
          <cell r="AT252">
            <v>84513</v>
          </cell>
          <cell r="AU252">
            <v>259924</v>
          </cell>
          <cell r="AV252">
            <v>88841</v>
          </cell>
          <cell r="AW252">
            <v>86091</v>
          </cell>
          <cell r="AX252">
            <v>91587</v>
          </cell>
          <cell r="AY252">
            <v>266519</v>
          </cell>
          <cell r="AZ252">
            <v>97202</v>
          </cell>
          <cell r="BA252">
            <v>86431</v>
          </cell>
          <cell r="BB252">
            <v>94095</v>
          </cell>
          <cell r="BC252">
            <v>277728</v>
          </cell>
          <cell r="BD252">
            <v>96944</v>
          </cell>
          <cell r="BE252">
            <v>93815</v>
          </cell>
          <cell r="BF252">
            <v>104520</v>
          </cell>
          <cell r="BG252">
            <v>295279</v>
          </cell>
          <cell r="BH252">
            <v>96409</v>
          </cell>
          <cell r="BI252">
            <v>91756</v>
          </cell>
          <cell r="BJ252">
            <v>97484</v>
          </cell>
          <cell r="BK252">
            <v>285649</v>
          </cell>
          <cell r="BL252">
            <v>97090</v>
          </cell>
          <cell r="BM252">
            <v>99862</v>
          </cell>
          <cell r="BN252">
            <v>100351</v>
          </cell>
          <cell r="BO252">
            <v>297303</v>
          </cell>
        </row>
        <row r="253">
          <cell r="A253" t="str">
            <v xml:space="preserve">  % Change</v>
          </cell>
          <cell r="AJ253">
            <v>8.0104484109708274E-2</v>
          </cell>
          <cell r="AK253">
            <v>7.5614392582158407E-2</v>
          </cell>
          <cell r="AL253">
            <v>9.6810168762764715E-2</v>
          </cell>
          <cell r="AM253">
            <v>8.4159490877182108E-2</v>
          </cell>
          <cell r="AN253">
            <v>6.3874714059475535E-2</v>
          </cell>
          <cell r="AO253">
            <v>5.5548457980938659E-2</v>
          </cell>
          <cell r="AP253">
            <v>0.15342293774462745</v>
          </cell>
          <cell r="AQ253">
            <v>9.0936204114150376E-2</v>
          </cell>
          <cell r="AR253">
            <v>9.6303878368763307E-2</v>
          </cell>
          <cell r="AS253">
            <v>0.10912014993415053</v>
          </cell>
          <cell r="AT253">
            <v>0.17169238447781066</v>
          </cell>
          <cell r="AU253">
            <v>0.12419985467630879</v>
          </cell>
          <cell r="AV253">
            <v>0.11432907708902995</v>
          </cell>
          <cell r="AW253">
            <v>9.2539245421896288E-2</v>
          </cell>
          <cell r="AX253">
            <v>0.19945781002396634</v>
          </cell>
          <cell r="AY253">
            <v>0.13469316507863516</v>
          </cell>
          <cell r="AZ253">
            <v>0.15231050098394849</v>
          </cell>
          <cell r="BA253">
            <v>9.8931977113795311E-2</v>
          </cell>
          <cell r="BB253">
            <v>0.15271533401119708</v>
          </cell>
          <cell r="BC253">
            <v>0.13528428298716855</v>
          </cell>
          <cell r="BD253">
            <v>6.8960194067703151E-2</v>
          </cell>
          <cell r="BE253">
            <v>0.13547239234102304</v>
          </cell>
          <cell r="BF253">
            <v>0.11534398309696825</v>
          </cell>
          <cell r="BG253">
            <v>0.10581859989588915</v>
          </cell>
          <cell r="BH253">
            <v>9.7727324482499434E-2</v>
          </cell>
          <cell r="BI253">
            <v>4.7622309756236714E-2</v>
          </cell>
          <cell r="BJ253">
            <v>0.15347934637274729</v>
          </cell>
          <cell r="BK253">
            <v>9.897123774641825E-2</v>
          </cell>
          <cell r="BL253">
            <v>9.2851273623664854E-2</v>
          </cell>
          <cell r="BM253">
            <v>0.1599586484069182</v>
          </cell>
          <cell r="BN253">
            <v>9.5690436415648561E-2</v>
          </cell>
          <cell r="BO253">
            <v>0.11550396031802612</v>
          </cell>
        </row>
        <row r="254">
          <cell r="A254" t="str">
            <v>Sales (IMS)</v>
          </cell>
          <cell r="T254">
            <v>0.77039500000000005</v>
          </cell>
          <cell r="U254">
            <v>0.76533300000000004</v>
          </cell>
          <cell r="V254">
            <v>1.0477289999999999</v>
          </cell>
          <cell r="W254">
            <v>2.5834570000000001</v>
          </cell>
          <cell r="X254">
            <v>0.91236499999999998</v>
          </cell>
          <cell r="Y254">
            <v>0.88603900000000002</v>
          </cell>
          <cell r="Z254">
            <v>1.110306</v>
          </cell>
          <cell r="AA254">
            <v>2.9087100000000001</v>
          </cell>
          <cell r="AB254">
            <v>0.82744099999999998</v>
          </cell>
          <cell r="AC254">
            <v>0.82415300000000002</v>
          </cell>
          <cell r="AD254">
            <v>1.0781559999999999</v>
          </cell>
          <cell r="AE254">
            <v>2.7297499999999997</v>
          </cell>
          <cell r="AF254">
            <v>0.90809200000000001</v>
          </cell>
          <cell r="AG254">
            <v>0.89714899999999997</v>
          </cell>
          <cell r="AH254">
            <v>1.2009190000000001</v>
          </cell>
          <cell r="AI254">
            <v>3.0061599999999999</v>
          </cell>
          <cell r="AJ254">
            <v>0.99879399999999996</v>
          </cell>
          <cell r="AK254">
            <v>0.98660700000000001</v>
          </cell>
          <cell r="AL254">
            <v>1.3608720000000001</v>
          </cell>
          <cell r="AM254">
            <v>3.3462730000000001</v>
          </cell>
          <cell r="AN254">
            <v>0.965947</v>
          </cell>
          <cell r="AO254">
            <v>1.017037</v>
          </cell>
          <cell r="AP254">
            <v>1.30942</v>
          </cell>
          <cell r="AQ254">
            <v>3.2924039999999999</v>
          </cell>
          <cell r="AR254">
            <v>0.86500100000000002</v>
          </cell>
          <cell r="AS254">
            <v>0.83355900000000005</v>
          </cell>
          <cell r="AT254">
            <v>1.154666</v>
          </cell>
          <cell r="AU254">
            <v>2.8532259999999998</v>
          </cell>
          <cell r="AV254">
            <v>0.94401599999999997</v>
          </cell>
          <cell r="AW254">
            <v>0.95699199999999995</v>
          </cell>
          <cell r="AX254">
            <v>1.1594180000000001</v>
          </cell>
          <cell r="AY254">
            <v>3.0604260000000001</v>
          </cell>
          <cell r="AZ254">
            <v>0.95307799999999998</v>
          </cell>
          <cell r="BA254">
            <v>1.0160769999999999</v>
          </cell>
          <cell r="BB254">
            <v>1.1235269999999999</v>
          </cell>
          <cell r="BC254">
            <v>3.0926819999999999</v>
          </cell>
          <cell r="BD254">
            <v>0.94017200000000001</v>
          </cell>
          <cell r="BE254">
            <v>0.95596899999999996</v>
          </cell>
          <cell r="BF254">
            <v>1.1992929999999999</v>
          </cell>
          <cell r="BG254">
            <v>3.095434</v>
          </cell>
          <cell r="BH254">
            <v>0.971055</v>
          </cell>
          <cell r="BI254">
            <v>1.021981</v>
          </cell>
          <cell r="BJ254">
            <v>1.194123</v>
          </cell>
          <cell r="BK254">
            <v>3.1871590000000003</v>
          </cell>
          <cell r="BL254">
            <v>0.93054999999999999</v>
          </cell>
          <cell r="BM254">
            <v>0.92286599999999996</v>
          </cell>
        </row>
        <row r="255">
          <cell r="A255" t="str">
            <v xml:space="preserve">  % Change</v>
          </cell>
          <cell r="AJ255">
            <v>0.29646999266609964</v>
          </cell>
          <cell r="AK255">
            <v>0.2891212060632431</v>
          </cell>
          <cell r="AL255">
            <v>0.29887785868292305</v>
          </cell>
          <cell r="AM255">
            <v>0.29526947806756598</v>
          </cell>
          <cell r="AN255">
            <v>5.8728688627906589E-2</v>
          </cell>
          <cell r="AO255">
            <v>0.1478467652101092</v>
          </cell>
          <cell r="AP255">
            <v>0.17933254436164447</v>
          </cell>
          <cell r="AQ255">
            <v>0.13191208473859528</v>
          </cell>
          <cell r="AR255">
            <v>4.5392964573909289E-2</v>
          </cell>
          <cell r="AS255">
            <v>1.1412929395391513E-2</v>
          </cell>
          <cell r="AT255">
            <v>7.0963756636331032E-2</v>
          </cell>
          <cell r="AU255">
            <v>4.5233446286290002E-2</v>
          </cell>
          <cell r="AV255">
            <v>3.9559868383379548E-2</v>
          </cell>
          <cell r="AW255">
            <v>6.670352416376768E-2</v>
          </cell>
          <cell r="AX255">
            <v>-3.4557701227143522E-2</v>
          </cell>
          <cell r="AY255">
            <v>1.8051600713202332E-2</v>
          </cell>
          <cell r="AZ255">
            <v>-4.5771200067281081E-2</v>
          </cell>
          <cell r="BA255">
            <v>2.987004957394368E-2</v>
          </cell>
          <cell r="BB255">
            <v>-0.17440655697229435</v>
          </cell>
          <cell r="BC255">
            <v>-7.5783117516114218E-2</v>
          </cell>
          <cell r="BD255">
            <v>-2.6683658627233209E-2</v>
          </cell>
          <cell r="BE255">
            <v>-6.0045013111617362E-2</v>
          </cell>
          <cell r="BF255">
            <v>-8.4103648943807285E-2</v>
          </cell>
          <cell r="BG255">
            <v>-5.9825586410416132E-2</v>
          </cell>
          <cell r="BH255">
            <v>0.12260563860619822</v>
          </cell>
          <cell r="BI255">
            <v>0.22604518696337017</v>
          </cell>
          <cell r="BJ255">
            <v>3.4171786473317978E-2</v>
          </cell>
          <cell r="BK255">
            <v>0.11703699601784101</v>
          </cell>
          <cell r="BL255">
            <v>-1.4264588735784067E-2</v>
          </cell>
          <cell r="BM255">
            <v>-3.5659650237410578E-2</v>
          </cell>
        </row>
        <row r="257">
          <cell r="A257" t="str">
            <v>FLUOXETINE HCL</v>
          </cell>
        </row>
        <row r="258">
          <cell r="A258" t="str">
            <v>TRx</v>
          </cell>
          <cell r="P258">
            <v>43</v>
          </cell>
          <cell r="Q258">
            <v>636681</v>
          </cell>
          <cell r="R258">
            <v>890635</v>
          </cell>
          <cell r="S258">
            <v>1527359</v>
          </cell>
          <cell r="T258">
            <v>1031689</v>
          </cell>
          <cell r="U258">
            <v>1001353</v>
          </cell>
          <cell r="V258">
            <v>1022442</v>
          </cell>
          <cell r="W258">
            <v>3055484</v>
          </cell>
          <cell r="X258">
            <v>1060940</v>
          </cell>
          <cell r="Y258">
            <v>779300</v>
          </cell>
          <cell r="Z258">
            <v>627786</v>
          </cell>
          <cell r="AA258">
            <v>2468026</v>
          </cell>
          <cell r="AB258">
            <v>562611</v>
          </cell>
          <cell r="AC258">
            <v>532919</v>
          </cell>
          <cell r="AD258">
            <v>484185</v>
          </cell>
          <cell r="AE258">
            <v>1579715</v>
          </cell>
          <cell r="AF258">
            <v>503042</v>
          </cell>
          <cell r="AG258">
            <v>476459</v>
          </cell>
          <cell r="AH258">
            <v>372700</v>
          </cell>
          <cell r="AI258">
            <v>1352201</v>
          </cell>
          <cell r="AJ258">
            <v>368398</v>
          </cell>
          <cell r="AK258">
            <v>343119</v>
          </cell>
          <cell r="AL258">
            <v>356993</v>
          </cell>
          <cell r="AM258">
            <v>1068510</v>
          </cell>
          <cell r="AN258">
            <v>351493</v>
          </cell>
          <cell r="AO258">
            <v>317467</v>
          </cell>
          <cell r="AP258">
            <v>342201</v>
          </cell>
          <cell r="AQ258">
            <v>1011161</v>
          </cell>
          <cell r="AR258">
            <v>331706</v>
          </cell>
          <cell r="AS258">
            <v>329145</v>
          </cell>
          <cell r="AT258">
            <v>321875</v>
          </cell>
          <cell r="AU258">
            <v>982726</v>
          </cell>
          <cell r="AV258">
            <v>327942</v>
          </cell>
          <cell r="AW258">
            <v>312073</v>
          </cell>
          <cell r="AX258">
            <v>316403</v>
          </cell>
          <cell r="AY258">
            <v>956418</v>
          </cell>
          <cell r="AZ258">
            <v>326697</v>
          </cell>
          <cell r="BA258">
            <v>303858</v>
          </cell>
          <cell r="BB258">
            <v>329822</v>
          </cell>
          <cell r="BC258">
            <v>960377</v>
          </cell>
          <cell r="BD258">
            <v>318447</v>
          </cell>
          <cell r="BE258">
            <v>294732</v>
          </cell>
          <cell r="BF258">
            <v>324990</v>
          </cell>
          <cell r="BG258">
            <v>938169</v>
          </cell>
          <cell r="BH258">
            <v>302997</v>
          </cell>
          <cell r="BI258">
            <v>295287</v>
          </cell>
          <cell r="BJ258">
            <v>302606</v>
          </cell>
          <cell r="BK258">
            <v>900890</v>
          </cell>
          <cell r="BL258">
            <v>300944</v>
          </cell>
          <cell r="BM258">
            <v>300025</v>
          </cell>
          <cell r="BN258">
            <v>287024</v>
          </cell>
          <cell r="BO258">
            <v>887993</v>
          </cell>
        </row>
        <row r="259">
          <cell r="A259" t="str">
            <v xml:space="preserve">  % Change</v>
          </cell>
          <cell r="AG259">
            <v>-0.25165192616082466</v>
          </cell>
          <cell r="AH259">
            <v>-0.58153452312114395</v>
          </cell>
          <cell r="AI259">
            <v>-0.11468030764214565</v>
          </cell>
          <cell r="AJ259">
            <v>-0.64291758465971816</v>
          </cell>
          <cell r="AK259">
            <v>-0.65734461273896416</v>
          </cell>
          <cell r="AL259">
            <v>-0.65084278619227298</v>
          </cell>
          <cell r="AM259">
            <v>-0.65029762878810682</v>
          </cell>
          <cell r="AN259">
            <v>-0.66869662751899261</v>
          </cell>
          <cell r="AO259">
            <v>-0.59262543308097015</v>
          </cell>
          <cell r="AP259">
            <v>-0.45490820120232056</v>
          </cell>
          <cell r="AQ259">
            <v>-0.59029564518364075</v>
          </cell>
          <cell r="AR259">
            <v>-0.41041678886477517</v>
          </cell>
          <cell r="AS259">
            <v>-0.38237330626230248</v>
          </cell>
          <cell r="AT259">
            <v>-0.33522310687030787</v>
          </cell>
          <cell r="AU259">
            <v>-0.37790930642552611</v>
          </cell>
          <cell r="AV259">
            <v>-0.34808226748462356</v>
          </cell>
          <cell r="AW259">
            <v>-0.34501604545196962</v>
          </cell>
          <cell r="AX259">
            <v>-0.15105178427689836</v>
          </cell>
          <cell r="AY259">
            <v>-0.29269539070005124</v>
          </cell>
          <cell r="AZ259">
            <v>-0.11319551137628325</v>
          </cell>
          <cell r="BA259">
            <v>-0.11442385877785843</v>
          </cell>
          <cell r="BB259">
            <v>-7.6110736064852857E-2</v>
          </cell>
          <cell r="BC259">
            <v>-0.10119980159287234</v>
          </cell>
          <cell r="BD259">
            <v>-9.401609704887437E-2</v>
          </cell>
          <cell r="BE259">
            <v>-7.1613742530719726E-2</v>
          </cell>
          <cell r="BF259">
            <v>-5.0295002060192662E-2</v>
          </cell>
          <cell r="BG259">
            <v>-7.2186328388851972E-2</v>
          </cell>
          <cell r="BH259">
            <v>-8.6549534829035379E-2</v>
          </cell>
          <cell r="BI259">
            <v>-0.10286651779610811</v>
          </cell>
          <cell r="BJ259">
            <v>-5.9864854368932074E-2</v>
          </cell>
          <cell r="BK259">
            <v>-8.3274483426713064E-2</v>
          </cell>
          <cell r="BL259">
            <v>-8.2325533173548959E-2</v>
          </cell>
          <cell r="BM259">
            <v>-3.8606351718988852E-2</v>
          </cell>
          <cell r="BN259">
            <v>-9.2853101898528134E-2</v>
          </cell>
          <cell r="BO259">
            <v>-7.1542986434801503E-2</v>
          </cell>
        </row>
        <row r="260">
          <cell r="A260" t="str">
            <v>NRx</v>
          </cell>
          <cell r="P260">
            <v>20</v>
          </cell>
          <cell r="Q260">
            <v>405882</v>
          </cell>
          <cell r="R260">
            <v>449606</v>
          </cell>
          <cell r="S260">
            <v>855508</v>
          </cell>
          <cell r="T260">
            <v>460066</v>
          </cell>
          <cell r="U260">
            <v>402988</v>
          </cell>
          <cell r="V260">
            <v>378952</v>
          </cell>
          <cell r="W260">
            <v>1242006</v>
          </cell>
          <cell r="X260">
            <v>415645</v>
          </cell>
          <cell r="Y260">
            <v>296390</v>
          </cell>
          <cell r="Z260">
            <v>231460</v>
          </cell>
          <cell r="AA260">
            <v>943495</v>
          </cell>
          <cell r="AB260">
            <v>208689</v>
          </cell>
          <cell r="AC260">
            <v>196343</v>
          </cell>
          <cell r="AD260">
            <v>177095</v>
          </cell>
          <cell r="AE260">
            <v>582127</v>
          </cell>
          <cell r="AF260">
            <v>184769</v>
          </cell>
          <cell r="AG260">
            <v>176984</v>
          </cell>
          <cell r="AH260">
            <v>138070</v>
          </cell>
          <cell r="AI260">
            <v>499823</v>
          </cell>
          <cell r="AJ260">
            <v>138597</v>
          </cell>
          <cell r="AK260">
            <v>127019</v>
          </cell>
          <cell r="AL260">
            <v>127888</v>
          </cell>
          <cell r="AM260">
            <v>393504</v>
          </cell>
          <cell r="AN260">
            <v>136809</v>
          </cell>
          <cell r="AO260">
            <v>122779</v>
          </cell>
          <cell r="AP260">
            <v>129101</v>
          </cell>
          <cell r="AQ260">
            <v>388689</v>
          </cell>
          <cell r="AR260">
            <v>123120</v>
          </cell>
          <cell r="AS260">
            <v>120722</v>
          </cell>
          <cell r="AT260">
            <v>117989</v>
          </cell>
          <cell r="AU260">
            <v>361831</v>
          </cell>
          <cell r="AV260">
            <v>120420</v>
          </cell>
          <cell r="AW260">
            <v>114552</v>
          </cell>
          <cell r="AX260">
            <v>118417</v>
          </cell>
          <cell r="AY260">
            <v>353389</v>
          </cell>
          <cell r="AZ260">
            <v>122694</v>
          </cell>
          <cell r="BA260">
            <v>110195</v>
          </cell>
          <cell r="BB260">
            <v>120055</v>
          </cell>
          <cell r="BC260">
            <v>352944</v>
          </cell>
          <cell r="BD260">
            <v>118699</v>
          </cell>
          <cell r="BE260">
            <v>111594</v>
          </cell>
          <cell r="BF260">
            <v>124632</v>
          </cell>
          <cell r="BG260">
            <v>354925</v>
          </cell>
          <cell r="BH260">
            <v>112831</v>
          </cell>
          <cell r="BI260">
            <v>107930</v>
          </cell>
          <cell r="BJ260">
            <v>113576</v>
          </cell>
          <cell r="BK260">
            <v>334337</v>
          </cell>
          <cell r="BL260">
            <v>112501</v>
          </cell>
          <cell r="BM260">
            <v>112450</v>
          </cell>
          <cell r="BN260">
            <v>108701</v>
          </cell>
          <cell r="BO260">
            <v>333652</v>
          </cell>
        </row>
        <row r="261">
          <cell r="A261" t="str">
            <v xml:space="preserve">  % Change</v>
          </cell>
          <cell r="AG261">
            <v>-0.56395208459601553</v>
          </cell>
          <cell r="AH261">
            <v>-0.69290890246126602</v>
          </cell>
          <cell r="AI261">
            <v>-0.41575882399697017</v>
          </cell>
          <cell r="AJ261">
            <v>-0.69874539739950348</v>
          </cell>
          <cell r="AK261">
            <v>-0.6848069917714672</v>
          </cell>
          <cell r="AL261">
            <v>-0.66252190251008036</v>
          </cell>
          <cell r="AM261">
            <v>-0.68317061270235402</v>
          </cell>
          <cell r="AN261">
            <v>-0.67085132745491949</v>
          </cell>
          <cell r="AO261">
            <v>-0.58575188096764397</v>
          </cell>
          <cell r="AP261">
            <v>-0.44223191912209459</v>
          </cell>
          <cell r="AQ261">
            <v>-0.5880327929665764</v>
          </cell>
          <cell r="AR261">
            <v>-0.41003119474433247</v>
          </cell>
          <cell r="AS261">
            <v>-0.38514742058540408</v>
          </cell>
          <cell r="AT261">
            <v>-0.33375307038595103</v>
          </cell>
          <cell r="AU261">
            <v>-0.37843288492030092</v>
          </cell>
          <cell r="AV261">
            <v>-0.34826729592085248</v>
          </cell>
          <cell r="AW261">
            <v>-0.3527550513040727</v>
          </cell>
          <cell r="AX261">
            <v>-0.14234084160208593</v>
          </cell>
          <cell r="AY261">
            <v>-0.2929717119860431</v>
          </cell>
          <cell r="AZ261">
            <v>-0.11474274334942314</v>
          </cell>
          <cell r="BA261">
            <v>-0.1324526251978051</v>
          </cell>
          <cell r="BB261">
            <v>-6.1248905292130562E-2</v>
          </cell>
          <cell r="BC261">
            <v>-0.10307392046840691</v>
          </cell>
          <cell r="BD261">
            <v>-0.13237433209803451</v>
          </cell>
          <cell r="BE261">
            <v>-9.1098640647016227E-2</v>
          </cell>
          <cell r="BF261">
            <v>-3.4616308161826814E-2</v>
          </cell>
          <cell r="BG261">
            <v>-8.6866363596602936E-2</v>
          </cell>
          <cell r="BH261">
            <v>-8.3568875893437311E-2</v>
          </cell>
          <cell r="BI261">
            <v>-0.10596245920379055</v>
          </cell>
          <cell r="BJ261">
            <v>-3.7401791692445951E-2</v>
          </cell>
          <cell r="BK261">
            <v>-7.598575025357146E-2</v>
          </cell>
          <cell r="BL261">
            <v>-6.5761501411725654E-2</v>
          </cell>
          <cell r="BM261">
            <v>-1.8349745093931169E-2</v>
          </cell>
          <cell r="BN261">
            <v>-8.2049030122364197E-2</v>
          </cell>
          <cell r="BO261">
            <v>-5.5850634852810943E-2</v>
          </cell>
        </row>
        <row r="262">
          <cell r="A262" t="str">
            <v>Sales (IMS)</v>
          </cell>
          <cell r="Q262">
            <v>56.605569000000003</v>
          </cell>
          <cell r="R262">
            <v>94.667286000000004</v>
          </cell>
          <cell r="S262">
            <v>151.27285499999999</v>
          </cell>
          <cell r="T262">
            <v>67.167845999999997</v>
          </cell>
          <cell r="U262">
            <v>79.375545000000002</v>
          </cell>
          <cell r="V262">
            <v>81.601729000000006</v>
          </cell>
          <cell r="W262">
            <v>228.14512000000002</v>
          </cell>
          <cell r="X262">
            <v>65.463708999999994</v>
          </cell>
          <cell r="Y262">
            <v>31.120601000000001</v>
          </cell>
          <cell r="Z262">
            <v>23.176012</v>
          </cell>
          <cell r="AA262">
            <v>119.760322</v>
          </cell>
          <cell r="AB262">
            <v>16.175373</v>
          </cell>
          <cell r="AC262">
            <v>15.340004</v>
          </cell>
          <cell r="AD262">
            <v>18.127846000000002</v>
          </cell>
          <cell r="AE262">
            <v>49.643222999999999</v>
          </cell>
          <cell r="AF262">
            <v>15.212785</v>
          </cell>
          <cell r="AG262">
            <v>14.514327</v>
          </cell>
          <cell r="AH262">
            <v>17.905227</v>
          </cell>
          <cell r="AI262">
            <v>47.632339000000002</v>
          </cell>
          <cell r="AJ262">
            <v>13.819012000000001</v>
          </cell>
          <cell r="AK262">
            <v>13.699624</v>
          </cell>
          <cell r="AL262">
            <v>18.515981</v>
          </cell>
          <cell r="AM262">
            <v>46.034616999999997</v>
          </cell>
          <cell r="AN262">
            <v>13.190628999999999</v>
          </cell>
          <cell r="AO262">
            <v>16.319405</v>
          </cell>
          <cell r="AP262">
            <v>18.322837</v>
          </cell>
          <cell r="AQ262">
            <v>47.832870999999997</v>
          </cell>
          <cell r="AR262">
            <v>1.353939</v>
          </cell>
          <cell r="AS262">
            <v>1.3299030000000001</v>
          </cell>
          <cell r="AT262">
            <v>1.6733389999999999</v>
          </cell>
          <cell r="AU262">
            <v>4.3571810000000006</v>
          </cell>
          <cell r="AV262">
            <v>0.24438099999999999</v>
          </cell>
          <cell r="AW262">
            <v>0.87888699999999997</v>
          </cell>
          <cell r="AX262">
            <v>4.0084179999999998</v>
          </cell>
          <cell r="AY262">
            <v>5.1316859999999993</v>
          </cell>
          <cell r="AZ262">
            <v>3.510974</v>
          </cell>
          <cell r="BA262">
            <v>2.07463</v>
          </cell>
          <cell r="BB262">
            <v>3.8625940000000001</v>
          </cell>
          <cell r="BC262">
            <v>9.4481980000000014</v>
          </cell>
          <cell r="BD262">
            <v>4.3460590000000003</v>
          </cell>
          <cell r="BE262">
            <v>3.7856160000000001</v>
          </cell>
          <cell r="BF262">
            <v>5.050567</v>
          </cell>
          <cell r="BG262">
            <v>13.182242</v>
          </cell>
          <cell r="BH262">
            <v>3.808627</v>
          </cell>
          <cell r="BI262">
            <v>4.4314410000000004</v>
          </cell>
          <cell r="BJ262">
            <v>4.0714370000000004</v>
          </cell>
          <cell r="BK262">
            <v>12.311505</v>
          </cell>
          <cell r="BL262">
            <v>2.342374</v>
          </cell>
          <cell r="BM262">
            <v>1.1732800000000001</v>
          </cell>
        </row>
        <row r="263">
          <cell r="A263" t="str">
            <v xml:space="preserve">  % Change</v>
          </cell>
          <cell r="AG263">
            <v>-0.74358835612093221</v>
          </cell>
          <cell r="AH263">
            <v>-0.81086151556092989</v>
          </cell>
          <cell r="AI263">
            <v>-0.68512302488109977</v>
          </cell>
          <cell r="AJ263">
            <v>-0.79426149827701786</v>
          </cell>
          <cell r="AK263">
            <v>-0.82740749685561221</v>
          </cell>
          <cell r="AL263">
            <v>-0.77309327600154165</v>
          </cell>
          <cell r="AM263">
            <v>-0.79822221487796896</v>
          </cell>
          <cell r="AN263">
            <v>-0.79850471044957139</v>
          </cell>
          <cell r="AO263">
            <v>-0.47560765294989005</v>
          </cell>
          <cell r="AP263">
            <v>-0.20940509523381334</v>
          </cell>
          <cell r="AQ263">
            <v>-0.60059500341022798</v>
          </cell>
          <cell r="AR263">
            <v>-0.91629627335332542</v>
          </cell>
          <cell r="AS263">
            <v>-0.91330491178489914</v>
          </cell>
          <cell r="AT263">
            <v>-0.90769234248790509</v>
          </cell>
          <cell r="AU263">
            <v>-0.91223009432727609</v>
          </cell>
          <cell r="AV263">
            <v>-0.98393581451391054</v>
          </cell>
          <cell r="AW263">
            <v>-0.93944693405350455</v>
          </cell>
          <cell r="AX263">
            <v>-0.77613140565042826</v>
          </cell>
          <cell r="AY263">
            <v>-0.89226466497897572</v>
          </cell>
          <cell r="AZ263">
            <v>-0.74593161942402253</v>
          </cell>
          <cell r="BA263">
            <v>-0.84856299705743754</v>
          </cell>
          <cell r="BB263">
            <v>-0.79139133918964377</v>
          </cell>
          <cell r="BC263">
            <v>-0.79475884419761755</v>
          </cell>
          <cell r="BD263">
            <v>-0.67051919965302642</v>
          </cell>
          <cell r="BE263">
            <v>-0.76802977804644224</v>
          </cell>
          <cell r="BF263">
            <v>-0.7243567139739332</v>
          </cell>
          <cell r="BG263">
            <v>-0.72441039552068698</v>
          </cell>
          <cell r="BH263">
            <v>1.8129974836384801</v>
          </cell>
          <cell r="BI263">
            <v>2.3321535480407221</v>
          </cell>
          <cell r="BJ263">
            <v>1.4331214416206164</v>
          </cell>
          <cell r="BK263">
            <v>1.8255665761876769</v>
          </cell>
          <cell r="BL263">
            <v>8.5849268150961002</v>
          </cell>
          <cell r="BM263">
            <v>0.33496114972687052</v>
          </cell>
        </row>
        <row r="265">
          <cell r="A265" t="str">
            <v xml:space="preserve">TRIAMTERENE/HCTZ </v>
          </cell>
        </row>
        <row r="266">
          <cell r="A266" t="str">
            <v>TRx</v>
          </cell>
          <cell r="C266">
            <v>101529</v>
          </cell>
          <cell r="D266">
            <v>98913</v>
          </cell>
          <cell r="E266">
            <v>93326</v>
          </cell>
          <cell r="F266">
            <v>92127</v>
          </cell>
          <cell r="G266">
            <v>284366</v>
          </cell>
          <cell r="H266">
            <v>95179</v>
          </cell>
          <cell r="I266">
            <v>86192</v>
          </cell>
          <cell r="J266">
            <v>96693</v>
          </cell>
          <cell r="K266">
            <v>278064</v>
          </cell>
          <cell r="L266">
            <v>93819</v>
          </cell>
          <cell r="M266">
            <v>97582</v>
          </cell>
          <cell r="N266">
            <v>96699</v>
          </cell>
          <cell r="O266">
            <v>288100</v>
          </cell>
          <cell r="P266">
            <v>96520</v>
          </cell>
          <cell r="Q266">
            <v>98184</v>
          </cell>
          <cell r="R266">
            <v>91408</v>
          </cell>
          <cell r="S266">
            <v>286112</v>
          </cell>
          <cell r="T266">
            <v>99749</v>
          </cell>
          <cell r="U266">
            <v>93978</v>
          </cell>
          <cell r="V266">
            <v>97003</v>
          </cell>
          <cell r="W266">
            <v>290730</v>
          </cell>
          <cell r="X266">
            <v>126068</v>
          </cell>
          <cell r="Y266">
            <v>132415</v>
          </cell>
          <cell r="Z266">
            <v>157794</v>
          </cell>
          <cell r="AA266">
            <v>416277</v>
          </cell>
          <cell r="AB266">
            <v>174702</v>
          </cell>
          <cell r="AC266">
            <v>180611</v>
          </cell>
          <cell r="AD266">
            <v>170667</v>
          </cell>
          <cell r="AE266">
            <v>525980</v>
          </cell>
          <cell r="AF266">
            <v>190217</v>
          </cell>
          <cell r="AG266">
            <v>224205</v>
          </cell>
          <cell r="AH266">
            <v>241743</v>
          </cell>
          <cell r="AI266">
            <v>656165</v>
          </cell>
          <cell r="AJ266">
            <v>275904</v>
          </cell>
          <cell r="AK266">
            <v>337817</v>
          </cell>
          <cell r="AL266">
            <v>361488</v>
          </cell>
          <cell r="AM266">
            <v>975209</v>
          </cell>
          <cell r="AN266">
            <v>361756</v>
          </cell>
          <cell r="AO266">
            <v>340251</v>
          </cell>
          <cell r="AP266">
            <v>376151</v>
          </cell>
          <cell r="AQ266">
            <v>1078158</v>
          </cell>
          <cell r="AR266">
            <v>369130</v>
          </cell>
          <cell r="AS266">
            <v>383129</v>
          </cell>
          <cell r="AT266">
            <v>382074</v>
          </cell>
          <cell r="AU266">
            <v>1134333</v>
          </cell>
          <cell r="AV266">
            <v>392179</v>
          </cell>
          <cell r="AW266">
            <v>378517</v>
          </cell>
          <cell r="AX266">
            <v>382068</v>
          </cell>
          <cell r="AY266">
            <v>1152764</v>
          </cell>
          <cell r="AZ266">
            <v>399581</v>
          </cell>
          <cell r="BA266">
            <v>367292</v>
          </cell>
          <cell r="BB266">
            <v>395463</v>
          </cell>
          <cell r="BC266">
            <v>1162336</v>
          </cell>
          <cell r="BD266">
            <v>384582</v>
          </cell>
          <cell r="BE266">
            <v>362353</v>
          </cell>
          <cell r="BF266">
            <v>406510</v>
          </cell>
          <cell r="BG266">
            <v>1153445</v>
          </cell>
          <cell r="BH266">
            <v>388620</v>
          </cell>
          <cell r="BI266">
            <v>387735</v>
          </cell>
          <cell r="BJ266">
            <v>394423</v>
          </cell>
          <cell r="BK266">
            <v>1170778</v>
          </cell>
          <cell r="BL266">
            <v>385612</v>
          </cell>
          <cell r="BM266">
            <v>384627</v>
          </cell>
          <cell r="BN266" t="str">
            <v>yy</v>
          </cell>
          <cell r="BO266" t="e">
            <v>#VALUE!</v>
          </cell>
        </row>
        <row r="267">
          <cell r="A267" t="str">
            <v xml:space="preserve">  % Change</v>
          </cell>
          <cell r="R267">
            <v>-9.968580405598404E-2</v>
          </cell>
          <cell r="T267">
            <v>8.4518718469765997E-3</v>
          </cell>
          <cell r="U267">
            <v>6.9862632063948382E-3</v>
          </cell>
          <cell r="V267">
            <v>5.2926937814104402E-2</v>
          </cell>
          <cell r="W267">
            <v>2.2379609376648402E-2</v>
          </cell>
          <cell r="X267">
            <v>0.32453587451013344</v>
          </cell>
          <cell r="Y267">
            <v>0.53627946909225921</v>
          </cell>
          <cell r="Z267">
            <v>0.63190717011572706</v>
          </cell>
          <cell r="AA267">
            <v>0.49705463490419466</v>
          </cell>
          <cell r="AB267">
            <v>0.86211748153359125</v>
          </cell>
          <cell r="AC267">
            <v>0.85086388883195663</v>
          </cell>
          <cell r="AD267">
            <v>0.76493035088263572</v>
          </cell>
          <cell r="AE267">
            <v>0.82568552585907673</v>
          </cell>
          <cell r="AF267">
            <v>0.97075217571487782</v>
          </cell>
          <cell r="AG267">
            <v>1.2835186995844539</v>
          </cell>
          <cell r="AH267">
            <v>1.64465911079993</v>
          </cell>
          <cell r="AI267">
            <v>1.2933851079297618</v>
          </cell>
          <cell r="AJ267">
            <v>1.7659826163670815</v>
          </cell>
          <cell r="AK267">
            <v>2.5946391708697782</v>
          </cell>
          <cell r="AL267">
            <v>2.7265651577786256</v>
          </cell>
          <cell r="AM267">
            <v>2.3543459567296119</v>
          </cell>
          <cell r="AN267">
            <v>1.8695307294475998</v>
          </cell>
          <cell r="AO267">
            <v>1.5695804855945323</v>
          </cell>
          <cell r="AP267">
            <v>1.3838105377897767</v>
          </cell>
          <cell r="AQ267">
            <v>1.590001369280551</v>
          </cell>
          <cell r="AR267">
            <v>1.1129122734713972</v>
          </cell>
          <cell r="AS267">
            <v>1.1212938303868536</v>
          </cell>
          <cell r="AT267">
            <v>1.238710471268611</v>
          </cell>
          <cell r="AU267">
            <v>1.1566086162971976</v>
          </cell>
          <cell r="AV267">
            <v>1.0617452698759839</v>
          </cell>
          <cell r="AW267">
            <v>0.68826297361789424</v>
          </cell>
          <cell r="AX267">
            <v>0.58047182338268333</v>
          </cell>
          <cell r="AY267">
            <v>0.75682031196421629</v>
          </cell>
          <cell r="AZ267">
            <v>0.44826098932962188</v>
          </cell>
          <cell r="BA267">
            <v>8.7251381665221173E-2</v>
          </cell>
          <cell r="BB267">
            <v>9.3986522374186698E-2</v>
          </cell>
          <cell r="BC267">
            <v>0.19188399614851792</v>
          </cell>
          <cell r="BD267">
            <v>6.3097778613208977E-2</v>
          </cell>
          <cell r="BE267">
            <v>6.4957928117771901E-2</v>
          </cell>
          <cell r="BF267">
            <v>8.0709608641210684E-2</v>
          </cell>
          <cell r="BG267">
            <v>6.9829282906586965E-2</v>
          </cell>
          <cell r="BH267">
            <v>5.2799826619348122E-2</v>
          </cell>
          <cell r="BI267">
            <v>1.2022060454833783E-2</v>
          </cell>
          <cell r="BJ267">
            <v>3.2320964001737895E-2</v>
          </cell>
          <cell r="BK267">
            <v>3.2129013261537942E-2</v>
          </cell>
          <cell r="BL267">
            <v>-1.674490475012691E-2</v>
          </cell>
          <cell r="BM267">
            <v>1.6141943426583261E-2</v>
          </cell>
          <cell r="BN267" t="e">
            <v>#VALUE!</v>
          </cell>
          <cell r="BO267" t="e">
            <v>#VALUE!</v>
          </cell>
        </row>
        <row r="268">
          <cell r="A268" t="str">
            <v>NRx</v>
          </cell>
          <cell r="C268">
            <v>30964</v>
          </cell>
          <cell r="D268">
            <v>29765</v>
          </cell>
          <cell r="E268">
            <v>27783</v>
          </cell>
          <cell r="F268">
            <v>26782</v>
          </cell>
          <cell r="G268">
            <v>84330</v>
          </cell>
          <cell r="H268">
            <v>29497</v>
          </cell>
          <cell r="I268">
            <v>26398</v>
          </cell>
          <cell r="J268">
            <v>30151</v>
          </cell>
          <cell r="K268">
            <v>86046</v>
          </cell>
          <cell r="L268">
            <v>29394</v>
          </cell>
          <cell r="M268">
            <v>30430</v>
          </cell>
          <cell r="N268">
            <v>29233</v>
          </cell>
          <cell r="O268">
            <v>89057</v>
          </cell>
          <cell r="P268">
            <v>28206</v>
          </cell>
          <cell r="Q268">
            <v>28544</v>
          </cell>
          <cell r="R268">
            <v>25451</v>
          </cell>
          <cell r="S268">
            <v>82201</v>
          </cell>
          <cell r="T268">
            <v>29161</v>
          </cell>
          <cell r="U268">
            <v>26857</v>
          </cell>
          <cell r="V268">
            <v>28910</v>
          </cell>
          <cell r="W268">
            <v>84928</v>
          </cell>
          <cell r="X268">
            <v>58207</v>
          </cell>
          <cell r="Y268">
            <v>61319</v>
          </cell>
          <cell r="Z268">
            <v>68836</v>
          </cell>
          <cell r="AA268">
            <v>188362</v>
          </cell>
          <cell r="AB268">
            <v>71532</v>
          </cell>
          <cell r="AC268">
            <v>68606</v>
          </cell>
          <cell r="AD268">
            <v>62621</v>
          </cell>
          <cell r="AE268">
            <v>202759</v>
          </cell>
          <cell r="AF268">
            <v>69042</v>
          </cell>
          <cell r="AG268">
            <v>79707</v>
          </cell>
          <cell r="AH268">
            <v>83136</v>
          </cell>
          <cell r="AI268">
            <v>231885</v>
          </cell>
          <cell r="AJ268">
            <v>93487</v>
          </cell>
          <cell r="AK268">
            <v>106397</v>
          </cell>
          <cell r="AL268">
            <v>115547</v>
          </cell>
          <cell r="AM268">
            <v>315431</v>
          </cell>
          <cell r="AN268">
            <v>125988</v>
          </cell>
          <cell r="AO268">
            <v>118390</v>
          </cell>
          <cell r="AP268">
            <v>127949</v>
          </cell>
          <cell r="AQ268">
            <v>372327</v>
          </cell>
          <cell r="AR268">
            <v>124042</v>
          </cell>
          <cell r="AS268">
            <v>129159</v>
          </cell>
          <cell r="AT268">
            <v>128829</v>
          </cell>
          <cell r="AU268">
            <v>382030</v>
          </cell>
          <cell r="AV268">
            <v>130941</v>
          </cell>
          <cell r="AW268">
            <v>122412</v>
          </cell>
          <cell r="AX268">
            <v>125592</v>
          </cell>
          <cell r="AY268">
            <v>378945</v>
          </cell>
          <cell r="AZ268">
            <v>136588</v>
          </cell>
          <cell r="BA268">
            <v>115289</v>
          </cell>
          <cell r="BB268">
            <v>122666</v>
          </cell>
          <cell r="BC268">
            <v>374543</v>
          </cell>
          <cell r="BD268">
            <v>123572</v>
          </cell>
          <cell r="BE268">
            <v>118530</v>
          </cell>
          <cell r="BF268">
            <v>132494</v>
          </cell>
          <cell r="BG268">
            <v>374596</v>
          </cell>
          <cell r="BH268">
            <v>125590</v>
          </cell>
          <cell r="BI268">
            <v>122210</v>
          </cell>
          <cell r="BJ268">
            <v>126889</v>
          </cell>
          <cell r="BK268">
            <v>374689</v>
          </cell>
          <cell r="BL268">
            <v>120002</v>
          </cell>
          <cell r="BM268">
            <v>120887</v>
          </cell>
          <cell r="BN268">
            <v>114027</v>
          </cell>
          <cell r="BO268">
            <v>354916</v>
          </cell>
        </row>
        <row r="269">
          <cell r="A269" t="str">
            <v xml:space="preserve">  % Change</v>
          </cell>
          <cell r="R269">
            <v>-0.17804547216121946</v>
          </cell>
          <cell r="T269">
            <v>-2.0292289601881452E-2</v>
          </cell>
          <cell r="U269">
            <v>-3.3329734010006162E-2</v>
          </cell>
          <cell r="V269">
            <v>7.9456351280710935E-2</v>
          </cell>
          <cell r="W269">
            <v>7.0911893750740251E-3</v>
          </cell>
          <cell r="X269">
            <v>0.97331932060887549</v>
          </cell>
          <cell r="Y269">
            <v>1.3228653685885297</v>
          </cell>
          <cell r="Z269">
            <v>1.2830420218234884</v>
          </cell>
          <cell r="AA269">
            <v>1.1890849080724264</v>
          </cell>
          <cell r="AB269">
            <v>1.4335578689528474</v>
          </cell>
          <cell r="AC269">
            <v>1.2545514295103515</v>
          </cell>
          <cell r="AD269">
            <v>1.1421338897820954</v>
          </cell>
          <cell r="AE269">
            <v>1.2767328789426995</v>
          </cell>
          <cell r="AF269">
            <v>1.4477770687087852</v>
          </cell>
          <cell r="AG269">
            <v>1.7924257286995515</v>
          </cell>
          <cell r="AH269">
            <v>2.2665121213311856</v>
          </cell>
          <cell r="AI269">
            <v>1.8209510833201543</v>
          </cell>
          <cell r="AJ269">
            <v>2.2058914303350363</v>
          </cell>
          <cell r="AK269">
            <v>2.9616114979334998</v>
          </cell>
          <cell r="AL269">
            <v>2.996783120027672</v>
          </cell>
          <cell r="AM269">
            <v>2.7140990015071589</v>
          </cell>
          <cell r="AN269">
            <v>1.1644819351624376</v>
          </cell>
          <cell r="AO269">
            <v>0.93072294068722572</v>
          </cell>
          <cell r="AP269">
            <v>0.85875123481899007</v>
          </cell>
          <cell r="AQ269">
            <v>0.97665665049213746</v>
          </cell>
          <cell r="AR269">
            <v>0.73407705642230048</v>
          </cell>
          <cell r="AS269">
            <v>0.88261959595370665</v>
          </cell>
          <cell r="AT269">
            <v>1.057281103783076</v>
          </cell>
          <cell r="AU269">
            <v>0.88415803984040164</v>
          </cell>
          <cell r="AV269">
            <v>0.89654123576953149</v>
          </cell>
          <cell r="AW269">
            <v>0.53577477511385441</v>
          </cell>
          <cell r="AX269">
            <v>0.51068129330254042</v>
          </cell>
          <cell r="AY269">
            <v>0.634193673588201</v>
          </cell>
          <cell r="AZ269">
            <v>0.46103736348369284</v>
          </cell>
          <cell r="BA269">
            <v>8.3573784975140342E-2</v>
          </cell>
          <cell r="BB269">
            <v>6.1611292374531557E-2</v>
          </cell>
          <cell r="BC269">
            <v>0.18740073106321198</v>
          </cell>
          <cell r="BD269">
            <v>-1.9176429501222336E-2</v>
          </cell>
          <cell r="BE269">
            <v>1.1825323084719841E-3</v>
          </cell>
          <cell r="BF269">
            <v>3.5521965783241738E-2</v>
          </cell>
          <cell r="BG269">
            <v>6.0941054503165226E-3</v>
          </cell>
          <cell r="BH269">
            <v>1.2479643991551326E-2</v>
          </cell>
          <cell r="BI269">
            <v>-5.3801903080698987E-2</v>
          </cell>
          <cell r="BJ269">
            <v>-1.5058721250650109E-2</v>
          </cell>
          <cell r="BK269">
            <v>-1.9215768395152266E-2</v>
          </cell>
          <cell r="BL269">
            <v>-8.3541442328987858E-2</v>
          </cell>
          <cell r="BM269">
            <v>-1.2457928961213005E-2</v>
          </cell>
          <cell r="BN269">
            <v>-9.208389069367473E-2</v>
          </cell>
          <cell r="BO269">
            <v>-6.3410257425219996E-2</v>
          </cell>
        </row>
        <row r="270">
          <cell r="A270" t="str">
            <v>Sales (IMS)</v>
          </cell>
          <cell r="C270">
            <v>0.378745</v>
          </cell>
          <cell r="D270">
            <v>0.232876</v>
          </cell>
          <cell r="E270">
            <v>0.20946799999999999</v>
          </cell>
          <cell r="F270">
            <v>0.26857799999999998</v>
          </cell>
          <cell r="G270">
            <v>0.71092199999999994</v>
          </cell>
          <cell r="H270">
            <v>0.24294299999999999</v>
          </cell>
          <cell r="I270">
            <v>0.22109400000000001</v>
          </cell>
          <cell r="J270">
            <v>0.26724399999999998</v>
          </cell>
          <cell r="K270">
            <v>0.73128099999999996</v>
          </cell>
          <cell r="L270">
            <v>0.21342800000000001</v>
          </cell>
          <cell r="M270">
            <v>0.28262700000000002</v>
          </cell>
          <cell r="N270">
            <v>0.37820700000000002</v>
          </cell>
          <cell r="O270">
            <v>0.87426200000000009</v>
          </cell>
          <cell r="P270">
            <v>0.33954400000000001</v>
          </cell>
          <cell r="Q270">
            <v>0.35399000000000003</v>
          </cell>
          <cell r="R270">
            <v>0.42787900000000001</v>
          </cell>
          <cell r="S270">
            <v>1.121413</v>
          </cell>
          <cell r="T270">
            <v>0.35547099999999998</v>
          </cell>
          <cell r="U270">
            <v>0.40371200000000002</v>
          </cell>
          <cell r="V270">
            <v>0.41826799999999997</v>
          </cell>
          <cell r="W270">
            <v>1.177451</v>
          </cell>
          <cell r="X270">
            <v>0.603329</v>
          </cell>
          <cell r="Y270">
            <v>0.65603199999999995</v>
          </cell>
          <cell r="Z270">
            <v>0.77530100000000002</v>
          </cell>
          <cell r="AA270">
            <v>2.034662</v>
          </cell>
          <cell r="AB270">
            <v>0.64436400000000005</v>
          </cell>
          <cell r="AC270">
            <v>0.68832000000000004</v>
          </cell>
          <cell r="AD270">
            <v>0.878884</v>
          </cell>
          <cell r="AE270">
            <v>2.2115680000000002</v>
          </cell>
          <cell r="AF270">
            <v>0.73861699999999997</v>
          </cell>
          <cell r="AG270">
            <v>0.76174900000000001</v>
          </cell>
          <cell r="AH270">
            <v>1.1515789999999999</v>
          </cell>
          <cell r="AI270">
            <v>2.651945</v>
          </cell>
          <cell r="AJ270">
            <v>0.924068</v>
          </cell>
          <cell r="AK270">
            <v>0.90232000000000001</v>
          </cell>
          <cell r="AL270">
            <v>2.5394519999999998</v>
          </cell>
          <cell r="AM270">
            <v>4.3658399999999995</v>
          </cell>
          <cell r="AN270">
            <v>1.1747339999999999</v>
          </cell>
          <cell r="AO270">
            <v>1.2270509999999999</v>
          </cell>
          <cell r="AP270">
            <v>1.5442530000000001</v>
          </cell>
          <cell r="AQ270">
            <v>3.9460379999999997</v>
          </cell>
          <cell r="AR270">
            <v>0.57115099999999996</v>
          </cell>
          <cell r="AS270">
            <v>0.66421600000000003</v>
          </cell>
          <cell r="AT270">
            <v>0.77360099999999998</v>
          </cell>
          <cell r="AU270">
            <v>2.0089679999999999</v>
          </cell>
          <cell r="AV270">
            <v>0.59141500000000002</v>
          </cell>
          <cell r="AW270">
            <v>0.66702499999999998</v>
          </cell>
          <cell r="AX270">
            <v>0.82289199999999996</v>
          </cell>
          <cell r="AY270">
            <v>2.0813319999999997</v>
          </cell>
          <cell r="AZ270">
            <v>0.61985999999999997</v>
          </cell>
          <cell r="BA270">
            <v>0.61009100000000005</v>
          </cell>
          <cell r="BB270">
            <v>0.74258999999999997</v>
          </cell>
          <cell r="BC270">
            <v>1.9725410000000001</v>
          </cell>
          <cell r="BD270">
            <v>0.60559399999999997</v>
          </cell>
          <cell r="BE270">
            <v>0.61610500000000001</v>
          </cell>
          <cell r="BF270">
            <v>0.75936800000000004</v>
          </cell>
          <cell r="BG270">
            <v>1.9810669999999999</v>
          </cell>
          <cell r="BH270">
            <v>0.60564399999999996</v>
          </cell>
          <cell r="BI270">
            <v>0.62498900000000002</v>
          </cell>
          <cell r="BJ270">
            <v>0.76589399999999996</v>
          </cell>
          <cell r="BK270">
            <v>1.9965269999999999</v>
          </cell>
          <cell r="BL270">
            <v>0.62996700000000005</v>
          </cell>
          <cell r="BM270">
            <v>0.59229900000000002</v>
          </cell>
        </row>
        <row r="271">
          <cell r="A271" t="str">
            <v xml:space="preserve">  % Change</v>
          </cell>
          <cell r="R271">
            <v>0.12972844526000338</v>
          </cell>
          <cell r="T271">
            <v>0.52643896322506389</v>
          </cell>
          <cell r="U271">
            <v>0.92732064086161148</v>
          </cell>
          <cell r="V271">
            <v>0.55734274586898414</v>
          </cell>
          <cell r="W271">
            <v>0.65623092266099525</v>
          </cell>
          <cell r="X271">
            <v>1.4834179210761373</v>
          </cell>
          <cell r="Y271">
            <v>1.9672085176440786</v>
          </cell>
          <cell r="Z271">
            <v>1.9010978731047286</v>
          </cell>
          <cell r="AA271">
            <v>1.7823258090939054</v>
          </cell>
          <cell r="AB271">
            <v>2.0191165170455609</v>
          </cell>
          <cell r="AC271">
            <v>1.4354361048307487</v>
          </cell>
          <cell r="AD271">
            <v>1.3238173804292357</v>
          </cell>
          <cell r="AE271">
            <v>1.5296398562444669</v>
          </cell>
          <cell r="AF271">
            <v>1.175320429752845</v>
          </cell>
          <cell r="AG271">
            <v>1.1518941213028615</v>
          </cell>
          <cell r="AH271">
            <v>1.6913660170281783</v>
          </cell>
          <cell r="AI271">
            <v>1.3648245561626271</v>
          </cell>
          <cell r="AJ271">
            <v>1.5995594577335424</v>
          </cell>
          <cell r="AK271">
            <v>1.2350586556753327</v>
          </cell>
          <cell r="AL271">
            <v>5.0713513823672862</v>
          </cell>
          <cell r="AM271">
            <v>2.707874043166127</v>
          </cell>
          <cell r="AN271">
            <v>0.94708691277893142</v>
          </cell>
          <cell r="AO271">
            <v>0.87041333349592698</v>
          </cell>
          <cell r="AP271">
            <v>0.991810922467532</v>
          </cell>
          <cell r="AQ271">
            <v>0.93940713494428052</v>
          </cell>
          <cell r="AR271">
            <v>-0.11362056229087913</v>
          </cell>
          <cell r="AS271">
            <v>-3.5018596001859637E-2</v>
          </cell>
          <cell r="AT271">
            <v>-0.11979169037097048</v>
          </cell>
          <cell r="AU271">
            <v>-9.1609211202187901E-2</v>
          </cell>
          <cell r="AV271">
            <v>-0.19929408610958044</v>
          </cell>
          <cell r="AW271">
            <v>-0.12435067194049487</v>
          </cell>
          <cell r="AX271">
            <v>-0.28542288457847875</v>
          </cell>
          <cell r="AY271">
            <v>-0.21516773537912748</v>
          </cell>
          <cell r="AZ271">
            <v>-0.32920521000619007</v>
          </cell>
          <cell r="BA271">
            <v>-0.32386403936519192</v>
          </cell>
          <cell r="BB271">
            <v>-0.7075786429513139</v>
          </cell>
          <cell r="BC271">
            <v>-0.54818751946933464</v>
          </cell>
          <cell r="BD271">
            <v>-0.48448414704945975</v>
          </cell>
          <cell r="BE271">
            <v>-0.49789780538869199</v>
          </cell>
          <cell r="BF271">
            <v>-0.50826192340244769</v>
          </cell>
          <cell r="BG271">
            <v>-0.49796048593551301</v>
          </cell>
          <cell r="BH271">
            <v>6.0392085455510003E-2</v>
          </cell>
          <cell r="BI271">
            <v>-5.9057595721873635E-2</v>
          </cell>
          <cell r="BJ271">
            <v>-9.962500048474654E-3</v>
          </cell>
          <cell r="BK271">
            <v>-6.1927317906507184E-3</v>
          </cell>
          <cell r="BL271">
            <v>6.5186036877657783E-2</v>
          </cell>
          <cell r="BM271">
            <v>-0.11202878452831599</v>
          </cell>
        </row>
        <row r="273">
          <cell r="A273" t="str">
            <v xml:space="preserve">METHYLPREDNISOLONE </v>
          </cell>
        </row>
        <row r="274">
          <cell r="A274" t="str">
            <v>TRx</v>
          </cell>
          <cell r="Z274">
            <v>1417</v>
          </cell>
          <cell r="AA274">
            <v>1417</v>
          </cell>
          <cell r="AB274">
            <v>14261</v>
          </cell>
          <cell r="AC274">
            <v>154609</v>
          </cell>
          <cell r="AD274">
            <v>223749</v>
          </cell>
          <cell r="AE274">
            <v>392619</v>
          </cell>
          <cell r="AF274">
            <v>253260</v>
          </cell>
          <cell r="AG274">
            <v>249347</v>
          </cell>
          <cell r="AH274">
            <v>253459</v>
          </cell>
          <cell r="AI274">
            <v>756066</v>
          </cell>
          <cell r="AJ274">
            <v>280146</v>
          </cell>
          <cell r="AK274">
            <v>293856</v>
          </cell>
          <cell r="AL274">
            <v>312026</v>
          </cell>
          <cell r="AM274">
            <v>886028</v>
          </cell>
          <cell r="AN274">
            <v>314743</v>
          </cell>
          <cell r="AO274">
            <v>261690</v>
          </cell>
          <cell r="AP274">
            <v>271830</v>
          </cell>
          <cell r="AQ274">
            <v>848263</v>
          </cell>
          <cell r="AR274">
            <v>279919</v>
          </cell>
          <cell r="AS274">
            <v>290418</v>
          </cell>
          <cell r="AT274">
            <v>299415</v>
          </cell>
          <cell r="AU274">
            <v>869752</v>
          </cell>
          <cell r="AV274">
            <v>303476</v>
          </cell>
          <cell r="AW274">
            <v>284105</v>
          </cell>
          <cell r="AX274">
            <v>297113</v>
          </cell>
          <cell r="AY274">
            <v>884694</v>
          </cell>
          <cell r="AZ274">
            <v>296758</v>
          </cell>
          <cell r="BA274">
            <v>259947</v>
          </cell>
          <cell r="BB274">
            <v>313033</v>
          </cell>
          <cell r="BC274">
            <v>869738</v>
          </cell>
          <cell r="BD274">
            <v>277899</v>
          </cell>
          <cell r="BE274">
            <v>258275</v>
          </cell>
          <cell r="BF274">
            <v>304487</v>
          </cell>
          <cell r="BG274">
            <v>840661</v>
          </cell>
          <cell r="BH274">
            <v>294592</v>
          </cell>
          <cell r="BI274">
            <v>295415</v>
          </cell>
          <cell r="BJ274">
            <v>309422</v>
          </cell>
          <cell r="BK274">
            <v>899429</v>
          </cell>
          <cell r="BL274">
            <v>293972</v>
          </cell>
          <cell r="BM274">
            <v>296308</v>
          </cell>
          <cell r="BN274">
            <v>293320</v>
          </cell>
          <cell r="BO274">
            <v>883600</v>
          </cell>
        </row>
        <row r="275">
          <cell r="A275" t="str">
            <v xml:space="preserve">  % Change</v>
          </cell>
          <cell r="AS275">
            <v>0.87840293902683553</v>
          </cell>
          <cell r="AT275">
            <v>0.33817357842940088</v>
          </cell>
          <cell r="AU275">
            <v>1.2152570303525811</v>
          </cell>
          <cell r="AV275">
            <v>0.19827844902471758</v>
          </cell>
          <cell r="AW275">
            <v>0.13939610262004365</v>
          </cell>
          <cell r="AX275">
            <v>0.17223298442746171</v>
          </cell>
          <cell r="AY275">
            <v>0.17012800469800249</v>
          </cell>
          <cell r="AZ275">
            <v>5.9297651938631901E-2</v>
          </cell>
          <cell r="BA275">
            <v>-0.11539325383861487</v>
          </cell>
          <cell r="BB275">
            <v>3.2272951613006029E-3</v>
          </cell>
          <cell r="BC275">
            <v>-1.8385423485487995E-2</v>
          </cell>
          <cell r="BD275">
            <v>-0.11706058593836877</v>
          </cell>
          <cell r="BE275">
            <v>-1.304979173831633E-2</v>
          </cell>
          <cell r="BF275">
            <v>0.12013758599124458</v>
          </cell>
          <cell r="BG275">
            <v>-8.9618432019314964E-3</v>
          </cell>
          <cell r="BH275">
            <v>5.2418735419889284E-2</v>
          </cell>
          <cell r="BI275">
            <v>1.7206233773388702E-2</v>
          </cell>
          <cell r="BJ275">
            <v>3.3421839253210406E-2</v>
          </cell>
          <cell r="BK275">
            <v>3.412122076178048E-2</v>
          </cell>
          <cell r="BL275">
            <v>-3.1317138752323115E-2</v>
          </cell>
          <cell r="BM275">
            <v>4.2952429559493854E-2</v>
          </cell>
          <cell r="BN275">
            <v>-1.2766186602403806E-2</v>
          </cell>
          <cell r="BO275">
            <v>-1.2365857573353178E-3</v>
          </cell>
        </row>
        <row r="276">
          <cell r="A276" t="str">
            <v>NRx</v>
          </cell>
          <cell r="Z276">
            <v>1222</v>
          </cell>
          <cell r="AA276">
            <v>1222</v>
          </cell>
          <cell r="AB276">
            <v>12793</v>
          </cell>
          <cell r="AC276">
            <v>150956</v>
          </cell>
          <cell r="AD276">
            <v>217310</v>
          </cell>
          <cell r="AE276">
            <v>381059</v>
          </cell>
          <cell r="AF276">
            <v>244799</v>
          </cell>
          <cell r="AG276">
            <v>240301</v>
          </cell>
          <cell r="AH276">
            <v>243874</v>
          </cell>
          <cell r="AI276">
            <v>728974</v>
          </cell>
          <cell r="AJ276">
            <v>269400</v>
          </cell>
          <cell r="AK276">
            <v>280665</v>
          </cell>
          <cell r="AL276">
            <v>297483</v>
          </cell>
          <cell r="AM276">
            <v>847548</v>
          </cell>
          <cell r="AN276">
            <v>301566</v>
          </cell>
          <cell r="AO276">
            <v>249743</v>
          </cell>
          <cell r="AP276">
            <v>259532</v>
          </cell>
          <cell r="AQ276">
            <v>810841</v>
          </cell>
          <cell r="AR276">
            <v>267081</v>
          </cell>
          <cell r="AS276">
            <v>277239</v>
          </cell>
          <cell r="AT276">
            <v>285602</v>
          </cell>
          <cell r="AU276">
            <v>829922</v>
          </cell>
          <cell r="AV276">
            <v>289930</v>
          </cell>
          <cell r="AW276">
            <v>270943</v>
          </cell>
          <cell r="AX276">
            <v>284171</v>
          </cell>
          <cell r="AY276">
            <v>845044</v>
          </cell>
          <cell r="AZ276">
            <v>283281</v>
          </cell>
          <cell r="BA276">
            <v>247883</v>
          </cell>
          <cell r="BB276">
            <v>299064</v>
          </cell>
          <cell r="BC276">
            <v>830228</v>
          </cell>
          <cell r="BD276">
            <v>265740</v>
          </cell>
          <cell r="BE276">
            <v>246847</v>
          </cell>
          <cell r="BF276">
            <v>291887</v>
          </cell>
          <cell r="BG276">
            <v>804474</v>
          </cell>
          <cell r="BH276">
            <v>282451</v>
          </cell>
          <cell r="BI276">
            <v>282933</v>
          </cell>
          <cell r="BJ276">
            <v>296272</v>
          </cell>
          <cell r="BK276">
            <v>861656</v>
          </cell>
          <cell r="BL276">
            <v>281073</v>
          </cell>
          <cell r="BM276">
            <v>283580</v>
          </cell>
          <cell r="BN276">
            <v>280979</v>
          </cell>
          <cell r="BO276">
            <v>845632</v>
          </cell>
        </row>
        <row r="277">
          <cell r="A277" t="str">
            <v xml:space="preserve">  % Change</v>
          </cell>
          <cell r="AS277">
            <v>0.83655502265560822</v>
          </cell>
          <cell r="AT277">
            <v>0.31426073351433437</v>
          </cell>
          <cell r="AU277">
            <v>1.1779357002458939</v>
          </cell>
          <cell r="AV277">
            <v>0.18435941323289717</v>
          </cell>
          <cell r="AW277">
            <v>0.12751507484363356</v>
          </cell>
          <cell r="AX277">
            <v>0.16523696663030907</v>
          </cell>
          <cell r="AY277">
            <v>0.15922378575916296</v>
          </cell>
          <cell r="AZ277">
            <v>5.1525612472160365E-2</v>
          </cell>
          <cell r="BA277">
            <v>-0.11680116865302048</v>
          </cell>
          <cell r="BB277">
            <v>5.3145894051087605E-3</v>
          </cell>
          <cell r="BC277">
            <v>-2.043542076672944E-2</v>
          </cell>
          <cell r="BD277">
            <v>-0.11879986470623349</v>
          </cell>
          <cell r="BE277">
            <v>-1.159592060638337E-2</v>
          </cell>
          <cell r="BF277">
            <v>0.12466670776628708</v>
          </cell>
          <cell r="BG277">
            <v>-7.8523409645047115E-3</v>
          </cell>
          <cell r="BH277">
            <v>5.754808466345418E-2</v>
          </cell>
          <cell r="BI277">
            <v>2.0538235962472839E-2</v>
          </cell>
          <cell r="BJ277">
            <v>3.7359682355165624E-2</v>
          </cell>
          <cell r="BK277">
            <v>3.8237328327240361E-2</v>
          </cell>
          <cell r="BL277">
            <v>-3.0548753147311425E-2</v>
          </cell>
          <cell r="BM277">
            <v>4.6640806368867249E-2</v>
          </cell>
          <cell r="BN277">
            <v>-1.123267328474753E-2</v>
          </cell>
          <cell r="BO277">
            <v>6.9582175602689311E-4</v>
          </cell>
        </row>
        <row r="278">
          <cell r="A278" t="str">
            <v>Sales (IMS)</v>
          </cell>
          <cell r="I278">
            <v>5.1999999999999997E-5</v>
          </cell>
          <cell r="J278">
            <v>1.7899999999999999E-4</v>
          </cell>
          <cell r="K278">
            <v>2.3099999999999998E-4</v>
          </cell>
          <cell r="L278">
            <v>2.1999999999999999E-5</v>
          </cell>
          <cell r="M278">
            <v>0</v>
          </cell>
          <cell r="N278">
            <v>0</v>
          </cell>
          <cell r="O278">
            <v>2.1999999999999999E-5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1.4E-5</v>
          </cell>
          <cell r="U278">
            <v>1.4E-5</v>
          </cell>
          <cell r="V278">
            <v>2.1999999999999999E-5</v>
          </cell>
          <cell r="W278">
            <v>5.0000000000000002E-5</v>
          </cell>
          <cell r="X278">
            <v>5.1E-5</v>
          </cell>
          <cell r="Y278">
            <v>1.292E-3</v>
          </cell>
          <cell r="Z278">
            <v>5.6355000000000002E-2</v>
          </cell>
          <cell r="AA278">
            <v>5.7698000000000006E-2</v>
          </cell>
          <cell r="AB278">
            <v>0.12850700000000001</v>
          </cell>
          <cell r="AC278">
            <v>0.44239499999999998</v>
          </cell>
          <cell r="AD278">
            <v>0.66726799999999997</v>
          </cell>
          <cell r="AE278">
            <v>1.2381699999999998</v>
          </cell>
          <cell r="AF278">
            <v>0.52055200000000001</v>
          </cell>
          <cell r="AG278">
            <v>0.81082500000000002</v>
          </cell>
          <cell r="AH278">
            <v>1.115138</v>
          </cell>
          <cell r="AI278">
            <v>2.4465149999999998</v>
          </cell>
          <cell r="AJ278">
            <v>0.86876699999999996</v>
          </cell>
          <cell r="AK278">
            <v>0.66076400000000002</v>
          </cell>
          <cell r="AL278">
            <v>0.75727199999999995</v>
          </cell>
          <cell r="AM278">
            <v>2.2868029999999999</v>
          </cell>
          <cell r="AN278">
            <v>0.60975199999999996</v>
          </cell>
          <cell r="AO278">
            <v>0.58746299999999996</v>
          </cell>
          <cell r="AP278">
            <v>0.76175899999999996</v>
          </cell>
          <cell r="AQ278">
            <v>1.958974</v>
          </cell>
          <cell r="AR278">
            <v>0.58378699999999994</v>
          </cell>
          <cell r="AS278">
            <v>0.59384099999999995</v>
          </cell>
          <cell r="AT278">
            <v>0.85319400000000001</v>
          </cell>
          <cell r="AU278">
            <v>2.0308220000000001</v>
          </cell>
          <cell r="AV278">
            <v>0.585256</v>
          </cell>
          <cell r="AW278">
            <v>0.61641500000000005</v>
          </cell>
          <cell r="AX278">
            <v>0.73604400000000003</v>
          </cell>
          <cell r="AY278">
            <v>1.9377150000000001</v>
          </cell>
          <cell r="AZ278">
            <v>0.56182900000000002</v>
          </cell>
          <cell r="BA278">
            <v>0.534806</v>
          </cell>
          <cell r="BB278">
            <v>0.67005800000000004</v>
          </cell>
          <cell r="BC278">
            <v>1.7666930000000001</v>
          </cell>
          <cell r="BD278">
            <v>0.529895</v>
          </cell>
          <cell r="BE278">
            <v>0.52176100000000003</v>
          </cell>
          <cell r="BF278">
            <v>0.70111699999999999</v>
          </cell>
          <cell r="BG278">
            <v>1.7527730000000001</v>
          </cell>
          <cell r="BH278">
            <v>0.57609200000000005</v>
          </cell>
          <cell r="BI278">
            <v>0.60030700000000004</v>
          </cell>
          <cell r="BJ278">
            <v>0.758606</v>
          </cell>
          <cell r="BK278">
            <v>1.9350050000000001</v>
          </cell>
          <cell r="BL278">
            <v>0.53431899999999999</v>
          </cell>
          <cell r="BM278">
            <v>0.53056400000000004</v>
          </cell>
        </row>
        <row r="279">
          <cell r="A279" t="str">
            <v xml:space="preserve">  % Change</v>
          </cell>
          <cell r="AR279">
            <v>3.5428420241698886</v>
          </cell>
          <cell r="AS279">
            <v>0.34233207879835881</v>
          </cell>
          <cell r="AT279">
            <v>0.2786376688227219</v>
          </cell>
          <cell r="AU279">
            <v>0.640180266037782</v>
          </cell>
          <cell r="AV279">
            <v>0.12429882125128699</v>
          </cell>
          <cell r="AW279">
            <v>-0.23976813739092895</v>
          </cell>
          <cell r="AX279">
            <v>-0.33995254399007113</v>
          </cell>
          <cell r="AY279">
            <v>-0.20796929509935547</v>
          </cell>
          <cell r="AZ279">
            <v>-0.35330301450216217</v>
          </cell>
          <cell r="BA279">
            <v>-0.19062479190754944</v>
          </cell>
          <cell r="BB279">
            <v>-0.11516865802512166</v>
          </cell>
          <cell r="BC279">
            <v>-0.22743979258379488</v>
          </cell>
          <cell r="BD279">
            <v>-0.1309663600939398</v>
          </cell>
          <cell r="BE279">
            <v>-0.11184023504458995</v>
          </cell>
          <cell r="BF279">
            <v>-7.9607854977755355E-2</v>
          </cell>
          <cell r="BG279">
            <v>-0.10525969206329433</v>
          </cell>
          <cell r="BH279">
            <v>-1.3181177381476283E-2</v>
          </cell>
          <cell r="BI279">
            <v>1.0888436467000551E-2</v>
          </cell>
          <cell r="BJ279">
            <v>-0.1108634144168853</v>
          </cell>
          <cell r="BK279">
            <v>-4.718138763515467E-2</v>
          </cell>
          <cell r="BL279">
            <v>-8.703370832592916E-2</v>
          </cell>
          <cell r="BM279">
            <v>-0.13927467696276052</v>
          </cell>
        </row>
        <row r="281">
          <cell r="A281" t="str">
            <v xml:space="preserve">ETHAMBUTOL HCL </v>
          </cell>
        </row>
        <row r="282">
          <cell r="A282" t="str">
            <v>TRx</v>
          </cell>
          <cell r="V282">
            <v>630</v>
          </cell>
          <cell r="W282">
            <v>630</v>
          </cell>
          <cell r="X282">
            <v>1452</v>
          </cell>
          <cell r="Y282">
            <v>1810</v>
          </cell>
          <cell r="Z282">
            <v>2425</v>
          </cell>
          <cell r="AA282">
            <v>5687</v>
          </cell>
          <cell r="AB282">
            <v>2751</v>
          </cell>
          <cell r="AC282">
            <v>3071</v>
          </cell>
          <cell r="AD282">
            <v>3242</v>
          </cell>
          <cell r="AE282">
            <v>9064</v>
          </cell>
          <cell r="AF282">
            <v>3525</v>
          </cell>
          <cell r="AG282">
            <v>3708</v>
          </cell>
          <cell r="AH282">
            <v>3501</v>
          </cell>
          <cell r="AI282">
            <v>10734</v>
          </cell>
          <cell r="AJ282">
            <v>3830</v>
          </cell>
          <cell r="AK282">
            <v>2876</v>
          </cell>
          <cell r="AL282">
            <v>3085</v>
          </cell>
          <cell r="AM282">
            <v>9791</v>
          </cell>
          <cell r="AN282">
            <v>3000</v>
          </cell>
          <cell r="AO282">
            <v>2846</v>
          </cell>
          <cell r="AP282">
            <v>3308</v>
          </cell>
          <cell r="AQ282">
            <v>9154</v>
          </cell>
          <cell r="AR282">
            <v>3607</v>
          </cell>
          <cell r="AS282">
            <v>3983</v>
          </cell>
          <cell r="AT282">
            <v>4007</v>
          </cell>
          <cell r="AU282">
            <v>11597</v>
          </cell>
          <cell r="AV282">
            <v>4192</v>
          </cell>
          <cell r="AW282">
            <v>4243</v>
          </cell>
          <cell r="AX282">
            <v>4381</v>
          </cell>
          <cell r="AY282">
            <v>12816</v>
          </cell>
          <cell r="AZ282">
            <v>4789</v>
          </cell>
          <cell r="BA282">
            <v>4612</v>
          </cell>
          <cell r="BB282">
            <v>5018</v>
          </cell>
          <cell r="BC282">
            <v>14419</v>
          </cell>
          <cell r="BD282">
            <v>4996</v>
          </cell>
          <cell r="BE282">
            <v>4686</v>
          </cell>
          <cell r="BF282">
            <v>5145</v>
          </cell>
          <cell r="BG282">
            <v>14827</v>
          </cell>
          <cell r="BH282">
            <v>5183</v>
          </cell>
          <cell r="BI282">
            <v>4991</v>
          </cell>
          <cell r="BJ282">
            <v>5327</v>
          </cell>
          <cell r="BK282">
            <v>15501</v>
          </cell>
          <cell r="BL282">
            <v>5288</v>
          </cell>
          <cell r="BM282">
            <v>5206</v>
          </cell>
          <cell r="BN282">
            <v>5259</v>
          </cell>
          <cell r="BO282">
            <v>15753</v>
          </cell>
        </row>
        <row r="283">
          <cell r="A283" t="str">
            <v xml:space="preserve">  % Change</v>
          </cell>
          <cell r="R283" t="e">
            <v>#DIV/0!</v>
          </cell>
          <cell r="T283" t="e">
            <v>#DIV/0!</v>
          </cell>
          <cell r="U283" t="e">
            <v>#DIV/0!</v>
          </cell>
          <cell r="V283" t="e">
            <v>#DIV/0!</v>
          </cell>
          <cell r="X283" t="e">
            <v>#DIV/0!</v>
          </cell>
          <cell r="Y283" t="e">
            <v>#DIV/0!</v>
          </cell>
          <cell r="Z283" t="e">
            <v>#DIV/0!</v>
          </cell>
          <cell r="AB283" t="e">
            <v>#DIV/0!</v>
          </cell>
          <cell r="AC283" t="e">
            <v>#DIV/0!</v>
          </cell>
          <cell r="AD283" t="e">
            <v>#DIV/0!</v>
          </cell>
          <cell r="AN283">
            <v>1.0661157024793386</v>
          </cell>
          <cell r="AO283">
            <v>0.57237569060773485</v>
          </cell>
          <cell r="AP283">
            <v>0.36412371134020627</v>
          </cell>
          <cell r="AQ283">
            <v>0.60963601195709516</v>
          </cell>
          <cell r="AR283">
            <v>0.31115957833515084</v>
          </cell>
          <cell r="AS283">
            <v>0.29697167046564643</v>
          </cell>
          <cell r="AT283">
            <v>0.23596545342381248</v>
          </cell>
          <cell r="AU283">
            <v>0.2794571932921448</v>
          </cell>
          <cell r="AV283">
            <v>0.18921985815602826</v>
          </cell>
          <cell r="AW283">
            <v>0.14428263214670989</v>
          </cell>
          <cell r="AX283">
            <v>0.25135675521279643</v>
          </cell>
          <cell r="AY283">
            <v>0.19396310788149806</v>
          </cell>
          <cell r="AZ283">
            <v>0.2503916449086161</v>
          </cell>
          <cell r="BA283">
            <v>0.60361613351877619</v>
          </cell>
          <cell r="BB283">
            <v>0.62658022690437609</v>
          </cell>
          <cell r="BC283">
            <v>0.4726789909100193</v>
          </cell>
          <cell r="BD283">
            <v>0.66533333333333333</v>
          </cell>
          <cell r="BE283">
            <v>0.646521433591005</v>
          </cell>
          <cell r="BF283">
            <v>0.55532043530834341</v>
          </cell>
          <cell r="BG283">
            <v>0.61972908018352624</v>
          </cell>
          <cell r="BH283">
            <v>0.43692819517604664</v>
          </cell>
          <cell r="BI283">
            <v>0.25307557117750434</v>
          </cell>
          <cell r="BJ283">
            <v>0.32942350885949589</v>
          </cell>
          <cell r="BK283">
            <v>0.33663878589290341</v>
          </cell>
          <cell r="BL283">
            <v>0.26145038167938939</v>
          </cell>
          <cell r="BM283">
            <v>0.22696205514965828</v>
          </cell>
          <cell r="BN283">
            <v>0.2004108650992924</v>
          </cell>
          <cell r="BO283">
            <v>0.22916666666666674</v>
          </cell>
        </row>
        <row r="284">
          <cell r="A284" t="str">
            <v>NRx</v>
          </cell>
          <cell r="V284">
            <v>600</v>
          </cell>
          <cell r="W284">
            <v>600</v>
          </cell>
          <cell r="X284">
            <v>1097</v>
          </cell>
          <cell r="Y284">
            <v>1143</v>
          </cell>
          <cell r="Z284">
            <v>1378</v>
          </cell>
          <cell r="AA284">
            <v>3618</v>
          </cell>
          <cell r="AB284">
            <v>1296</v>
          </cell>
          <cell r="AC284">
            <v>1509</v>
          </cell>
          <cell r="AD284">
            <v>1595</v>
          </cell>
          <cell r="AE284">
            <v>4400</v>
          </cell>
          <cell r="AF284">
            <v>1544</v>
          </cell>
          <cell r="AG284">
            <v>1677</v>
          </cell>
          <cell r="AH284">
            <v>1563</v>
          </cell>
          <cell r="AI284">
            <v>4784</v>
          </cell>
          <cell r="AJ284">
            <v>1647</v>
          </cell>
          <cell r="AK284">
            <v>1150</v>
          </cell>
          <cell r="AL284">
            <v>1438</v>
          </cell>
          <cell r="AM284">
            <v>4235</v>
          </cell>
          <cell r="AN284">
            <v>1422</v>
          </cell>
          <cell r="AO284">
            <v>1365</v>
          </cell>
          <cell r="AP284">
            <v>1541</v>
          </cell>
          <cell r="AQ284">
            <v>4328</v>
          </cell>
          <cell r="AR284">
            <v>1774</v>
          </cell>
          <cell r="AS284">
            <v>1821</v>
          </cell>
          <cell r="AT284">
            <v>1778</v>
          </cell>
          <cell r="AU284">
            <v>5373</v>
          </cell>
          <cell r="AV284">
            <v>1897</v>
          </cell>
          <cell r="AW284">
            <v>1908</v>
          </cell>
          <cell r="AX284">
            <v>1940</v>
          </cell>
          <cell r="AY284">
            <v>5745</v>
          </cell>
          <cell r="AZ284">
            <v>2129</v>
          </cell>
          <cell r="BA284">
            <v>1912</v>
          </cell>
          <cell r="BB284">
            <v>2149</v>
          </cell>
          <cell r="BC284">
            <v>6190</v>
          </cell>
          <cell r="BD284">
            <v>2101</v>
          </cell>
          <cell r="BE284">
            <v>2019</v>
          </cell>
          <cell r="BF284">
            <v>2272</v>
          </cell>
          <cell r="BG284">
            <v>6392</v>
          </cell>
          <cell r="BH284">
            <v>2296</v>
          </cell>
          <cell r="BI284">
            <v>2153</v>
          </cell>
          <cell r="BJ284">
            <v>2186</v>
          </cell>
          <cell r="BK284">
            <v>6635</v>
          </cell>
          <cell r="BL284">
            <v>2172</v>
          </cell>
          <cell r="BM284">
            <v>2245</v>
          </cell>
          <cell r="BN284">
            <v>2252</v>
          </cell>
          <cell r="BO284">
            <v>6669</v>
          </cell>
        </row>
        <row r="285">
          <cell r="A285" t="str">
            <v xml:space="preserve">  % Change</v>
          </cell>
          <cell r="R285" t="e">
            <v>#DIV/0!</v>
          </cell>
          <cell r="T285" t="e">
            <v>#DIV/0!</v>
          </cell>
          <cell r="U285" t="e">
            <v>#DIV/0!</v>
          </cell>
          <cell r="V285" t="e">
            <v>#DIV/0!</v>
          </cell>
          <cell r="X285" t="e">
            <v>#DIV/0!</v>
          </cell>
          <cell r="Y285" t="e">
            <v>#DIV/0!</v>
          </cell>
          <cell r="Z285" t="e">
            <v>#DIV/0!</v>
          </cell>
          <cell r="AB285" t="e">
            <v>#DIV/0!</v>
          </cell>
          <cell r="AC285" t="e">
            <v>#DIV/0!</v>
          </cell>
          <cell r="AD285" t="e">
            <v>#DIV/0!</v>
          </cell>
          <cell r="AN285">
            <v>0.2962625341841385</v>
          </cell>
          <cell r="AO285">
            <v>0.19422572178477693</v>
          </cell>
          <cell r="AP285">
            <v>0.1182873730043541</v>
          </cell>
          <cell r="AQ285">
            <v>0.19624101713653963</v>
          </cell>
          <cell r="AR285">
            <v>0.36882716049382713</v>
          </cell>
          <cell r="AS285">
            <v>0.20675944333996021</v>
          </cell>
          <cell r="AT285">
            <v>0.1147335423197493</v>
          </cell>
          <cell r="AU285">
            <v>0.22113636363636369</v>
          </cell>
          <cell r="AV285">
            <v>0.22862694300518127</v>
          </cell>
          <cell r="AW285">
            <v>0.13774597495527718</v>
          </cell>
          <cell r="AX285">
            <v>0.2412028150991683</v>
          </cell>
          <cell r="AY285">
            <v>0.20087792642140467</v>
          </cell>
          <cell r="AZ285">
            <v>0.29265330904675158</v>
          </cell>
          <cell r="BA285">
            <v>0.66260869565217395</v>
          </cell>
          <cell r="BB285">
            <v>0.49443671766342145</v>
          </cell>
          <cell r="BC285">
            <v>0.46162927981109791</v>
          </cell>
          <cell r="BD285">
            <v>0.47749648382559773</v>
          </cell>
          <cell r="BE285">
            <v>0.4791208791208792</v>
          </cell>
          <cell r="BF285">
            <v>0.47436729396495791</v>
          </cell>
          <cell r="BG285">
            <v>0.47689463955637712</v>
          </cell>
          <cell r="BH285">
            <v>0.29425028184892899</v>
          </cell>
          <cell r="BI285">
            <v>0.18231740801757268</v>
          </cell>
          <cell r="BJ285">
            <v>0.22947131608548932</v>
          </cell>
          <cell r="BK285">
            <v>0.2348780941745765</v>
          </cell>
          <cell r="BL285">
            <v>0.14496573537163937</v>
          </cell>
          <cell r="BM285">
            <v>0.1766247379454926</v>
          </cell>
          <cell r="BN285">
            <v>0.16082474226804133</v>
          </cell>
          <cell r="BO285">
            <v>0.16083550913838129</v>
          </cell>
        </row>
        <row r="286">
          <cell r="A286" t="str">
            <v>Sales (IMS)</v>
          </cell>
          <cell r="V286">
            <v>0.143095</v>
          </cell>
          <cell r="W286">
            <v>0.143095</v>
          </cell>
          <cell r="X286">
            <v>0.286887</v>
          </cell>
          <cell r="Y286">
            <v>0.29554599999999998</v>
          </cell>
          <cell r="Z286">
            <v>0.42749999999999999</v>
          </cell>
          <cell r="AA286">
            <v>1.009933</v>
          </cell>
          <cell r="AB286">
            <v>0.376828</v>
          </cell>
          <cell r="AC286">
            <v>0.40258300000000002</v>
          </cell>
          <cell r="AD286">
            <v>0.52279799999999998</v>
          </cell>
          <cell r="AE286">
            <v>1.3022089999999999</v>
          </cell>
          <cell r="AF286">
            <v>0.457451</v>
          </cell>
          <cell r="AG286">
            <v>0.43686700000000001</v>
          </cell>
          <cell r="AH286">
            <v>0.45583099999999999</v>
          </cell>
          <cell r="AI286">
            <v>1.350149</v>
          </cell>
          <cell r="AJ286">
            <v>0.18795999999999999</v>
          </cell>
          <cell r="AK286">
            <v>6.9622000000000003E-2</v>
          </cell>
          <cell r="AL286">
            <v>0.35525200000000001</v>
          </cell>
          <cell r="AM286">
            <v>0.61283399999999999</v>
          </cell>
          <cell r="AN286">
            <v>0.32549800000000001</v>
          </cell>
          <cell r="AO286">
            <v>0.47220699999999999</v>
          </cell>
          <cell r="AP286">
            <v>0.56642599999999999</v>
          </cell>
          <cell r="AQ286">
            <v>1.364131</v>
          </cell>
          <cell r="AR286">
            <v>0.49785800000000002</v>
          </cell>
          <cell r="AS286">
            <v>0.485817</v>
          </cell>
          <cell r="AT286">
            <v>0.64278599999999997</v>
          </cell>
          <cell r="AU286">
            <v>1.6264609999999999</v>
          </cell>
          <cell r="AV286">
            <v>0.53253499999999998</v>
          </cell>
          <cell r="AW286">
            <v>0.56047499999999995</v>
          </cell>
          <cell r="AX286">
            <v>0.67031399999999997</v>
          </cell>
          <cell r="AY286">
            <v>1.7633239999999999</v>
          </cell>
          <cell r="AZ286">
            <v>0.52255499999999999</v>
          </cell>
          <cell r="BA286">
            <v>0.58266300000000004</v>
          </cell>
          <cell r="BB286">
            <v>0.71562199999999998</v>
          </cell>
          <cell r="BC286">
            <v>1.82084</v>
          </cell>
          <cell r="BD286">
            <v>0.57088300000000003</v>
          </cell>
          <cell r="BE286">
            <v>0.58325000000000005</v>
          </cell>
          <cell r="BF286">
            <v>0.75973100000000005</v>
          </cell>
          <cell r="BG286">
            <v>1.913864</v>
          </cell>
          <cell r="BH286">
            <v>0.58311999999999997</v>
          </cell>
          <cell r="BI286">
            <v>0.59500399999999998</v>
          </cell>
          <cell r="BJ286">
            <v>0.74709899999999996</v>
          </cell>
          <cell r="BK286">
            <v>1.9252229999999999</v>
          </cell>
          <cell r="BL286">
            <v>0.60571600000000003</v>
          </cell>
          <cell r="BM286">
            <v>0.57114900000000002</v>
          </cell>
        </row>
        <row r="287">
          <cell r="A287" t="str">
            <v xml:space="preserve">  % Change</v>
          </cell>
          <cell r="AN287">
            <v>0.13458609138789845</v>
          </cell>
          <cell r="AO287">
            <v>0.59774451354442304</v>
          </cell>
          <cell r="AP287">
            <v>0.32497309941520469</v>
          </cell>
          <cell r="AQ287">
            <v>0.3507143543185538</v>
          </cell>
          <cell r="AR287">
            <v>0.32118101627267626</v>
          </cell>
          <cell r="AS287">
            <v>0.20674991244041596</v>
          </cell>
          <cell r="AT287">
            <v>0.22951120700538263</v>
          </cell>
          <cell r="AU287">
            <v>0.24900150436681057</v>
          </cell>
          <cell r="AV287">
            <v>0.1641356123388078</v>
          </cell>
          <cell r="AW287">
            <v>0.28294194800705919</v>
          </cell>
          <cell r="AX287">
            <v>0.47053184184489427</v>
          </cell>
          <cell r="AY287">
            <v>0.30602177981837553</v>
          </cell>
          <cell r="AZ287">
            <v>1.7801393913598638</v>
          </cell>
          <cell r="BA287">
            <v>7.3689494699951172</v>
          </cell>
          <cell r="BB287">
            <v>1.0144066746985239</v>
          </cell>
          <cell r="BC287">
            <v>1.9711797974655454</v>
          </cell>
          <cell r="BD287">
            <v>0.75387559985007591</v>
          </cell>
          <cell r="BE287">
            <v>0.23515746272291604</v>
          </cell>
          <cell r="BF287">
            <v>0.34127141056378063</v>
          </cell>
          <cell r="BG287">
            <v>0.40299135493585303</v>
          </cell>
          <cell r="BH287">
            <v>0.17125766784906538</v>
          </cell>
          <cell r="BI287">
            <v>0.22474923685255965</v>
          </cell>
          <cell r="BJ287">
            <v>0.16228262594393783</v>
          </cell>
          <cell r="BK287">
            <v>0.18368838847042745</v>
          </cell>
          <cell r="BL287">
            <v>0.1374200756757773</v>
          </cell>
          <cell r="BM287">
            <v>1.9044560417503131E-2</v>
          </cell>
        </row>
        <row r="289">
          <cell r="A289" t="str">
            <v>TOTAL OTHER GENERICS TRx</v>
          </cell>
          <cell r="T289">
            <v>4107644</v>
          </cell>
          <cell r="U289">
            <v>3957304</v>
          </cell>
          <cell r="V289">
            <v>4070118</v>
          </cell>
          <cell r="W289">
            <v>12135066</v>
          </cell>
          <cell r="X289">
            <v>4291804</v>
          </cell>
          <cell r="Y289">
            <v>3795674</v>
          </cell>
          <cell r="Z289">
            <v>4039896</v>
          </cell>
          <cell r="AA289">
            <v>12127374</v>
          </cell>
          <cell r="AB289">
            <v>4194598</v>
          </cell>
          <cell r="AC289">
            <v>4466244</v>
          </cell>
          <cell r="AD289">
            <v>4290116</v>
          </cell>
          <cell r="AE289">
            <v>12950958</v>
          </cell>
          <cell r="AF289">
            <v>4582613</v>
          </cell>
          <cell r="AG289">
            <v>4594933</v>
          </cell>
          <cell r="AH289">
            <v>4480300</v>
          </cell>
          <cell r="AI289">
            <v>13657846</v>
          </cell>
          <cell r="AJ289">
            <v>4875040</v>
          </cell>
          <cell r="AK289">
            <v>4876601</v>
          </cell>
          <cell r="AL289">
            <v>5526019</v>
          </cell>
          <cell r="AM289">
            <v>15277660</v>
          </cell>
          <cell r="AN289">
            <v>6025869</v>
          </cell>
          <cell r="AO289">
            <v>5518844</v>
          </cell>
          <cell r="AP289">
            <v>6094185</v>
          </cell>
          <cell r="AQ289">
            <v>17638898</v>
          </cell>
          <cell r="AR289">
            <v>5912288</v>
          </cell>
          <cell r="AS289">
            <v>6057944</v>
          </cell>
          <cell r="AT289">
            <v>6059680</v>
          </cell>
          <cell r="AU289">
            <v>18029912</v>
          </cell>
          <cell r="AV289">
            <v>6625641</v>
          </cell>
          <cell r="AW289">
            <v>6626994</v>
          </cell>
          <cell r="AX289">
            <v>6675725</v>
          </cell>
          <cell r="AY289">
            <v>19928360</v>
          </cell>
          <cell r="AZ289">
            <v>6870645</v>
          </cell>
          <cell r="BA289">
            <v>6378002</v>
          </cell>
          <cell r="BB289">
            <v>6972455</v>
          </cell>
          <cell r="BC289">
            <v>20221102</v>
          </cell>
          <cell r="BD289">
            <v>7028578</v>
          </cell>
          <cell r="BE289">
            <v>6706953</v>
          </cell>
          <cell r="BF289">
            <v>7440599</v>
          </cell>
          <cell r="BG289">
            <v>21176130</v>
          </cell>
          <cell r="BH289">
            <v>7114385</v>
          </cell>
          <cell r="BI289">
            <v>7057317</v>
          </cell>
          <cell r="BJ289">
            <v>7060444</v>
          </cell>
          <cell r="BK289">
            <v>21232146</v>
          </cell>
          <cell r="BL289">
            <v>6889124</v>
          </cell>
          <cell r="BM289">
            <v>6960228</v>
          </cell>
          <cell r="BN289">
            <v>6740915</v>
          </cell>
          <cell r="BO289">
            <v>20590267</v>
          </cell>
        </row>
        <row r="290">
          <cell r="A290" t="str">
            <v xml:space="preserve">  % Change</v>
          </cell>
          <cell r="AJ290">
            <v>0.18682144801253475</v>
          </cell>
          <cell r="AK290">
            <v>0.23230386141676251</v>
          </cell>
          <cell r="AL290">
            <v>0.35770486261086298</v>
          </cell>
          <cell r="AM290">
            <v>0.25896801879775522</v>
          </cell>
          <cell r="AN290">
            <v>0.40404105126888368</v>
          </cell>
          <cell r="AO290">
            <v>0.45398261283766739</v>
          </cell>
          <cell r="AP290">
            <v>0.50850046634863877</v>
          </cell>
          <cell r="AQ290">
            <v>0.4544696980566445</v>
          </cell>
          <cell r="AR290">
            <v>0.40950050517355896</v>
          </cell>
          <cell r="AS290">
            <v>0.35638446981400929</v>
          </cell>
          <cell r="AT290">
            <v>0.41247462772568388</v>
          </cell>
          <cell r="AU290">
            <v>0.39216820871475289</v>
          </cell>
          <cell r="AV290">
            <v>0.44582163058499602</v>
          </cell>
          <cell r="AW290">
            <v>0.44223952775807618</v>
          </cell>
          <cell r="AX290">
            <v>0.49001740954846773</v>
          </cell>
          <cell r="AY290">
            <v>0.45911441672427711</v>
          </cell>
          <cell r="AZ290">
            <v>0.40935151301322659</v>
          </cell>
          <cell r="BA290">
            <v>0.30787858182369243</v>
          </cell>
          <cell r="BB290">
            <v>0.26175009532178595</v>
          </cell>
          <cell r="BC290">
            <v>0.32357324354645933</v>
          </cell>
          <cell r="BD290">
            <v>0.16640072991961818</v>
          </cell>
          <cell r="BE290">
            <v>0.21528222214652204</v>
          </cell>
          <cell r="BF290">
            <v>0.22093421843938121</v>
          </cell>
          <cell r="BG290">
            <v>0.20053588381768517</v>
          </cell>
          <cell r="BH290">
            <v>0.20332179352561996</v>
          </cell>
          <cell r="BI290">
            <v>0.16496900598618947</v>
          </cell>
          <cell r="BJ290">
            <v>0.16515129511789395</v>
          </cell>
          <cell r="BK290">
            <v>0.17760674594529369</v>
          </cell>
          <cell r="BL290">
            <v>3.9767171206529284E-2</v>
          </cell>
          <cell r="BM290">
            <v>5.0284337061418771E-2</v>
          </cell>
          <cell r="BN290">
            <v>9.765231491710713E-3</v>
          </cell>
          <cell r="BO290">
            <v>3.3214323707520421E-2</v>
          </cell>
        </row>
        <row r="291">
          <cell r="A291" t="str">
            <v xml:space="preserve">TOTAL OTHER GENERICS REPORTED SALES </v>
          </cell>
          <cell r="AV291" t="str">
            <v>not broken out in model</v>
          </cell>
        </row>
        <row r="292">
          <cell r="A292" t="str">
            <v xml:space="preserve">  % Change</v>
          </cell>
        </row>
        <row r="293">
          <cell r="A293" t="str">
            <v xml:space="preserve">TOTAL OTHER GENERICS SALES (IMS) </v>
          </cell>
          <cell r="T293">
            <v>117.59370700000001</v>
          </cell>
          <cell r="U293">
            <v>142.14372500000002</v>
          </cell>
          <cell r="V293">
            <v>145.614788</v>
          </cell>
          <cell r="W293">
            <v>405.35222000000005</v>
          </cell>
          <cell r="X293">
            <v>117.95045500000001</v>
          </cell>
          <cell r="Y293">
            <v>85.391535000000005</v>
          </cell>
          <cell r="Z293">
            <v>110.10845399999999</v>
          </cell>
          <cell r="AA293">
            <v>313.450444</v>
          </cell>
          <cell r="AB293">
            <v>84.675843</v>
          </cell>
          <cell r="AC293">
            <v>85.077546999999996</v>
          </cell>
          <cell r="AD293">
            <v>105.58002400000001</v>
          </cell>
          <cell r="AE293">
            <v>275.333414</v>
          </cell>
          <cell r="AF293">
            <v>84.880316999999991</v>
          </cell>
          <cell r="AG293">
            <v>86.801886999999994</v>
          </cell>
          <cell r="AH293">
            <v>119.02127900000001</v>
          </cell>
          <cell r="AI293">
            <v>290.70348300000001</v>
          </cell>
          <cell r="AJ293">
            <v>99.152121999999991</v>
          </cell>
          <cell r="AK293">
            <v>81.165960999999996</v>
          </cell>
          <cell r="AL293">
            <v>108.59366299999999</v>
          </cell>
          <cell r="AM293">
            <v>288.91174599999999</v>
          </cell>
          <cell r="AN293">
            <v>85.387533000000005</v>
          </cell>
          <cell r="AO293">
            <v>91.585316000000006</v>
          </cell>
          <cell r="AP293">
            <v>123.532246</v>
          </cell>
          <cell r="AQ293">
            <v>300.50509499999998</v>
          </cell>
          <cell r="AR293">
            <v>70.274686000000003</v>
          </cell>
          <cell r="AS293">
            <v>72.633875000000003</v>
          </cell>
          <cell r="AT293">
            <v>147.65166600000001</v>
          </cell>
          <cell r="AU293">
            <v>290.560227</v>
          </cell>
          <cell r="AV293">
            <v>117.77747599999999</v>
          </cell>
          <cell r="AW293">
            <v>127.223724</v>
          </cell>
          <cell r="AX293">
            <v>147.82374000000002</v>
          </cell>
          <cell r="AY293">
            <v>392.82493999999997</v>
          </cell>
          <cell r="AZ293">
            <v>124.691844</v>
          </cell>
          <cell r="BA293">
            <v>130.06253699999999</v>
          </cell>
          <cell r="BB293">
            <v>156.57570100000001</v>
          </cell>
          <cell r="BC293">
            <v>411.330082</v>
          </cell>
          <cell r="BD293">
            <v>135.89225599999997</v>
          </cell>
          <cell r="BE293">
            <v>137.45274700000002</v>
          </cell>
          <cell r="BF293">
            <v>182.00027800000001</v>
          </cell>
          <cell r="BG293">
            <v>455.345281</v>
          </cell>
          <cell r="BH293">
            <v>143.17245600000001</v>
          </cell>
          <cell r="BI293">
            <v>135.456322</v>
          </cell>
          <cell r="BJ293">
            <v>135.73535799999999</v>
          </cell>
          <cell r="BK293">
            <v>414.36413600000003</v>
          </cell>
          <cell r="BL293">
            <v>99.296357999999998</v>
          </cell>
          <cell r="BM293">
            <v>107.856426</v>
          </cell>
        </row>
        <row r="294">
          <cell r="A294" t="str">
            <v xml:space="preserve">  % Change</v>
          </cell>
          <cell r="AJ294">
            <v>-0.15682459096216783</v>
          </cell>
          <cell r="AK294">
            <v>-0.42898667528235956</v>
          </cell>
          <cell r="AL294">
            <v>-0.25424014626866065</v>
          </cell>
          <cell r="AM294">
            <v>-0.28725752137240057</v>
          </cell>
          <cell r="AN294">
            <v>-0.27607288161796406</v>
          </cell>
          <cell r="AO294">
            <v>7.2533899291071346E-2</v>
          </cell>
          <cell r="AP294">
            <v>0.12191427190504389</v>
          </cell>
          <cell r="AQ294">
            <v>-4.1299507618499431E-2</v>
          </cell>
          <cell r="AR294">
            <v>-0.17007397257326384</v>
          </cell>
          <cell r="AS294">
            <v>-0.1462627031312973</v>
          </cell>
          <cell r="AT294">
            <v>0.39848108009522698</v>
          </cell>
          <cell r="AU294">
            <v>5.530317871262791E-2</v>
          </cell>
          <cell r="AV294">
            <v>0.38757111380722109</v>
          </cell>
          <cell r="AW294">
            <v>0.46567924266439054</v>
          </cell>
          <cell r="AX294">
            <v>0.24199421516886921</v>
          </cell>
          <cell r="AY294">
            <v>0.3512907927559985</v>
          </cell>
          <cell r="AZ294">
            <v>0.25758119427842407</v>
          </cell>
          <cell r="BA294">
            <v>0.60242711843207286</v>
          </cell>
          <cell r="BB294">
            <v>0.44184933700965612</v>
          </cell>
          <cell r="BC294">
            <v>0.42372225323092261</v>
          </cell>
          <cell r="BD294">
            <v>0.59147654494245616</v>
          </cell>
          <cell r="BE294">
            <v>0.5008164300050022</v>
          </cell>
          <cell r="BF294">
            <v>0.47330178065409756</v>
          </cell>
          <cell r="BG294">
            <v>0.51526642501685371</v>
          </cell>
          <cell r="BH294">
            <v>1.0373261575298964</v>
          </cell>
          <cell r="BI294">
            <v>0.86491939195038126</v>
          </cell>
          <cell r="BJ294">
            <v>-8.0705543816891434E-2</v>
          </cell>
          <cell r="BK294">
            <v>0.4260869089973558</v>
          </cell>
          <cell r="BL294">
            <v>-0.15691555488928965</v>
          </cell>
          <cell r="BM294">
            <v>-0.15223023969963345</v>
          </cell>
        </row>
        <row r="296">
          <cell r="A296" t="str">
            <v>REPORTED SALES/TRx OTHER GENERICS</v>
          </cell>
          <cell r="AV296" t="str">
            <v>not broken out in model</v>
          </cell>
        </row>
        <row r="297">
          <cell r="A297" t="str">
            <v>IMS SALES/REPORTED SALES</v>
          </cell>
          <cell r="AV297" t="str">
            <v>not broken out in model</v>
          </cell>
        </row>
        <row r="300">
          <cell r="A300" t="str">
            <v>TOTAL WYETH PRODUCTS TRx1</v>
          </cell>
          <cell r="T300">
            <v>148860</v>
          </cell>
          <cell r="U300">
            <v>134587</v>
          </cell>
          <cell r="V300">
            <v>131435</v>
          </cell>
          <cell r="W300">
            <v>414882</v>
          </cell>
          <cell r="X300">
            <v>125134</v>
          </cell>
          <cell r="Y300">
            <v>107705</v>
          </cell>
          <cell r="Z300">
            <v>111228</v>
          </cell>
          <cell r="AA300">
            <v>344067</v>
          </cell>
          <cell r="AB300">
            <v>107719</v>
          </cell>
          <cell r="AC300">
            <v>104822</v>
          </cell>
          <cell r="AD300">
            <v>94573</v>
          </cell>
          <cell r="AE300">
            <v>307114</v>
          </cell>
          <cell r="AF300">
            <v>97003</v>
          </cell>
          <cell r="AG300">
            <v>91835</v>
          </cell>
          <cell r="AH300">
            <v>84834</v>
          </cell>
          <cell r="AI300">
            <v>273672</v>
          </cell>
          <cell r="AJ300">
            <v>86606</v>
          </cell>
          <cell r="AK300">
            <v>80247</v>
          </cell>
          <cell r="AL300">
            <v>82941</v>
          </cell>
          <cell r="AM300">
            <v>249794</v>
          </cell>
          <cell r="AN300">
            <v>78039</v>
          </cell>
          <cell r="AO300">
            <v>68805</v>
          </cell>
          <cell r="AP300">
            <v>70477</v>
          </cell>
          <cell r="AQ300">
            <v>217321</v>
          </cell>
          <cell r="AR300">
            <v>65121</v>
          </cell>
          <cell r="AS300">
            <v>65385</v>
          </cell>
          <cell r="AT300">
            <v>61598</v>
          </cell>
          <cell r="AU300">
            <v>192104</v>
          </cell>
          <cell r="AV300">
            <v>62045</v>
          </cell>
          <cell r="AW300">
            <v>57967</v>
          </cell>
          <cell r="AX300">
            <v>57403</v>
          </cell>
          <cell r="AY300">
            <v>177415</v>
          </cell>
          <cell r="AZ300">
            <v>57799</v>
          </cell>
          <cell r="BA300">
            <v>52879</v>
          </cell>
          <cell r="BB300">
            <v>57282</v>
          </cell>
          <cell r="BC300">
            <v>167960</v>
          </cell>
          <cell r="BD300">
            <v>52854</v>
          </cell>
          <cell r="BE300">
            <v>48472</v>
          </cell>
          <cell r="BF300">
            <v>51630</v>
          </cell>
          <cell r="BG300">
            <v>152956</v>
          </cell>
          <cell r="BH300">
            <v>48665</v>
          </cell>
          <cell r="BI300">
            <v>46729</v>
          </cell>
          <cell r="BJ300">
            <v>48445</v>
          </cell>
          <cell r="BK300">
            <v>143839</v>
          </cell>
          <cell r="BL300">
            <v>46774</v>
          </cell>
          <cell r="BM300">
            <v>45715</v>
          </cell>
          <cell r="BN300">
            <v>43716</v>
          </cell>
          <cell r="BO300">
            <v>136205</v>
          </cell>
        </row>
        <row r="301">
          <cell r="A301" t="str">
            <v xml:space="preserve">  % Change</v>
          </cell>
          <cell r="AJ301">
            <v>-0.41820502485556899</v>
          </cell>
          <cell r="AK301">
            <v>-0.40375370578139047</v>
          </cell>
          <cell r="AL301">
            <v>-0.36895804009586486</v>
          </cell>
          <cell r="AM301">
            <v>-0.39791555189186323</v>
          </cell>
          <cell r="AN301">
            <v>-0.37635654578292066</v>
          </cell>
          <cell r="AO301">
            <v>-0.36117171904739798</v>
          </cell>
          <cell r="AP301">
            <v>-0.36637357499910095</v>
          </cell>
          <cell r="AQ301">
            <v>-0.36837592678170239</v>
          </cell>
          <cell r="AR301">
            <v>-0.39545484083587856</v>
          </cell>
          <cell r="AS301">
            <v>-0.37622827269084735</v>
          </cell>
          <cell r="AT301">
            <v>-0.34867245408308922</v>
          </cell>
          <cell r="AU301">
            <v>-0.37448634708935447</v>
          </cell>
          <cell r="AV301">
            <v>-0.3603806067853571</v>
          </cell>
          <cell r="AW301">
            <v>-0.3687918549572603</v>
          </cell>
          <cell r="AX301">
            <v>-0.32334912888700285</v>
          </cell>
          <cell r="AY301">
            <v>-0.35172396153059138</v>
          </cell>
          <cell r="AZ301">
            <v>-0.33262129644597371</v>
          </cell>
          <cell r="BA301">
            <v>-0.34104701733398135</v>
          </cell>
          <cell r="BB301">
            <v>-0.30936448800954897</v>
          </cell>
          <cell r="BC301">
            <v>-0.32760594730057568</v>
          </cell>
          <cell r="BD301">
            <v>-0.32272325375773647</v>
          </cell>
          <cell r="BE301">
            <v>-0.29551631422135016</v>
          </cell>
          <cell r="BF301">
            <v>-0.26742057692580556</v>
          </cell>
          <cell r="BG301">
            <v>-0.29617478292479793</v>
          </cell>
          <cell r="BH301">
            <v>-0.25269882219253392</v>
          </cell>
          <cell r="BI301">
            <v>-0.28532538043893863</v>
          </cell>
          <cell r="BJ301">
            <v>-0.21352966005389784</v>
          </cell>
          <cell r="BK301">
            <v>-0.25124411776954148</v>
          </cell>
          <cell r="BL301">
            <v>-0.24612781046014987</v>
          </cell>
          <cell r="BM301">
            <v>-0.21136163679334796</v>
          </cell>
          <cell r="BN301">
            <v>-0.23843701548699547</v>
          </cell>
          <cell r="BO301">
            <v>-0.23228024687878701</v>
          </cell>
        </row>
        <row r="302">
          <cell r="A302" t="str">
            <v xml:space="preserve">TOTAL WYETH PRODUCTS REPORTED SALES </v>
          </cell>
          <cell r="AR302" t="str">
            <v>NOT BROKEN OUT IN MODEL</v>
          </cell>
        </row>
        <row r="303">
          <cell r="A303" t="str">
            <v xml:space="preserve">  % Change</v>
          </cell>
        </row>
        <row r="304">
          <cell r="A304" t="str">
            <v xml:space="preserve">TOTAL WYETH PRODUCTS SALES (IMS) </v>
          </cell>
          <cell r="T304">
            <v>5.9834610000000001</v>
          </cell>
          <cell r="U304">
            <v>5.3606790000000002</v>
          </cell>
          <cell r="V304">
            <v>5.7252279999999995</v>
          </cell>
          <cell r="W304">
            <v>17.069368000000001</v>
          </cell>
          <cell r="X304">
            <v>5.9572909999999997</v>
          </cell>
          <cell r="Y304">
            <v>5.2579979999999997</v>
          </cell>
          <cell r="Z304">
            <v>6.6814959999999992</v>
          </cell>
          <cell r="AA304">
            <v>17.896785000000001</v>
          </cell>
          <cell r="AB304">
            <v>4.775118</v>
          </cell>
          <cell r="AC304">
            <v>4.6039289999999999</v>
          </cell>
          <cell r="AD304">
            <v>5.6130639999999996</v>
          </cell>
          <cell r="AE304">
            <v>14.992111</v>
          </cell>
          <cell r="AF304">
            <v>4.144183</v>
          </cell>
          <cell r="AG304">
            <v>3.9157320000000002</v>
          </cell>
          <cell r="AH304">
            <v>4.8031950000000005</v>
          </cell>
          <cell r="AI304">
            <v>12.863109999999999</v>
          </cell>
          <cell r="AJ304">
            <v>3.6325050000000001</v>
          </cell>
          <cell r="AK304">
            <v>3.3156819999999998</v>
          </cell>
          <cell r="AL304">
            <v>3.9395259999999999</v>
          </cell>
          <cell r="AM304">
            <v>10.887713</v>
          </cell>
          <cell r="AN304">
            <v>2.9063480000000004</v>
          </cell>
          <cell r="AO304">
            <v>2.6680840000000003</v>
          </cell>
          <cell r="AP304">
            <v>3.09375</v>
          </cell>
          <cell r="AQ304">
            <v>8.6681820000000016</v>
          </cell>
          <cell r="AR304">
            <v>2.9802569999999999</v>
          </cell>
          <cell r="AS304">
            <v>3.4608319999999999</v>
          </cell>
          <cell r="AT304">
            <v>3.7279990000000001</v>
          </cell>
          <cell r="AU304">
            <v>10.169088</v>
          </cell>
          <cell r="AV304">
            <v>2.8230570000000004</v>
          </cell>
          <cell r="AW304">
            <v>3.5495939999999999</v>
          </cell>
          <cell r="AX304">
            <v>4.3416230000000002</v>
          </cell>
          <cell r="AY304">
            <v>10.714274</v>
          </cell>
          <cell r="AZ304">
            <v>2.9539249999999999</v>
          </cell>
          <cell r="BA304">
            <v>3.0755020000000002</v>
          </cell>
          <cell r="BB304">
            <v>3.5810500000000003</v>
          </cell>
          <cell r="BC304">
            <v>9.6104769999999995</v>
          </cell>
          <cell r="BD304">
            <v>2.9242049999999997</v>
          </cell>
          <cell r="BE304">
            <v>2.8540380000000001</v>
          </cell>
          <cell r="BF304">
            <v>3.3865180000000001</v>
          </cell>
          <cell r="BG304">
            <v>9.1647610000000004</v>
          </cell>
          <cell r="BH304">
            <v>2.695109</v>
          </cell>
          <cell r="BI304">
            <v>2.6767110000000001</v>
          </cell>
          <cell r="BJ304">
            <v>3.1686589999999999</v>
          </cell>
          <cell r="BK304">
            <v>8.5404789999999995</v>
          </cell>
          <cell r="BL304">
            <v>2.4810699999999999</v>
          </cell>
          <cell r="BM304">
            <v>2.4361120000000001</v>
          </cell>
        </row>
        <row r="305">
          <cell r="A305" t="str">
            <v xml:space="preserve">  % Change</v>
          </cell>
          <cell r="AJ305">
            <v>-0.39290905380681851</v>
          </cell>
          <cell r="AK305">
            <v>-0.38148096537770693</v>
          </cell>
          <cell r="AL305">
            <v>-0.31190059155722705</v>
          </cell>
          <cell r="AM305">
            <v>-0.36214902625568801</v>
          </cell>
          <cell r="AN305">
            <v>-0.5121359691846511</v>
          </cell>
          <cell r="AO305">
            <v>-0.49256656240645191</v>
          </cell>
          <cell r="AP305">
            <v>-0.53696746956070918</v>
          </cell>
          <cell r="AQ305">
            <v>-0.51565703001963747</v>
          </cell>
          <cell r="AR305">
            <v>-0.37587783171012734</v>
          </cell>
          <cell r="AS305">
            <v>-0.24828727810528795</v>
          </cell>
          <cell r="AT305">
            <v>-0.33583529423502023</v>
          </cell>
          <cell r="AU305">
            <v>-0.32170406155610765</v>
          </cell>
          <cell r="AV305">
            <v>-0.31879045881902401</v>
          </cell>
          <cell r="AW305">
            <v>-9.3504356273616307E-2</v>
          </cell>
          <cell r="AX305">
            <v>-9.6096868855001794E-2</v>
          </cell>
          <cell r="AY305">
            <v>-0.1670541571983758</v>
          </cell>
          <cell r="AZ305">
            <v>-0.18680772634862175</v>
          </cell>
          <cell r="BA305">
            <v>-7.2437585992866538E-2</v>
          </cell>
          <cell r="BB305">
            <v>-9.0994703423711298E-2</v>
          </cell>
          <cell r="BC305">
            <v>-0.11730985194043964</v>
          </cell>
          <cell r="BD305">
            <v>6.1441369030823534E-3</v>
          </cell>
          <cell r="BE305">
            <v>6.9695706731871976E-2</v>
          </cell>
          <cell r="BF305">
            <v>9.4632080808080943E-2</v>
          </cell>
          <cell r="BG305">
            <v>5.7287560413475269E-2</v>
          </cell>
          <cell r="BH305">
            <v>-9.5678996811348838E-2</v>
          </cell>
          <cell r="BI305">
            <v>-0.22657008488132324</v>
          </cell>
          <cell r="BJ305">
            <v>-0.15003759389420446</v>
          </cell>
          <cell r="BK305">
            <v>-0.16015290653399805</v>
          </cell>
          <cell r="BL305">
            <v>-0.12114066418070923</v>
          </cell>
          <cell r="BM305">
            <v>-0.31369277725846956</v>
          </cell>
        </row>
        <row r="309">
          <cell r="A309" t="str">
            <v>Product</v>
          </cell>
          <cell r="C309">
            <v>36770</v>
          </cell>
          <cell r="D309">
            <v>36800</v>
          </cell>
          <cell r="E309">
            <v>36831</v>
          </cell>
          <cell r="F309">
            <v>36861</v>
          </cell>
          <cell r="G309" t="str">
            <v>Q2:01</v>
          </cell>
          <cell r="H309">
            <v>36892</v>
          </cell>
          <cell r="I309">
            <v>36923</v>
          </cell>
          <cell r="J309">
            <v>36951</v>
          </cell>
          <cell r="K309" t="str">
            <v>Q3:01</v>
          </cell>
          <cell r="L309">
            <v>36982</v>
          </cell>
          <cell r="M309">
            <v>37012</v>
          </cell>
          <cell r="N309">
            <v>37043</v>
          </cell>
          <cell r="O309" t="str">
            <v>Q4:01</v>
          </cell>
          <cell r="P309">
            <v>37073</v>
          </cell>
          <cell r="Q309">
            <v>37104</v>
          </cell>
          <cell r="R309">
            <v>37135</v>
          </cell>
          <cell r="S309" t="str">
            <v>Q1:02</v>
          </cell>
          <cell r="T309">
            <v>37165</v>
          </cell>
          <cell r="U309">
            <v>37196</v>
          </cell>
          <cell r="V309">
            <v>37226</v>
          </cell>
          <cell r="W309" t="str">
            <v>Q2:02</v>
          </cell>
          <cell r="X309">
            <v>37257</v>
          </cell>
          <cell r="Y309">
            <v>37288</v>
          </cell>
          <cell r="Z309">
            <v>37316</v>
          </cell>
          <cell r="AA309" t="str">
            <v>Q3:02</v>
          </cell>
          <cell r="AB309">
            <v>37347</v>
          </cell>
          <cell r="AC309">
            <v>37377</v>
          </cell>
          <cell r="AD309">
            <v>37408</v>
          </cell>
          <cell r="AE309" t="str">
            <v>Q4:02</v>
          </cell>
          <cell r="AF309">
            <v>37438</v>
          </cell>
          <cell r="AG309">
            <v>37469</v>
          </cell>
          <cell r="AH309">
            <v>37500</v>
          </cell>
          <cell r="AI309" t="str">
            <v>Q1:03</v>
          </cell>
          <cell r="AJ309">
            <v>37530</v>
          </cell>
          <cell r="AK309">
            <v>37561</v>
          </cell>
          <cell r="AL309">
            <v>37591</v>
          </cell>
          <cell r="AM309" t="str">
            <v>Q2:03</v>
          </cell>
          <cell r="AN309">
            <v>37622</v>
          </cell>
          <cell r="AO309">
            <v>37653</v>
          </cell>
          <cell r="AP309">
            <v>37681</v>
          </cell>
          <cell r="AQ309" t="str">
            <v>Q3:03</v>
          </cell>
          <cell r="AR309">
            <v>37712</v>
          </cell>
          <cell r="AS309">
            <v>37742</v>
          </cell>
          <cell r="AT309">
            <v>37773</v>
          </cell>
          <cell r="AU309" t="str">
            <v>Q4:F03</v>
          </cell>
          <cell r="AV309">
            <v>37803</v>
          </cell>
          <cell r="AW309">
            <v>37834</v>
          </cell>
          <cell r="AX309">
            <v>37865</v>
          </cell>
          <cell r="AY309" t="str">
            <v>Q1:F04</v>
          </cell>
          <cell r="AZ309">
            <v>37895</v>
          </cell>
          <cell r="BA309">
            <v>37926</v>
          </cell>
          <cell r="BB309">
            <v>37956</v>
          </cell>
          <cell r="BC309" t="str">
            <v>Q2:F04</v>
          </cell>
          <cell r="BD309">
            <v>37987</v>
          </cell>
          <cell r="BE309">
            <v>38018</v>
          </cell>
          <cell r="BF309">
            <v>38047</v>
          </cell>
          <cell r="BG309" t="str">
            <v>Q3:F04</v>
          </cell>
          <cell r="BH309">
            <v>38078</v>
          </cell>
          <cell r="BI309">
            <v>38108</v>
          </cell>
          <cell r="BJ309">
            <v>38139</v>
          </cell>
          <cell r="BK309" t="str">
            <v>Q4:F04</v>
          </cell>
          <cell r="BL309">
            <v>38169</v>
          </cell>
          <cell r="BM309">
            <v>38200</v>
          </cell>
          <cell r="BN309">
            <v>38231</v>
          </cell>
          <cell r="BO309" t="str">
            <v>Q1:F05E</v>
          </cell>
        </row>
        <row r="310">
          <cell r="A310" t="str">
            <v>BRANDS</v>
          </cell>
        </row>
        <row r="311">
          <cell r="A311" t="str">
            <v>CENESTIN</v>
          </cell>
        </row>
        <row r="312">
          <cell r="A312" t="str">
            <v>TRx</v>
          </cell>
          <cell r="C312">
            <v>52293</v>
          </cell>
          <cell r="D312">
            <v>58133</v>
          </cell>
          <cell r="E312">
            <v>60539</v>
          </cell>
          <cell r="F312">
            <v>71773</v>
          </cell>
          <cell r="G312">
            <v>190445</v>
          </cell>
          <cell r="H312">
            <v>84609</v>
          </cell>
          <cell r="I312">
            <v>82443</v>
          </cell>
          <cell r="J312">
            <v>96819</v>
          </cell>
          <cell r="K312">
            <v>263871</v>
          </cell>
          <cell r="L312">
            <v>96634</v>
          </cell>
          <cell r="M312">
            <v>105570</v>
          </cell>
          <cell r="N312">
            <v>105393</v>
          </cell>
          <cell r="O312">
            <v>307597</v>
          </cell>
          <cell r="P312">
            <v>111636</v>
          </cell>
          <cell r="Q312">
            <v>117086</v>
          </cell>
          <cell r="R312">
            <v>113144</v>
          </cell>
          <cell r="S312">
            <v>341866</v>
          </cell>
          <cell r="T312">
            <v>137999</v>
          </cell>
          <cell r="U312">
            <v>138767</v>
          </cell>
          <cell r="V312">
            <v>153289</v>
          </cell>
          <cell r="W312">
            <v>430055</v>
          </cell>
          <cell r="X312">
            <v>158144</v>
          </cell>
          <cell r="Y312">
            <v>140791</v>
          </cell>
          <cell r="Z312">
            <v>151230</v>
          </cell>
          <cell r="AA312">
            <v>450165</v>
          </cell>
          <cell r="AB312">
            <v>156608</v>
          </cell>
          <cell r="AC312">
            <v>156825</v>
          </cell>
          <cell r="AD312">
            <v>150445</v>
          </cell>
          <cell r="AE312">
            <v>463878</v>
          </cell>
          <cell r="AF312">
            <v>149259</v>
          </cell>
          <cell r="AG312">
            <v>143036</v>
          </cell>
          <cell r="AH312">
            <v>136025</v>
          </cell>
          <cell r="AI312">
            <v>428320</v>
          </cell>
          <cell r="AJ312">
            <v>138667</v>
          </cell>
          <cell r="AK312">
            <v>130839</v>
          </cell>
          <cell r="AL312">
            <v>139209</v>
          </cell>
          <cell r="AM312">
            <v>408715</v>
          </cell>
          <cell r="AN312">
            <v>133923</v>
          </cell>
          <cell r="AO312">
            <v>121567</v>
          </cell>
          <cell r="AP312">
            <v>132183</v>
          </cell>
          <cell r="AQ312">
            <v>387673</v>
          </cell>
          <cell r="AR312">
            <v>127568</v>
          </cell>
          <cell r="AS312">
            <v>131807</v>
          </cell>
          <cell r="AT312">
            <v>125671</v>
          </cell>
          <cell r="AU312">
            <v>385046</v>
          </cell>
          <cell r="AV312">
            <v>127780</v>
          </cell>
          <cell r="AW312">
            <v>124008</v>
          </cell>
          <cell r="AX312">
            <v>123470</v>
          </cell>
          <cell r="AY312">
            <v>375258</v>
          </cell>
          <cell r="AZ312">
            <v>127207</v>
          </cell>
          <cell r="BA312">
            <v>118199</v>
          </cell>
          <cell r="BB312">
            <v>129022</v>
          </cell>
          <cell r="BC312">
            <v>374428</v>
          </cell>
          <cell r="BD312">
            <v>124157</v>
          </cell>
          <cell r="BE312">
            <v>113920</v>
          </cell>
          <cell r="BF312">
            <v>125061</v>
          </cell>
          <cell r="BG312">
            <v>363138</v>
          </cell>
          <cell r="BH312">
            <v>117804</v>
          </cell>
          <cell r="BI312">
            <v>116437</v>
          </cell>
          <cell r="BJ312">
            <v>120908</v>
          </cell>
          <cell r="BK312">
            <v>355149</v>
          </cell>
          <cell r="BL312">
            <v>119041</v>
          </cell>
          <cell r="BM312">
            <v>121987</v>
          </cell>
          <cell r="BN312">
            <v>118041</v>
          </cell>
          <cell r="BO312">
            <v>359069</v>
          </cell>
        </row>
        <row r="313">
          <cell r="A313" t="str">
            <v xml:space="preserve">  % Change</v>
          </cell>
          <cell r="R313">
            <v>1.1636547912722546</v>
          </cell>
          <cell r="T313">
            <v>1.3738496206973663</v>
          </cell>
          <cell r="U313">
            <v>1.2921918102380285</v>
          </cell>
          <cell r="V313">
            <v>1.1357474259122511</v>
          </cell>
          <cell r="W313">
            <v>1.2581585234582162</v>
          </cell>
          <cell r="X313">
            <v>0.86911557872093992</v>
          </cell>
          <cell r="Y313">
            <v>0.70773746709848018</v>
          </cell>
          <cell r="Z313">
            <v>0.56198680011154845</v>
          </cell>
          <cell r="AA313">
            <v>0.70600407017065159</v>
          </cell>
          <cell r="AB313">
            <v>0.62063041993501256</v>
          </cell>
          <cell r="AC313">
            <v>0.48550724637681153</v>
          </cell>
          <cell r="AD313">
            <v>0.42746671980112527</v>
          </cell>
          <cell r="AE313">
            <v>0.50807062487605537</v>
          </cell>
          <cell r="AF313">
            <v>0.33701494141674737</v>
          </cell>
          <cell r="AG313">
            <v>0.22163196283073971</v>
          </cell>
          <cell r="AH313">
            <v>0.20222901788870828</v>
          </cell>
          <cell r="AI313">
            <v>0.25288855867503646</v>
          </cell>
          <cell r="AJ313">
            <v>4.8406147870636573E-3</v>
          </cell>
          <cell r="AK313">
            <v>-5.7131738813983146E-2</v>
          </cell>
          <cell r="AL313">
            <v>-9.1852644351519075E-2</v>
          </cell>
          <cell r="AM313">
            <v>-4.9621560033018985E-2</v>
          </cell>
          <cell r="AN313">
            <v>-0.15315788142452447</v>
          </cell>
          <cell r="AO313">
            <v>-0.13654281878813279</v>
          </cell>
          <cell r="AP313">
            <v>-0.1259472326919262</v>
          </cell>
          <cell r="AQ313">
            <v>-0.13882021036730974</v>
          </cell>
          <cell r="AR313">
            <v>-0.18543114017163875</v>
          </cell>
          <cell r="AS313">
            <v>-0.15952813645783515</v>
          </cell>
          <cell r="AT313">
            <v>-0.16467147462527831</v>
          </cell>
          <cell r="AU313">
            <v>-0.16994123454873911</v>
          </cell>
          <cell r="AV313">
            <v>-0.14390422018102766</v>
          </cell>
          <cell r="AW313">
            <v>-0.13302944713219045</v>
          </cell>
          <cell r="AX313">
            <v>-9.229920970409855E-2</v>
          </cell>
          <cell r="AY313">
            <v>-0.12388401195367948</v>
          </cell>
          <cell r="AZ313">
            <v>-8.2644032105692045E-2</v>
          </cell>
          <cell r="BA313">
            <v>-9.6607280703765674E-2</v>
          </cell>
          <cell r="BB313">
            <v>-7.3177739944974785E-2</v>
          </cell>
          <cell r="BC313">
            <v>-8.3889752027696551E-2</v>
          </cell>
          <cell r="BD313">
            <v>-7.2922500242676769E-2</v>
          </cell>
          <cell r="BE313">
            <v>-6.2903584031850701E-2</v>
          </cell>
          <cell r="BF313">
            <v>-5.3879848392001994E-2</v>
          </cell>
          <cell r="BG313">
            <v>-6.3287874058807314E-2</v>
          </cell>
          <cell r="BH313">
            <v>-7.6539571052301469E-2</v>
          </cell>
          <cell r="BI313">
            <v>-0.11660989173564373</v>
          </cell>
          <cell r="BJ313">
            <v>-3.7900549848413734E-2</v>
          </cell>
          <cell r="BK313">
            <v>-7.7645268357546926E-2</v>
          </cell>
          <cell r="BL313">
            <v>-6.8390984504617336E-2</v>
          </cell>
          <cell r="BM313">
            <v>-1.6297335655764189E-2</v>
          </cell>
          <cell r="BN313">
            <v>-4.3970195189114714E-2</v>
          </cell>
          <cell r="BO313">
            <v>-4.3140985668526755E-2</v>
          </cell>
        </row>
        <row r="314">
          <cell r="A314" t="str">
            <v>NRx</v>
          </cell>
          <cell r="C314">
            <v>18562</v>
          </cell>
          <cell r="D314">
            <v>20549</v>
          </cell>
          <cell r="E314">
            <v>21267</v>
          </cell>
          <cell r="F314">
            <v>26557</v>
          </cell>
          <cell r="G314">
            <v>68373</v>
          </cell>
          <cell r="H314">
            <v>34641</v>
          </cell>
          <cell r="I314">
            <v>32803</v>
          </cell>
          <cell r="J314">
            <v>35946</v>
          </cell>
          <cell r="K314">
            <v>103390</v>
          </cell>
          <cell r="L314">
            <v>33800</v>
          </cell>
          <cell r="M314">
            <v>35472</v>
          </cell>
          <cell r="N314">
            <v>33831</v>
          </cell>
          <cell r="O314">
            <v>103103</v>
          </cell>
          <cell r="P314">
            <v>34719</v>
          </cell>
          <cell r="Q314">
            <v>37456</v>
          </cell>
          <cell r="R314">
            <v>34886</v>
          </cell>
          <cell r="S314">
            <v>107061</v>
          </cell>
          <cell r="T314">
            <v>49347</v>
          </cell>
          <cell r="U314">
            <v>48131</v>
          </cell>
          <cell r="V314">
            <v>51871</v>
          </cell>
          <cell r="W314">
            <v>149349</v>
          </cell>
          <cell r="X314">
            <v>51438</v>
          </cell>
          <cell r="Y314">
            <v>41904</v>
          </cell>
          <cell r="Z314">
            <v>42864</v>
          </cell>
          <cell r="AA314">
            <v>136206</v>
          </cell>
          <cell r="AB314">
            <v>45824</v>
          </cell>
          <cell r="AC314">
            <v>44262</v>
          </cell>
          <cell r="AD314">
            <v>41226</v>
          </cell>
          <cell r="AE314">
            <v>131312</v>
          </cell>
          <cell r="AF314">
            <v>40771</v>
          </cell>
          <cell r="AG314">
            <v>39268</v>
          </cell>
          <cell r="AH314">
            <v>37419</v>
          </cell>
          <cell r="AI314">
            <v>117458</v>
          </cell>
          <cell r="AJ314">
            <v>38751</v>
          </cell>
          <cell r="AK314">
            <v>35770</v>
          </cell>
          <cell r="AL314">
            <v>37571</v>
          </cell>
          <cell r="AM314">
            <v>112092</v>
          </cell>
          <cell r="AN314">
            <v>37613</v>
          </cell>
          <cell r="AO314">
            <v>34255</v>
          </cell>
          <cell r="AP314">
            <v>36816</v>
          </cell>
          <cell r="AQ314">
            <v>108684</v>
          </cell>
          <cell r="AR314">
            <v>35704</v>
          </cell>
          <cell r="AS314">
            <v>37016</v>
          </cell>
          <cell r="AT314">
            <v>35700</v>
          </cell>
          <cell r="AU314">
            <v>108420</v>
          </cell>
          <cell r="AV314">
            <v>35997</v>
          </cell>
          <cell r="AW314">
            <v>34362</v>
          </cell>
          <cell r="AX314">
            <v>35031</v>
          </cell>
          <cell r="AY314">
            <v>105390</v>
          </cell>
          <cell r="AZ314">
            <v>36070</v>
          </cell>
          <cell r="BA314">
            <v>32460</v>
          </cell>
          <cell r="BB314">
            <v>34307</v>
          </cell>
          <cell r="BC314">
            <v>102837</v>
          </cell>
          <cell r="BD314">
            <v>34044</v>
          </cell>
          <cell r="BE314">
            <v>31654</v>
          </cell>
          <cell r="BF314">
            <v>34909</v>
          </cell>
          <cell r="BG314">
            <v>100607</v>
          </cell>
          <cell r="BH314">
            <v>32143</v>
          </cell>
          <cell r="BI314">
            <v>31380</v>
          </cell>
          <cell r="BJ314">
            <v>33622</v>
          </cell>
          <cell r="BK314">
            <v>97145</v>
          </cell>
          <cell r="BL314">
            <v>33096</v>
          </cell>
          <cell r="BM314">
            <v>35380</v>
          </cell>
          <cell r="BN314">
            <v>34136</v>
          </cell>
          <cell r="BO314">
            <v>102612</v>
          </cell>
        </row>
        <row r="315">
          <cell r="A315" t="str">
            <v xml:space="preserve">  % Change</v>
          </cell>
          <cell r="R315">
            <v>0.87943109578709189</v>
          </cell>
          <cell r="T315">
            <v>1.4014307265560366</v>
          </cell>
          <cell r="U315">
            <v>1.2631776931396059</v>
          </cell>
          <cell r="V315">
            <v>0.9531950144971193</v>
          </cell>
          <cell r="W315">
            <v>1.1843271466807073</v>
          </cell>
          <cell r="X315">
            <v>0.48488784965791987</v>
          </cell>
          <cell r="Y315">
            <v>0.27744413620705433</v>
          </cell>
          <cell r="Z315">
            <v>0.19245534969120337</v>
          </cell>
          <cell r="AA315">
            <v>0.31740013540961409</v>
          </cell>
          <cell r="AB315">
            <v>0.35573964497041421</v>
          </cell>
          <cell r="AC315">
            <v>0.24780108254397826</v>
          </cell>
          <cell r="AD315">
            <v>0.21858650350270459</v>
          </cell>
          <cell r="AE315">
            <v>0.27360018622154536</v>
          </cell>
          <cell r="AF315">
            <v>0.17431377631844236</v>
          </cell>
          <cell r="AG315">
            <v>4.8376762067492418E-2</v>
          </cell>
          <cell r="AH315">
            <v>7.2607922949033954E-2</v>
          </cell>
          <cell r="AI315">
            <v>9.7112860892388353E-2</v>
          </cell>
          <cell r="AJ315">
            <v>-0.21472429934950454</v>
          </cell>
          <cell r="AK315">
            <v>-0.25681992894392391</v>
          </cell>
          <cell r="AL315">
            <v>-0.27568390815677357</v>
          </cell>
          <cell r="AM315">
            <v>-0.24946266797902894</v>
          </cell>
          <cell r="AN315">
            <v>-0.26877016991329372</v>
          </cell>
          <cell r="AO315">
            <v>-0.18253627338678891</v>
          </cell>
          <cell r="AP315">
            <v>-0.14109742441209405</v>
          </cell>
          <cell r="AQ315">
            <v>-0.20206158319016787</v>
          </cell>
          <cell r="AR315">
            <v>-0.22084497206703912</v>
          </cell>
          <cell r="AS315">
            <v>-0.16370701730604131</v>
          </cell>
          <cell r="AT315">
            <v>-0.1340416242177267</v>
          </cell>
          <cell r="AU315">
            <v>-0.17433288656025347</v>
          </cell>
          <cell r="AV315">
            <v>-0.11709303181182706</v>
          </cell>
          <cell r="AW315">
            <v>-0.12493633492920442</v>
          </cell>
          <cell r="AX315">
            <v>-6.3817846548544832E-2</v>
          </cell>
          <cell r="AY315">
            <v>-0.10274310817483701</v>
          </cell>
          <cell r="AZ315">
            <v>-6.9185311346803946E-2</v>
          </cell>
          <cell r="BA315">
            <v>-9.2535644394744154E-2</v>
          </cell>
          <cell r="BB315">
            <v>-8.6875515690293059E-2</v>
          </cell>
          <cell r="BC315">
            <v>-8.2566106412589657E-2</v>
          </cell>
          <cell r="BD315">
            <v>-9.4887405950070502E-2</v>
          </cell>
          <cell r="BE315">
            <v>-7.593052109181142E-2</v>
          </cell>
          <cell r="BF315">
            <v>-5.179813124728383E-2</v>
          </cell>
          <cell r="BG315">
            <v>-7.4316366714511806E-2</v>
          </cell>
          <cell r="BH315">
            <v>-9.9736724176562874E-2</v>
          </cell>
          <cell r="BI315">
            <v>-0.15225848281824073</v>
          </cell>
          <cell r="BJ315">
            <v>-5.8207282913165237E-2</v>
          </cell>
          <cell r="BK315">
            <v>-0.10399372809444751</v>
          </cell>
          <cell r="BL315">
            <v>-8.0590049170764178E-2</v>
          </cell>
          <cell r="BM315">
            <v>2.9625749374308841E-2</v>
          </cell>
          <cell r="BN315">
            <v>-2.554879963460932E-2</v>
          </cell>
          <cell r="BO315">
            <v>-2.6359237119271239E-2</v>
          </cell>
        </row>
        <row r="316">
          <cell r="A316" t="str">
            <v>Total Market-52112</v>
          </cell>
          <cell r="AF316">
            <v>4555345</v>
          </cell>
          <cell r="AG316">
            <v>4225606</v>
          </cell>
          <cell r="AH316">
            <v>3958864</v>
          </cell>
          <cell r="AI316">
            <v>12739815</v>
          </cell>
          <cell r="AJ316">
            <v>3996137</v>
          </cell>
          <cell r="AK316">
            <v>3669300</v>
          </cell>
          <cell r="AL316">
            <v>3839049</v>
          </cell>
          <cell r="AM316">
            <v>11504486</v>
          </cell>
          <cell r="AN316">
            <v>3656795</v>
          </cell>
          <cell r="AO316">
            <v>3272817</v>
          </cell>
          <cell r="AP316">
            <v>3498923</v>
          </cell>
          <cell r="AQ316">
            <v>10428535</v>
          </cell>
          <cell r="AR316">
            <v>3347930</v>
          </cell>
          <cell r="AS316">
            <v>3370491</v>
          </cell>
          <cell r="AT316">
            <v>3121209</v>
          </cell>
          <cell r="AU316">
            <v>9839630</v>
          </cell>
          <cell r="AV316">
            <v>3125788</v>
          </cell>
          <cell r="AW316">
            <v>2962343</v>
          </cell>
          <cell r="AX316">
            <v>2921852</v>
          </cell>
          <cell r="AY316">
            <v>9009983</v>
          </cell>
          <cell r="AZ316">
            <v>2952398</v>
          </cell>
          <cell r="BA316">
            <v>2689731</v>
          </cell>
          <cell r="BB316">
            <v>2927931</v>
          </cell>
          <cell r="BC316">
            <v>8570060</v>
          </cell>
          <cell r="BD316">
            <v>2767776</v>
          </cell>
          <cell r="BE316">
            <v>2525716</v>
          </cell>
          <cell r="BF316">
            <v>2718670</v>
          </cell>
          <cell r="BG316">
            <v>8012162</v>
          </cell>
          <cell r="BH316">
            <v>2535635</v>
          </cell>
          <cell r="BI316">
            <v>2485156</v>
          </cell>
          <cell r="BJ316">
            <v>2560951</v>
          </cell>
          <cell r="BK316">
            <v>7581742</v>
          </cell>
          <cell r="BL316">
            <v>2500123</v>
          </cell>
          <cell r="BM316">
            <v>2513216</v>
          </cell>
          <cell r="BN316">
            <v>2428151</v>
          </cell>
          <cell r="BO316">
            <v>7441490</v>
          </cell>
        </row>
        <row r="317">
          <cell r="A317" t="str">
            <v>New Market-52112</v>
          </cell>
          <cell r="AF317">
            <v>1202630</v>
          </cell>
          <cell r="AG317">
            <v>1110998</v>
          </cell>
          <cell r="AH317">
            <v>1037788</v>
          </cell>
          <cell r="AI317">
            <v>3351416</v>
          </cell>
          <cell r="AJ317">
            <v>1072338</v>
          </cell>
          <cell r="AK317">
            <v>970204</v>
          </cell>
          <cell r="AL317">
            <v>994605</v>
          </cell>
          <cell r="AM317">
            <v>3037147</v>
          </cell>
          <cell r="AN317">
            <v>1020065</v>
          </cell>
          <cell r="AO317">
            <v>918418</v>
          </cell>
          <cell r="AP317">
            <v>956688</v>
          </cell>
          <cell r="AQ317">
            <v>2895171</v>
          </cell>
          <cell r="AR317">
            <v>910838</v>
          </cell>
          <cell r="AS317">
            <v>912996</v>
          </cell>
          <cell r="AT317">
            <v>842642</v>
          </cell>
          <cell r="AU317">
            <v>2666476</v>
          </cell>
          <cell r="AV317">
            <v>843811</v>
          </cell>
          <cell r="AW317">
            <v>785541</v>
          </cell>
          <cell r="AX317">
            <v>787469</v>
          </cell>
          <cell r="AY317">
            <v>2416821</v>
          </cell>
          <cell r="AZ317">
            <v>808413</v>
          </cell>
          <cell r="BA317">
            <v>745543</v>
          </cell>
          <cell r="BB317">
            <v>790984</v>
          </cell>
          <cell r="BC317">
            <v>2344940</v>
          </cell>
          <cell r="BD317">
            <v>765045</v>
          </cell>
          <cell r="BE317">
            <v>706872</v>
          </cell>
          <cell r="BF317">
            <v>754420</v>
          </cell>
          <cell r="BG317">
            <v>2226337</v>
          </cell>
          <cell r="BH317">
            <v>690744</v>
          </cell>
          <cell r="BI317">
            <v>674522</v>
          </cell>
          <cell r="BJ317">
            <v>707768</v>
          </cell>
          <cell r="BK317">
            <v>2073034</v>
          </cell>
          <cell r="BL317">
            <v>692386</v>
          </cell>
          <cell r="BM317">
            <v>714978</v>
          </cell>
          <cell r="BN317">
            <v>714419</v>
          </cell>
          <cell r="BO317">
            <v>2121783</v>
          </cell>
        </row>
        <row r="318">
          <cell r="A318" t="str">
            <v>TRx Market Growth</v>
          </cell>
          <cell r="AV318">
            <v>-0.31381969971538926</v>
          </cell>
          <cell r="AW318">
            <v>-0.29895428016715231</v>
          </cell>
          <cell r="AX318">
            <v>-0.26194686152391189</v>
          </cell>
          <cell r="AY318">
            <v>-0.29276971447387579</v>
          </cell>
          <cell r="AZ318">
            <v>-0.26118699133688361</v>
          </cell>
          <cell r="BA318">
            <v>-0.26696345351974493</v>
          </cell>
          <cell r="BB318">
            <v>-0.23732908853208179</v>
          </cell>
          <cell r="BC318">
            <v>-0.25506797956901339</v>
          </cell>
          <cell r="BD318">
            <v>-0.24311425715688195</v>
          </cell>
          <cell r="BE318">
            <v>-0.2282746025824236</v>
          </cell>
          <cell r="BF318">
            <v>-0.22299804825656355</v>
          </cell>
          <cell r="BG318">
            <v>-0.23170780939029312</v>
          </cell>
          <cell r="BH318">
            <v>-0.24262604056835124</v>
          </cell>
          <cell r="BI318">
            <v>-0.26267241182367795</v>
          </cell>
          <cell r="BJ318">
            <v>-0.17950031542264555</v>
          </cell>
          <cell r="BK318">
            <v>-0.2294687910012877</v>
          </cell>
          <cell r="BL318">
            <v>-0.20016232706760662</v>
          </cell>
          <cell r="BM318">
            <v>-0.15161208543372595</v>
          </cell>
          <cell r="BN318">
            <v>-0.16896851722811423</v>
          </cell>
          <cell r="BO318">
            <v>-0.17408390226707415</v>
          </cell>
        </row>
        <row r="319">
          <cell r="A319" t="str">
            <v>NRx Market Growth</v>
          </cell>
          <cell r="AV319">
            <v>-0.29836192345110302</v>
          </cell>
          <cell r="AW319">
            <v>-0.29294112140615913</v>
          </cell>
          <cell r="AX319">
            <v>-0.24120436929315048</v>
          </cell>
          <cell r="AY319">
            <v>-0.27886570930018839</v>
          </cell>
          <cell r="AZ319">
            <v>-0.24612109241675661</v>
          </cell>
          <cell r="BA319">
            <v>-0.23156057901224902</v>
          </cell>
          <cell r="BB319">
            <v>-0.20472549404034768</v>
          </cell>
          <cell r="BC319">
            <v>-0.22791356493445991</v>
          </cell>
          <cell r="BD319">
            <v>-0.25000367623631825</v>
          </cell>
          <cell r="BE319">
            <v>-0.23033738450248142</v>
          </cell>
          <cell r="BF319">
            <v>-0.21142525044737681</v>
          </cell>
          <cell r="BG319">
            <v>-0.23101709709029272</v>
          </cell>
          <cell r="BH319">
            <v>-0.24163901813494826</v>
          </cell>
          <cell r="BI319">
            <v>-0.26119939189218788</v>
          </cell>
          <cell r="BJ319">
            <v>-0.16006085621177202</v>
          </cell>
          <cell r="BK319">
            <v>-0.2225566628013903</v>
          </cell>
          <cell r="BL319">
            <v>-0.17945369282931845</v>
          </cell>
          <cell r="BM319">
            <v>-8.982726554056375E-2</v>
          </cell>
          <cell r="BN319">
            <v>-9.2765556485398193E-2</v>
          </cell>
          <cell r="BO319">
            <v>-0.12207689357217599</v>
          </cell>
        </row>
        <row r="320">
          <cell r="A320" t="str">
            <v>TRx Market Share</v>
          </cell>
          <cell r="AV320">
            <v>4.0879291877760106E-2</v>
          </cell>
          <cell r="AW320">
            <v>4.1861458987024799E-2</v>
          </cell>
          <cell r="AX320">
            <v>4.2257444935609331E-2</v>
          </cell>
          <cell r="AY320">
            <v>4.164913518704752E-2</v>
          </cell>
          <cell r="AZ320">
            <v>4.3085993148620209E-2</v>
          </cell>
          <cell r="BA320">
            <v>4.394454315320008E-2</v>
          </cell>
          <cell r="BB320">
            <v>4.4065929149286649E-2</v>
          </cell>
          <cell r="BC320">
            <v>4.3690242542059214E-2</v>
          </cell>
          <cell r="BD320">
            <v>4.4858037644664887E-2</v>
          </cell>
          <cell r="BE320">
            <v>4.5104041784587025E-2</v>
          </cell>
          <cell r="BF320">
            <v>4.6000801862675501E-2</v>
          </cell>
          <cell r="BG320">
            <v>4.5323347181447406E-2</v>
          </cell>
          <cell r="BH320">
            <v>4.6459368166159559E-2</v>
          </cell>
          <cell r="BI320">
            <v>4.6852994339188367E-2</v>
          </cell>
          <cell r="BJ320">
            <v>4.7212148924364428E-2</v>
          </cell>
          <cell r="BK320">
            <v>4.6842664917904092E-2</v>
          </cell>
          <cell r="BL320">
            <v>4.7614057388376492E-2</v>
          </cell>
          <cell r="BM320">
            <v>4.8538207619241644E-2</v>
          </cell>
          <cell r="BN320">
            <v>4.8613533507594876E-2</v>
          </cell>
          <cell r="BO320">
            <v>4.8252298934756348E-2</v>
          </cell>
        </row>
        <row r="321">
          <cell r="A321" t="str">
            <v>NRx Market Share</v>
          </cell>
          <cell r="AV321">
            <v>4.2660026949162787E-2</v>
          </cell>
          <cell r="AW321">
            <v>4.3743101887743607E-2</v>
          </cell>
          <cell r="AX321">
            <v>4.4485560701437138E-2</v>
          </cell>
          <cell r="AY321">
            <v>4.3606870347452295E-2</v>
          </cell>
          <cell r="AZ321">
            <v>4.4618282981594801E-2</v>
          </cell>
          <cell r="BA321">
            <v>4.3538736196302559E-2</v>
          </cell>
          <cell r="BB321">
            <v>4.3372558736965605E-2</v>
          </cell>
          <cell r="BC321">
            <v>4.3854853429085607E-2</v>
          </cell>
          <cell r="BD321">
            <v>4.4499343175891617E-2</v>
          </cell>
          <cell r="BE321">
            <v>4.478038456750303E-2</v>
          </cell>
          <cell r="BF321">
            <v>4.627263328119615E-2</v>
          </cell>
          <cell r="BG321">
            <v>4.5189474908785145E-2</v>
          </cell>
          <cell r="BH321">
            <v>4.6533882306614316E-2</v>
          </cell>
          <cell r="BI321">
            <v>4.6521833238945508E-2</v>
          </cell>
          <cell r="BJ321">
            <v>4.7504266934927833E-2</v>
          </cell>
          <cell r="BK321">
            <v>4.6861267108981329E-2</v>
          </cell>
          <cell r="BL321">
            <v>4.7799926630521128E-2</v>
          </cell>
          <cell r="BM321">
            <v>4.9484040068365737E-2</v>
          </cell>
          <cell r="BN321">
            <v>4.7781483975090251E-2</v>
          </cell>
          <cell r="BO321">
            <v>4.8361213187210941E-2</v>
          </cell>
        </row>
        <row r="322">
          <cell r="A322" t="str">
            <v>Price Change (YoY)</v>
          </cell>
          <cell r="AC322">
            <v>8.4000000000000005E-2</v>
          </cell>
          <cell r="AD322">
            <v>8.4000000000000005E-2</v>
          </cell>
          <cell r="AI322">
            <v>0.16800000000000001</v>
          </cell>
          <cell r="AL322">
            <v>9.7900000000000001E-2</v>
          </cell>
          <cell r="AM322">
            <v>0.26590000000000003</v>
          </cell>
          <cell r="AO322">
            <v>8.4400000000000003E-2</v>
          </cell>
          <cell r="AQ322">
            <v>0.35030000000000006</v>
          </cell>
          <cell r="AU322">
            <v>0.18230000000000002</v>
          </cell>
          <cell r="AY322">
            <v>0.18230000000000002</v>
          </cell>
          <cell r="BB322">
            <v>0.1085</v>
          </cell>
          <cell r="BC322">
            <v>0.19290000000000002</v>
          </cell>
          <cell r="BG322">
            <v>0.1085</v>
          </cell>
          <cell r="BK322">
            <v>0.1085</v>
          </cell>
          <cell r="BO322">
            <v>0.1085</v>
          </cell>
        </row>
        <row r="324">
          <cell r="A324" t="str">
            <v xml:space="preserve">TRx + Cenestin Price Change </v>
          </cell>
          <cell r="AU324">
            <v>1.2358765451260911E-2</v>
          </cell>
          <cell r="AY324">
            <v>5.8415988046320533E-2</v>
          </cell>
          <cell r="BC324">
            <v>0.10901024797230346</v>
          </cell>
          <cell r="BG324">
            <v>4.5212125941192685E-2</v>
          </cell>
          <cell r="BK324">
            <v>3.0854731642453073E-2</v>
          </cell>
          <cell r="BO324">
            <v>6.5359014331473245E-2</v>
          </cell>
        </row>
        <row r="326">
          <cell r="A326" t="str">
            <v xml:space="preserve">TOTAL CENESTIN REPORTED SALES </v>
          </cell>
          <cell r="S326">
            <v>7.6</v>
          </cell>
          <cell r="W326">
            <v>12</v>
          </cell>
          <cell r="AA326">
            <v>10</v>
          </cell>
          <cell r="AE326">
            <v>11.7</v>
          </cell>
          <cell r="AI326">
            <v>10.3</v>
          </cell>
          <cell r="AM326">
            <v>12.6</v>
          </cell>
          <cell r="AQ326">
            <v>3.3</v>
          </cell>
          <cell r="AU326">
            <v>8.4</v>
          </cell>
          <cell r="AY326">
            <v>14.7</v>
          </cell>
          <cell r="BC326">
            <v>14.2</v>
          </cell>
          <cell r="BG326">
            <v>7.5</v>
          </cell>
          <cell r="BK326">
            <v>11</v>
          </cell>
          <cell r="BO326">
            <v>12</v>
          </cell>
        </row>
        <row r="327">
          <cell r="A327" t="str">
            <v xml:space="preserve">  % Change</v>
          </cell>
          <cell r="AI327">
            <v>0.35526315789473695</v>
          </cell>
          <cell r="AM327">
            <v>0.05</v>
          </cell>
          <cell r="AQ327">
            <v>-0.67</v>
          </cell>
          <cell r="AU327">
            <v>-0.28205128205128194</v>
          </cell>
          <cell r="AY327">
            <v>0.42718446601941729</v>
          </cell>
          <cell r="BC327">
            <v>0.12698412698412698</v>
          </cell>
          <cell r="BG327">
            <v>1.2727272727272729</v>
          </cell>
          <cell r="BK327">
            <v>0.30952380952380953</v>
          </cell>
          <cell r="BO327">
            <v>-0.18367346938775508</v>
          </cell>
        </row>
        <row r="329">
          <cell r="A329" t="str">
            <v>TOTAL CENESTIN SALES (IMS)</v>
          </cell>
          <cell r="C329">
            <v>1.3097829999999999</v>
          </cell>
          <cell r="D329">
            <v>1.07148</v>
          </cell>
          <cell r="E329">
            <v>1.1266609999999999</v>
          </cell>
          <cell r="F329">
            <v>1.575356</v>
          </cell>
          <cell r="G329">
            <v>3.7734969999999999</v>
          </cell>
          <cell r="H329">
            <v>1.81464</v>
          </cell>
          <cell r="I329">
            <v>1.9826490000000001</v>
          </cell>
          <cell r="J329">
            <v>2.6023770000000002</v>
          </cell>
          <cell r="K329">
            <v>6.3996659999999999</v>
          </cell>
          <cell r="L329">
            <v>2.075761</v>
          </cell>
          <cell r="M329">
            <v>2.2564160000000002</v>
          </cell>
          <cell r="N329">
            <v>2.898612</v>
          </cell>
          <cell r="O329">
            <v>7.2307889999999997</v>
          </cell>
          <cell r="P329">
            <v>2.4356520000000002</v>
          </cell>
          <cell r="Q329">
            <v>2.5538780000000001</v>
          </cell>
          <cell r="R329">
            <v>3.4105859999999999</v>
          </cell>
          <cell r="S329">
            <v>8.4001160000000006</v>
          </cell>
          <cell r="T329">
            <v>3.3134619999999999</v>
          </cell>
          <cell r="U329">
            <v>4.1719850000000003</v>
          </cell>
          <cell r="V329">
            <v>4.3763880000000004</v>
          </cell>
          <cell r="W329">
            <v>11.861835000000001</v>
          </cell>
          <cell r="X329">
            <v>3.412801</v>
          </cell>
          <cell r="Y329">
            <v>3.2663340000000001</v>
          </cell>
          <cell r="Z329">
            <v>4.2122630000000001</v>
          </cell>
          <cell r="AA329">
            <v>10.891398000000001</v>
          </cell>
          <cell r="AB329">
            <v>3.2488079999999999</v>
          </cell>
          <cell r="AC329">
            <v>3.4616470000000001</v>
          </cell>
          <cell r="AD329">
            <v>4.6917439999999999</v>
          </cell>
          <cell r="AE329">
            <v>11.402199</v>
          </cell>
          <cell r="AF329">
            <v>3.5049260000000002</v>
          </cell>
          <cell r="AG329">
            <v>3.5123929999999999</v>
          </cell>
          <cell r="AH329">
            <v>4.3219630000000002</v>
          </cell>
          <cell r="AI329">
            <v>11.339282000000001</v>
          </cell>
          <cell r="AJ329">
            <v>3.3514740000000001</v>
          </cell>
          <cell r="AK329">
            <v>3.2944900000000001</v>
          </cell>
          <cell r="AL329">
            <v>4.454307</v>
          </cell>
          <cell r="AM329">
            <v>11.100270999999999</v>
          </cell>
          <cell r="AN329">
            <v>3.515774</v>
          </cell>
          <cell r="AO329">
            <v>3.5626540000000002</v>
          </cell>
          <cell r="AP329">
            <v>4.6350889999999998</v>
          </cell>
          <cell r="AQ329">
            <v>11.713517</v>
          </cell>
          <cell r="AR329">
            <v>3.609013</v>
          </cell>
          <cell r="AS329">
            <v>3.6383960000000002</v>
          </cell>
          <cell r="AT329">
            <v>4.5016540000000003</v>
          </cell>
          <cell r="AU329">
            <v>11.749063</v>
          </cell>
          <cell r="AV329">
            <v>3.5516549999999998</v>
          </cell>
          <cell r="AW329">
            <v>3.6857890000000002</v>
          </cell>
          <cell r="AX329">
            <v>4.4125750000000004</v>
          </cell>
          <cell r="AY329">
            <v>11.650019</v>
          </cell>
          <cell r="AZ329">
            <v>3.4819019999999998</v>
          </cell>
          <cell r="BA329">
            <v>3.4868070000000002</v>
          </cell>
          <cell r="BB329">
            <v>4.483257</v>
          </cell>
          <cell r="BC329">
            <v>11.451966000000001</v>
          </cell>
          <cell r="BD329">
            <v>3.783989</v>
          </cell>
          <cell r="BE329">
            <v>3.7640579999999999</v>
          </cell>
          <cell r="BF329">
            <v>4.770251</v>
          </cell>
          <cell r="BG329">
            <v>12.318298</v>
          </cell>
          <cell r="BH329">
            <v>3.8465319999999998</v>
          </cell>
          <cell r="BI329">
            <v>4.2583450000000003</v>
          </cell>
          <cell r="BJ329">
            <v>4.8621150000000002</v>
          </cell>
          <cell r="BK329">
            <v>12.966992000000001</v>
          </cell>
          <cell r="BL329">
            <v>3.8808020000000001</v>
          </cell>
          <cell r="BM329">
            <v>4.2142559999999998</v>
          </cell>
        </row>
        <row r="330">
          <cell r="A330" t="str">
            <v xml:space="preserve">  % Change</v>
          </cell>
          <cell r="R330">
            <v>1.6039321017298285</v>
          </cell>
          <cell r="T330">
            <v>2.09241609736066</v>
          </cell>
          <cell r="U330">
            <v>2.7029638906467879</v>
          </cell>
          <cell r="V330">
            <v>1.7780311243934706</v>
          </cell>
          <cell r="W330">
            <v>2.143459501889097</v>
          </cell>
          <cell r="X330">
            <v>0.88070416170700527</v>
          </cell>
          <cell r="Y330">
            <v>0.64745953519760668</v>
          </cell>
          <cell r="Z330">
            <v>0.6186213603947468</v>
          </cell>
          <cell r="AA330">
            <v>0.70186975382777805</v>
          </cell>
          <cell r="AB330">
            <v>0.56511660061057123</v>
          </cell>
          <cell r="AC330">
            <v>0.53413510629245664</v>
          </cell>
          <cell r="AD330">
            <v>0.61861746242684434</v>
          </cell>
          <cell r="AE330">
            <v>0.576895550402591</v>
          </cell>
          <cell r="AF330">
            <v>0.43900934944729375</v>
          </cell>
          <cell r="AG330">
            <v>0.3753174583907295</v>
          </cell>
          <cell r="AH330">
            <v>0.26722006130324827</v>
          </cell>
          <cell r="AI330">
            <v>0.34989588239019564</v>
          </cell>
          <cell r="AJ330">
            <v>1.1471989115915626E-2</v>
          </cell>
          <cell r="AK330">
            <v>-0.21033033436122139</v>
          </cell>
          <cell r="AL330">
            <v>1.7804408567064778E-2</v>
          </cell>
          <cell r="AM330">
            <v>-6.4202882606274825E-2</v>
          </cell>
          <cell r="AN330">
            <v>3.0172576719240229E-2</v>
          </cell>
          <cell r="AO330">
            <v>9.071944265344567E-2</v>
          </cell>
          <cell r="AP330">
            <v>0.10037977210824667</v>
          </cell>
          <cell r="AQ330">
            <v>7.548333097367288E-2</v>
          </cell>
          <cell r="AR330">
            <v>0.11087297248714001</v>
          </cell>
          <cell r="AS330">
            <v>5.1059221231974261E-2</v>
          </cell>
          <cell r="AT330">
            <v>-4.0515850822210209E-2</v>
          </cell>
          <cell r="AU330">
            <v>3.0420798654715586E-2</v>
          </cell>
          <cell r="AV330">
            <v>1.3332378486735408E-2</v>
          </cell>
          <cell r="AW330">
            <v>4.9366913098847442E-2</v>
          </cell>
          <cell r="AX330">
            <v>2.0965473327744899E-2</v>
          </cell>
          <cell r="AY330">
            <v>2.7403586929048984E-2</v>
          </cell>
          <cell r="AZ330">
            <v>3.8916608035747702E-2</v>
          </cell>
          <cell r="BA330">
            <v>5.8375347929421562E-2</v>
          </cell>
          <cell r="BB330">
            <v>6.4993275048172983E-3</v>
          </cell>
          <cell r="BC330">
            <v>3.1683460701094734E-2</v>
          </cell>
          <cell r="BD330">
            <v>7.6289033367901382E-2</v>
          </cell>
          <cell r="BE330">
            <v>5.6532012370552831E-2</v>
          </cell>
          <cell r="BF330">
            <v>2.9160605114594507E-2</v>
          </cell>
          <cell r="BG330">
            <v>5.1631034470688952E-2</v>
          </cell>
          <cell r="BH330">
            <v>6.5812730516626061E-2</v>
          </cell>
          <cell r="BI330">
            <v>0.17039074361339446</v>
          </cell>
          <cell r="BJ330">
            <v>8.0073013163606044E-2</v>
          </cell>
          <cell r="BK330">
            <v>0.10366179839192302</v>
          </cell>
          <cell r="BL330">
            <v>9.2674260309630441E-2</v>
          </cell>
          <cell r="BM330">
            <v>0.14337961288614176</v>
          </cell>
        </row>
        <row r="332">
          <cell r="A332" t="str">
            <v>REPORTED SALES/TRx CENESTIN</v>
          </cell>
          <cell r="S332">
            <v>22.23093258762205</v>
          </cell>
          <cell r="W332">
            <v>27.90340770366581</v>
          </cell>
          <cell r="AA332">
            <v>22.214077060633322</v>
          </cell>
          <cell r="AE332">
            <v>25.22214892708859</v>
          </cell>
          <cell r="AI332">
            <v>24.04744116548375</v>
          </cell>
          <cell r="AM332">
            <v>30.828327807885689</v>
          </cell>
          <cell r="AQ332">
            <v>8.5123286893851269</v>
          </cell>
          <cell r="AU332">
            <v>21.81557528191437</v>
          </cell>
          <cell r="AY332">
            <v>39.173048942327675</v>
          </cell>
          <cell r="BC332">
            <v>37.924514192314675</v>
          </cell>
          <cell r="BG332">
            <v>20.653305354989012</v>
          </cell>
          <cell r="BK332">
            <v>30.972915593173571</v>
          </cell>
          <cell r="BO332">
            <v>33.419760547415677</v>
          </cell>
        </row>
        <row r="333">
          <cell r="A333" t="str">
            <v>IMS SALES/REPORTED SALES</v>
          </cell>
          <cell r="S333">
            <v>1.1052784210526316</v>
          </cell>
          <cell r="W333">
            <v>0.98848625000000012</v>
          </cell>
          <cell r="AA333">
            <v>1.0891398000000001</v>
          </cell>
          <cell r="AE333">
            <v>0.97454692307692314</v>
          </cell>
          <cell r="AI333">
            <v>1.1009011650485436</v>
          </cell>
          <cell r="AM333">
            <v>0.88097388888888883</v>
          </cell>
          <cell r="AQ333">
            <v>3.5495506060606061</v>
          </cell>
          <cell r="AU333">
            <v>1.3986979761904761</v>
          </cell>
          <cell r="AY333">
            <v>0.79251829931972795</v>
          </cell>
          <cell r="BC333">
            <v>0.80647647887323948</v>
          </cell>
          <cell r="BG333">
            <v>1.6424397333333334</v>
          </cell>
          <cell r="BK333">
            <v>1.1788174545454546</v>
          </cell>
        </row>
        <row r="335">
          <cell r="A335" t="str">
            <v>SEASONALE</v>
          </cell>
        </row>
        <row r="336">
          <cell r="A336" t="str">
            <v>TRx</v>
          </cell>
          <cell r="AZ336">
            <v>1110</v>
          </cell>
          <cell r="BA336">
            <v>5822</v>
          </cell>
          <cell r="BB336">
            <v>10086</v>
          </cell>
          <cell r="BC336">
            <v>17018</v>
          </cell>
          <cell r="BD336">
            <v>13183</v>
          </cell>
          <cell r="BE336">
            <v>17270</v>
          </cell>
          <cell r="BF336">
            <v>25008</v>
          </cell>
          <cell r="BG336">
            <v>55461</v>
          </cell>
          <cell r="BH336">
            <v>27614</v>
          </cell>
          <cell r="BI336">
            <v>32190</v>
          </cell>
          <cell r="BJ336">
            <v>40296</v>
          </cell>
          <cell r="BK336">
            <v>100100</v>
          </cell>
          <cell r="BL336">
            <v>51607</v>
          </cell>
          <cell r="BM336">
            <v>59227</v>
          </cell>
          <cell r="BN336">
            <v>56045</v>
          </cell>
          <cell r="BO336">
            <v>166879</v>
          </cell>
        </row>
        <row r="337">
          <cell r="A337" t="str">
            <v xml:space="preserve">  % Change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0</v>
          </cell>
          <cell r="BJ337">
            <v>0</v>
          </cell>
          <cell r="BK337">
            <v>0</v>
          </cell>
          <cell r="BL337">
            <v>0</v>
          </cell>
          <cell r="BM337">
            <v>0</v>
          </cell>
          <cell r="BN337">
            <v>0</v>
          </cell>
          <cell r="BO337">
            <v>0</v>
          </cell>
        </row>
        <row r="338">
          <cell r="A338" t="str">
            <v>NRx</v>
          </cell>
          <cell r="AZ338">
            <v>1099</v>
          </cell>
          <cell r="BA338">
            <v>5768</v>
          </cell>
          <cell r="BB338">
            <v>9939</v>
          </cell>
          <cell r="BC338">
            <v>16806</v>
          </cell>
          <cell r="BD338">
            <v>12476</v>
          </cell>
          <cell r="BE338">
            <v>14650</v>
          </cell>
          <cell r="BF338">
            <v>21198</v>
          </cell>
          <cell r="BG338">
            <v>48324</v>
          </cell>
          <cell r="BH338">
            <v>22577</v>
          </cell>
          <cell r="BI338">
            <v>24426</v>
          </cell>
          <cell r="BJ338">
            <v>29430</v>
          </cell>
          <cell r="BK338">
            <v>76433</v>
          </cell>
          <cell r="BL338">
            <v>38930</v>
          </cell>
          <cell r="BM338">
            <v>43634</v>
          </cell>
          <cell r="BN338">
            <v>37596</v>
          </cell>
          <cell r="BO338">
            <v>120160</v>
          </cell>
        </row>
        <row r="339">
          <cell r="A339" t="str">
            <v xml:space="preserve">  % Change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0</v>
          </cell>
          <cell r="BJ339">
            <v>0</v>
          </cell>
          <cell r="BK339">
            <v>0</v>
          </cell>
          <cell r="BL339">
            <v>0</v>
          </cell>
          <cell r="BM339">
            <v>0</v>
          </cell>
          <cell r="BN339">
            <v>0</v>
          </cell>
          <cell r="BO339">
            <v>0</v>
          </cell>
        </row>
        <row r="340">
          <cell r="A340" t="str">
            <v>Total Market-33230</v>
          </cell>
          <cell r="AF340">
            <v>7448231</v>
          </cell>
          <cell r="AG340">
            <v>7446734</v>
          </cell>
          <cell r="AH340">
            <v>7050819</v>
          </cell>
          <cell r="AI340">
            <v>21945784</v>
          </cell>
          <cell r="AJ340">
            <v>7074383</v>
          </cell>
          <cell r="AK340">
            <v>7044049</v>
          </cell>
          <cell r="AL340">
            <v>7409277</v>
          </cell>
          <cell r="AM340">
            <v>21527709</v>
          </cell>
          <cell r="AN340">
            <v>7258278</v>
          </cell>
          <cell r="AO340">
            <v>6581590</v>
          </cell>
          <cell r="AP340">
            <v>7375950</v>
          </cell>
          <cell r="AQ340">
            <v>21215818</v>
          </cell>
          <cell r="AR340">
            <v>6922539</v>
          </cell>
          <cell r="AS340">
            <v>7298268</v>
          </cell>
          <cell r="AT340">
            <v>7197798</v>
          </cell>
          <cell r="AU340">
            <v>21418605</v>
          </cell>
          <cell r="AV340">
            <v>7183773</v>
          </cell>
          <cell r="AW340">
            <v>7273923</v>
          </cell>
          <cell r="AX340">
            <v>6976527</v>
          </cell>
          <cell r="AY340">
            <v>21434223</v>
          </cell>
          <cell r="AZ340">
            <v>7072414</v>
          </cell>
          <cell r="BA340">
            <v>6864939</v>
          </cell>
          <cell r="BB340">
            <v>7121864</v>
          </cell>
          <cell r="BC340">
            <v>21059217</v>
          </cell>
          <cell r="BD340">
            <v>7141627</v>
          </cell>
          <cell r="BE340">
            <v>6632546</v>
          </cell>
          <cell r="BF340">
            <v>7050009</v>
          </cell>
          <cell r="BG340">
            <v>20824182</v>
          </cell>
          <cell r="BH340">
            <v>6775597</v>
          </cell>
          <cell r="BI340">
            <v>6955720</v>
          </cell>
          <cell r="BJ340">
            <v>6908923</v>
          </cell>
          <cell r="BK340">
            <v>20640240</v>
          </cell>
          <cell r="BL340">
            <v>6947063</v>
          </cell>
          <cell r="BM340">
            <v>7013531</v>
          </cell>
          <cell r="BN340">
            <v>6596380</v>
          </cell>
          <cell r="BO340">
            <v>20556974</v>
          </cell>
        </row>
        <row r="341">
          <cell r="A341" t="str">
            <v>New Market-33230</v>
          </cell>
          <cell r="AF341">
            <v>2101354</v>
          </cell>
          <cell r="AG341">
            <v>2108533</v>
          </cell>
          <cell r="AH341">
            <v>1940832</v>
          </cell>
          <cell r="AI341">
            <v>6150719</v>
          </cell>
          <cell r="AJ341">
            <v>1958951</v>
          </cell>
          <cell r="AK341">
            <v>1872137</v>
          </cell>
          <cell r="AL341">
            <v>1955821</v>
          </cell>
          <cell r="AM341">
            <v>5786909</v>
          </cell>
          <cell r="AN341">
            <v>2108999</v>
          </cell>
          <cell r="AO341">
            <v>1855342</v>
          </cell>
          <cell r="AP341">
            <v>1999699</v>
          </cell>
          <cell r="AQ341">
            <v>5964040</v>
          </cell>
          <cell r="AR341">
            <v>1866743</v>
          </cell>
          <cell r="AS341">
            <v>1972206</v>
          </cell>
          <cell r="AT341">
            <v>1959874</v>
          </cell>
          <cell r="AU341">
            <v>5798823</v>
          </cell>
          <cell r="AV341">
            <v>1984789</v>
          </cell>
          <cell r="AW341">
            <v>1998372</v>
          </cell>
          <cell r="AX341">
            <v>1938047</v>
          </cell>
          <cell r="AY341">
            <v>5921208</v>
          </cell>
          <cell r="AZ341">
            <v>1899772</v>
          </cell>
          <cell r="BA341">
            <v>1733570</v>
          </cell>
          <cell r="BB341">
            <v>1839977</v>
          </cell>
          <cell r="BC341">
            <v>5473319</v>
          </cell>
          <cell r="BD341">
            <v>2178975</v>
          </cell>
          <cell r="BE341">
            <v>1893539</v>
          </cell>
          <cell r="BF341">
            <v>1964700</v>
          </cell>
          <cell r="BG341">
            <v>6037214</v>
          </cell>
          <cell r="BH341">
            <v>1820260</v>
          </cell>
          <cell r="BI341">
            <v>1867245</v>
          </cell>
          <cell r="BJ341">
            <v>1918865</v>
          </cell>
          <cell r="BK341">
            <v>5606370</v>
          </cell>
          <cell r="BL341">
            <v>1925495</v>
          </cell>
          <cell r="BM341">
            <v>2018059</v>
          </cell>
          <cell r="BN341">
            <v>1895373</v>
          </cell>
          <cell r="BO341">
            <v>5838927</v>
          </cell>
        </row>
        <row r="342">
          <cell r="A342" t="str">
            <v>TRx Market Growth</v>
          </cell>
          <cell r="AV342">
            <v>-3.5506149043981083E-2</v>
          </cell>
          <cell r="AW342">
            <v>-2.3206280766843612E-2</v>
          </cell>
          <cell r="AX342">
            <v>-1.0536648295751183E-2</v>
          </cell>
          <cell r="AY342">
            <v>-2.3310217579832204E-2</v>
          </cell>
          <cell r="AZ342">
            <v>-2.7832815950168399E-4</v>
          </cell>
          <cell r="BA342">
            <v>-2.5427137147967072E-2</v>
          </cell>
          <cell r="BB342">
            <v>-3.879096435455176E-2</v>
          </cell>
          <cell r="BC342">
            <v>-2.1762278559227966E-2</v>
          </cell>
          <cell r="BD342">
            <v>-1.6071442840850159E-2</v>
          </cell>
          <cell r="BE342">
            <v>7.742202112255514E-3</v>
          </cell>
          <cell r="BF342">
            <v>-4.4189697598275512E-2</v>
          </cell>
          <cell r="BG342">
            <v>-1.8459622909661078E-2</v>
          </cell>
          <cell r="BH342">
            <v>-2.1226604862753407E-2</v>
          </cell>
          <cell r="BI342">
            <v>-4.6935519495858502E-2</v>
          </cell>
          <cell r="BJ342">
            <v>-4.0133802032232602E-2</v>
          </cell>
          <cell r="BK342">
            <v>-3.6340602013996692E-2</v>
          </cell>
          <cell r="BL342">
            <v>-3.2950651419525689E-2</v>
          </cell>
          <cell r="BM342">
            <v>-3.5798014358964236E-2</v>
          </cell>
          <cell r="BN342">
            <v>-5.4489432922713577E-2</v>
          </cell>
          <cell r="BO342">
            <v>-4.0927492449807978E-2</v>
          </cell>
        </row>
        <row r="343">
          <cell r="A343" t="str">
            <v>NRx Market Growth</v>
          </cell>
          <cell r="AV343">
            <v>-5.5471377026431568E-2</v>
          </cell>
          <cell r="AW343">
            <v>-5.2245328861345808E-2</v>
          </cell>
          <cell r="AX343">
            <v>-1.4349516083823621E-3</v>
          </cell>
          <cell r="AY343">
            <v>-3.7314499329265449E-2</v>
          </cell>
          <cell r="AZ343">
            <v>-3.0209535613703431E-2</v>
          </cell>
          <cell r="BA343">
            <v>-7.4015416606797446E-2</v>
          </cell>
          <cell r="BB343">
            <v>-5.9230369241356939E-2</v>
          </cell>
          <cell r="BC343">
            <v>-5.4189550932976505E-2</v>
          </cell>
          <cell r="BD343">
            <v>3.3179721754253988E-2</v>
          </cell>
          <cell r="BE343">
            <v>2.0587579001607237E-2</v>
          </cell>
          <cell r="BF343">
            <v>-1.7502134071177733E-2</v>
          </cell>
          <cell r="BG343">
            <v>1.2269200072434039E-2</v>
          </cell>
          <cell r="BH343">
            <v>-2.4900588886633046E-2</v>
          </cell>
          <cell r="BI343">
            <v>-5.3220099725890702E-2</v>
          </cell>
          <cell r="BJ343">
            <v>-2.0924304317522457E-2</v>
          </cell>
          <cell r="BK343">
            <v>-3.318828665748208E-2</v>
          </cell>
          <cell r="BL343">
            <v>-2.9874208291158388E-2</v>
          </cell>
          <cell r="BM343">
            <v>9.8515191365771138E-3</v>
          </cell>
          <cell r="BN343">
            <v>-2.2019073840830461E-2</v>
          </cell>
          <cell r="BO343">
            <v>-1.3895982036097987E-2</v>
          </cell>
        </row>
        <row r="344">
          <cell r="A344" t="str">
            <v>TRx Market Share</v>
          </cell>
          <cell r="AZ344">
            <v>1.5694782573531471E-4</v>
          </cell>
          <cell r="BA344">
            <v>8.4807745560448538E-4</v>
          </cell>
          <cell r="BB344">
            <v>1.416202275134712E-3</v>
          </cell>
          <cell r="BC344">
            <v>8.0810221956495345E-4</v>
          </cell>
          <cell r="BD344">
            <v>1.845937907426417E-3</v>
          </cell>
          <cell r="BE344">
            <v>2.6038266451525551E-3</v>
          </cell>
          <cell r="BF344">
            <v>3.5472295141750882E-3</v>
          </cell>
          <cell r="BG344">
            <v>2.6632978908847416E-3</v>
          </cell>
          <cell r="BH344">
            <v>4.0755080327239063E-3</v>
          </cell>
          <cell r="BI344">
            <v>4.6278458592352769E-3</v>
          </cell>
          <cell r="BJ344">
            <v>5.8324575335403214E-3</v>
          </cell>
          <cell r="BK344">
            <v>4.8497498091107467E-3</v>
          </cell>
          <cell r="BL344">
            <v>7.4286068803464137E-3</v>
          </cell>
          <cell r="BM344">
            <v>8.4446764404406283E-3</v>
          </cell>
          <cell r="BN344">
            <v>8.4963267731695269E-3</v>
          </cell>
          <cell r="BO344">
            <v>8.117877660398851E-3</v>
          </cell>
        </row>
        <row r="345">
          <cell r="A345" t="str">
            <v>NRx Market Share</v>
          </cell>
          <cell r="AZ345">
            <v>5.7849047148815752E-4</v>
          </cell>
          <cell r="BA345">
            <v>3.3272380117330136E-3</v>
          </cell>
          <cell r="BB345">
            <v>5.4016979560070587E-3</v>
          </cell>
          <cell r="BC345">
            <v>3.0705317925010401E-3</v>
          </cell>
          <cell r="BD345">
            <v>5.7256278754919173E-3</v>
          </cell>
          <cell r="BE345">
            <v>7.736835628946644E-3</v>
          </cell>
          <cell r="BF345">
            <v>1.0789433501297909E-2</v>
          </cell>
          <cell r="BG345">
            <v>8.004354326349869E-3</v>
          </cell>
          <cell r="BH345">
            <v>1.2403173173063189E-2</v>
          </cell>
          <cell r="BI345">
            <v>1.3081304274479247E-2</v>
          </cell>
          <cell r="BJ345">
            <v>1.5337191516860227E-2</v>
          </cell>
          <cell r="BK345">
            <v>1.3633242187012274E-2</v>
          </cell>
          <cell r="BL345">
            <v>2.0218177663406032E-2</v>
          </cell>
          <cell r="BM345">
            <v>2.1621766261541411E-2</v>
          </cell>
          <cell r="BN345">
            <v>1.9835673505953711E-2</v>
          </cell>
          <cell r="BO345">
            <v>2.0579123527319318E-2</v>
          </cell>
        </row>
        <row r="346">
          <cell r="A346" t="str">
            <v>Price Change (YoY)</v>
          </cell>
          <cell r="BC346">
            <v>0</v>
          </cell>
          <cell r="BG346">
            <v>0</v>
          </cell>
          <cell r="BK346">
            <v>0</v>
          </cell>
          <cell r="BO346">
            <v>0</v>
          </cell>
        </row>
        <row r="348">
          <cell r="A348" t="str">
            <v xml:space="preserve">TRx + Seasonale Price Change </v>
          </cell>
          <cell r="BC348">
            <v>0</v>
          </cell>
          <cell r="BG348">
            <v>0</v>
          </cell>
        </row>
        <row r="350">
          <cell r="A350" t="str">
            <v xml:space="preserve">TOTAL SEASONALE REPORTED SALES </v>
          </cell>
          <cell r="BC350">
            <v>2.5</v>
          </cell>
          <cell r="BG350">
            <v>15</v>
          </cell>
          <cell r="BK350">
            <v>7</v>
          </cell>
          <cell r="BO350">
            <v>16</v>
          </cell>
        </row>
        <row r="351">
          <cell r="A351" t="str">
            <v xml:space="preserve">  % Change</v>
          </cell>
          <cell r="BC351">
            <v>0</v>
          </cell>
          <cell r="BG351">
            <v>0</v>
          </cell>
          <cell r="BK351">
            <v>0</v>
          </cell>
        </row>
        <row r="352">
          <cell r="AO352" t="str">
            <v xml:space="preserve"> </v>
          </cell>
        </row>
        <row r="353">
          <cell r="A353" t="str">
            <v>TOTAL SEASONALE SALES (IMS)</v>
          </cell>
          <cell r="AZ353">
            <v>3.177273</v>
          </cell>
          <cell r="BA353">
            <v>5.1208600000000004</v>
          </cell>
          <cell r="BB353">
            <v>2.5114969999999999</v>
          </cell>
          <cell r="BC353">
            <v>10.80963</v>
          </cell>
          <cell r="BD353">
            <v>2.3063669999999998</v>
          </cell>
          <cell r="BE353">
            <v>2.6408390000000002</v>
          </cell>
          <cell r="BF353">
            <v>4.395829</v>
          </cell>
          <cell r="BG353">
            <v>9.3430350000000004</v>
          </cell>
          <cell r="BH353">
            <v>3.9196279999999999</v>
          </cell>
          <cell r="BI353">
            <v>4.3135349999999999</v>
          </cell>
          <cell r="BJ353">
            <v>6.3233519999999999</v>
          </cell>
          <cell r="BK353">
            <v>14.556514999999999</v>
          </cell>
          <cell r="BL353">
            <v>7.1282560000000004</v>
          </cell>
          <cell r="BM353">
            <v>8.3588869999999993</v>
          </cell>
        </row>
        <row r="354">
          <cell r="A354" t="str">
            <v xml:space="preserve">  % Change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</row>
        <row r="356">
          <cell r="A356" t="str">
            <v>REPORTED SALES/TRx SEASONALE</v>
          </cell>
          <cell r="BC356">
            <v>146.90327888118463</v>
          </cell>
          <cell r="BG356">
            <v>270.46032347054688</v>
          </cell>
          <cell r="BK356">
            <v>69.930069930069934</v>
          </cell>
          <cell r="BO356">
            <v>95.877851617039894</v>
          </cell>
        </row>
        <row r="357">
          <cell r="A357" t="str">
            <v>IMS SALES/REPORTED SALES</v>
          </cell>
          <cell r="BC357">
            <v>4.3238520000000005</v>
          </cell>
          <cell r="BG357">
            <v>0.62286900000000001</v>
          </cell>
          <cell r="BK357">
            <v>2.0795021428571427</v>
          </cell>
        </row>
        <row r="359">
          <cell r="A359" t="str">
            <v>PLAN B</v>
          </cell>
        </row>
        <row r="360">
          <cell r="A360" t="str">
            <v>TRx</v>
          </cell>
          <cell r="AB360">
            <v>7827</v>
          </cell>
          <cell r="AC360">
            <v>8914</v>
          </cell>
          <cell r="AD360">
            <v>9546</v>
          </cell>
          <cell r="AE360">
            <v>26287</v>
          </cell>
          <cell r="AF360">
            <v>10813</v>
          </cell>
          <cell r="AG360">
            <v>11470</v>
          </cell>
          <cell r="AH360">
            <v>11718</v>
          </cell>
          <cell r="AI360">
            <v>34001</v>
          </cell>
          <cell r="AJ360">
            <v>11930</v>
          </cell>
          <cell r="AK360">
            <v>12495</v>
          </cell>
          <cell r="AL360">
            <v>12866</v>
          </cell>
          <cell r="AM360">
            <v>37291</v>
          </cell>
          <cell r="AN360">
            <v>14260</v>
          </cell>
          <cell r="AO360">
            <v>13019</v>
          </cell>
          <cell r="AP360">
            <v>15896</v>
          </cell>
          <cell r="AQ360">
            <v>43175</v>
          </cell>
          <cell r="AR360">
            <v>16549</v>
          </cell>
          <cell r="AS360">
            <v>18446</v>
          </cell>
          <cell r="AT360">
            <v>19604</v>
          </cell>
          <cell r="AU360">
            <v>54599</v>
          </cell>
          <cell r="AV360">
            <v>21407</v>
          </cell>
          <cell r="AW360">
            <v>21605</v>
          </cell>
          <cell r="AX360">
            <v>21316</v>
          </cell>
          <cell r="AY360">
            <v>64328</v>
          </cell>
          <cell r="AZ360">
            <v>21668</v>
          </cell>
          <cell r="BA360">
            <v>23020</v>
          </cell>
          <cell r="BB360">
            <v>25720</v>
          </cell>
          <cell r="BC360">
            <v>70408</v>
          </cell>
          <cell r="BD360">
            <v>30334</v>
          </cell>
          <cell r="BE360">
            <v>29002</v>
          </cell>
          <cell r="BF360">
            <v>31330</v>
          </cell>
          <cell r="BG360">
            <v>90666</v>
          </cell>
          <cell r="BH360">
            <v>29660</v>
          </cell>
          <cell r="BI360">
            <v>33245</v>
          </cell>
          <cell r="BJ360">
            <v>37638</v>
          </cell>
          <cell r="BK360">
            <v>100543</v>
          </cell>
          <cell r="BL360">
            <v>40856</v>
          </cell>
          <cell r="BM360">
            <v>44062</v>
          </cell>
          <cell r="BN360">
            <v>41608</v>
          </cell>
          <cell r="BO360">
            <v>126526</v>
          </cell>
        </row>
        <row r="361">
          <cell r="A361" t="str">
            <v xml:space="preserve">  % Change</v>
          </cell>
          <cell r="AU361">
            <v>1.0770342754973941</v>
          </cell>
          <cell r="AV361">
            <v>0.9797466013132341</v>
          </cell>
          <cell r="AW361">
            <v>0.88360941586748032</v>
          </cell>
          <cell r="AX361">
            <v>0.81908175456562549</v>
          </cell>
          <cell r="AY361">
            <v>0.89194435457780652</v>
          </cell>
          <cell r="AZ361">
            <v>0.81626152556580056</v>
          </cell>
          <cell r="BA361">
            <v>0.84233693477390958</v>
          </cell>
          <cell r="BB361">
            <v>0.99906730918700459</v>
          </cell>
          <cell r="BC361">
            <v>0.88806950738784152</v>
          </cell>
          <cell r="BD361">
            <v>1.1272089761570827</v>
          </cell>
          <cell r="BE361">
            <v>1.2276672555495813</v>
          </cell>
          <cell r="BF361">
            <v>0.97093608454957225</v>
          </cell>
          <cell r="BG361">
            <v>1.0999652576722641</v>
          </cell>
          <cell r="BH361">
            <v>0.79225330835700047</v>
          </cell>
          <cell r="BI361">
            <v>0.80228775886371029</v>
          </cell>
          <cell r="BJ361">
            <v>0.91991430320342782</v>
          </cell>
          <cell r="BK361">
            <v>0.8414806131980439</v>
          </cell>
          <cell r="BL361">
            <v>0.90853459148876525</v>
          </cell>
          <cell r="BM361">
            <v>1.0394353158990972</v>
          </cell>
          <cell r="BN361">
            <v>0.95196096828673293</v>
          </cell>
          <cell r="BO361">
            <v>0.96688844671060803</v>
          </cell>
        </row>
        <row r="362">
          <cell r="A362" t="str">
            <v>NRx</v>
          </cell>
          <cell r="AB362">
            <v>7543</v>
          </cell>
          <cell r="AC362">
            <v>8596</v>
          </cell>
          <cell r="AD362">
            <v>9164</v>
          </cell>
          <cell r="AE362">
            <v>25303</v>
          </cell>
          <cell r="AF362">
            <v>10371</v>
          </cell>
          <cell r="AG362">
            <v>10956</v>
          </cell>
          <cell r="AH362">
            <v>11122</v>
          </cell>
          <cell r="AI362">
            <v>32449</v>
          </cell>
          <cell r="AJ362">
            <v>11315</v>
          </cell>
          <cell r="AK362">
            <v>11885</v>
          </cell>
          <cell r="AL362">
            <v>12095</v>
          </cell>
          <cell r="AM362">
            <v>35295</v>
          </cell>
          <cell r="AN362">
            <v>13428</v>
          </cell>
          <cell r="AO362">
            <v>12175</v>
          </cell>
          <cell r="AP362">
            <v>14885</v>
          </cell>
          <cell r="AQ362">
            <v>40488</v>
          </cell>
          <cell r="AR362">
            <v>15510</v>
          </cell>
          <cell r="AS362">
            <v>17300</v>
          </cell>
          <cell r="AT362">
            <v>18356</v>
          </cell>
          <cell r="AU362">
            <v>51166</v>
          </cell>
          <cell r="AV362">
            <v>20076</v>
          </cell>
          <cell r="AW362">
            <v>20227</v>
          </cell>
          <cell r="AX362">
            <v>19910</v>
          </cell>
          <cell r="AY362">
            <v>60213</v>
          </cell>
          <cell r="AZ362">
            <v>20097</v>
          </cell>
          <cell r="BA362">
            <v>21552</v>
          </cell>
          <cell r="BB362">
            <v>24186</v>
          </cell>
          <cell r="BC362">
            <v>65835</v>
          </cell>
          <cell r="BD362">
            <v>28520</v>
          </cell>
          <cell r="BE362">
            <v>27309</v>
          </cell>
          <cell r="BF362">
            <v>29332</v>
          </cell>
          <cell r="BG362">
            <v>85161</v>
          </cell>
          <cell r="BH362">
            <v>27898</v>
          </cell>
          <cell r="BI362">
            <v>31366</v>
          </cell>
          <cell r="BJ362">
            <v>35432</v>
          </cell>
          <cell r="BK362">
            <v>94696</v>
          </cell>
          <cell r="BL362">
            <v>38578</v>
          </cell>
          <cell r="BM362">
            <v>41666</v>
          </cell>
          <cell r="BN362">
            <v>39347</v>
          </cell>
          <cell r="BO362">
            <v>119591</v>
          </cell>
        </row>
        <row r="363">
          <cell r="A363" t="str">
            <v xml:space="preserve">  % Change</v>
          </cell>
          <cell r="AU363">
            <v>1.0221317630320517</v>
          </cell>
          <cell r="AV363">
            <v>0.93578247035001438</v>
          </cell>
          <cell r="AW363">
            <v>0.84620299379335528</v>
          </cell>
          <cell r="AX363">
            <v>0.79014565725588914</v>
          </cell>
          <cell r="AY363">
            <v>0.85561958766063673</v>
          </cell>
          <cell r="AZ363">
            <v>0.7761378700839594</v>
          </cell>
          <cell r="BA363">
            <v>0.81337820782498937</v>
          </cell>
          <cell r="BB363">
            <v>0.99966928482844142</v>
          </cell>
          <cell r="BC363">
            <v>0.86527836804079894</v>
          </cell>
          <cell r="BD363">
            <v>1.1239201668156094</v>
          </cell>
          <cell r="BE363">
            <v>1.2430390143737164</v>
          </cell>
          <cell r="BF363">
            <v>0.97057440376217663</v>
          </cell>
          <cell r="BG363">
            <v>1.1033639596917606</v>
          </cell>
          <cell r="BH363">
            <v>0.79871050934880716</v>
          </cell>
          <cell r="BI363">
            <v>0.81306358381502886</v>
          </cell>
          <cell r="BJ363">
            <v>0.93026803225103505</v>
          </cell>
          <cell r="BK363">
            <v>0.85076027049212377</v>
          </cell>
          <cell r="BL363">
            <v>0.92159792787407846</v>
          </cell>
          <cell r="BM363">
            <v>1.0599199090324811</v>
          </cell>
          <cell r="BN363">
            <v>0.97624309392265185</v>
          </cell>
          <cell r="BO363">
            <v>0.98613256273562189</v>
          </cell>
        </row>
        <row r="364">
          <cell r="A364" t="str">
            <v>Sales (IMS)</v>
          </cell>
          <cell r="AB364">
            <v>0.15301899999999999</v>
          </cell>
          <cell r="AC364">
            <v>0.15926000000000001</v>
          </cell>
          <cell r="AD364">
            <v>0.22980200000000001</v>
          </cell>
          <cell r="AE364">
            <v>0.54208100000000004</v>
          </cell>
          <cell r="AF364">
            <v>0.198909</v>
          </cell>
          <cell r="AG364">
            <v>0.211308</v>
          </cell>
          <cell r="AH364">
            <v>0.25778699999999999</v>
          </cell>
          <cell r="AI364">
            <v>0.66800400000000004</v>
          </cell>
          <cell r="AJ364">
            <v>0.22428200000000001</v>
          </cell>
          <cell r="AK364">
            <v>0.222275</v>
          </cell>
          <cell r="AL364">
            <v>0.282115</v>
          </cell>
          <cell r="AM364">
            <v>0.72867199999999999</v>
          </cell>
          <cell r="AN364">
            <v>0.25896000000000002</v>
          </cell>
          <cell r="AO364">
            <v>0.25451299999999999</v>
          </cell>
          <cell r="AP364">
            <v>0.36949399999999999</v>
          </cell>
          <cell r="AQ364">
            <v>0.88296700000000006</v>
          </cell>
          <cell r="AR364">
            <v>0.30221700000000001</v>
          </cell>
          <cell r="AS364">
            <v>0.31604300000000002</v>
          </cell>
          <cell r="AT364">
            <v>0.44984499999999999</v>
          </cell>
          <cell r="AU364">
            <v>1.0681050000000001</v>
          </cell>
          <cell r="AV364">
            <v>0.355659</v>
          </cell>
          <cell r="AW364">
            <v>0.38309900000000002</v>
          </cell>
          <cell r="AX364">
            <v>0.45745400000000003</v>
          </cell>
          <cell r="AY364">
            <v>1.1962120000000001</v>
          </cell>
          <cell r="AZ364">
            <v>0.37554999999999999</v>
          </cell>
          <cell r="BA364">
            <v>0.39652100000000001</v>
          </cell>
          <cell r="BB364">
            <v>0.531586</v>
          </cell>
          <cell r="BC364">
            <v>1.3036570000000001</v>
          </cell>
          <cell r="BD364">
            <v>0.53926700000000005</v>
          </cell>
          <cell r="BE364">
            <v>0.52048899999999998</v>
          </cell>
          <cell r="BF364">
            <v>0.55041899999999999</v>
          </cell>
          <cell r="BG364">
            <v>1.6101749999999999</v>
          </cell>
          <cell r="BH364">
            <v>0.62994300000000003</v>
          </cell>
          <cell r="BI364">
            <v>0.68883099999999997</v>
          </cell>
          <cell r="BJ364">
            <v>0.98142200000000002</v>
          </cell>
          <cell r="BK364">
            <v>2.3001960000000001</v>
          </cell>
          <cell r="BL364">
            <v>0.837198</v>
          </cell>
          <cell r="BM364">
            <v>0.902617</v>
          </cell>
        </row>
        <row r="365">
          <cell r="A365" t="str">
            <v xml:space="preserve">  % Change</v>
          </cell>
          <cell r="AU365">
            <v>0.97037896550515512</v>
          </cell>
          <cell r="AV365">
            <v>0.78804880623802842</v>
          </cell>
          <cell r="AW365">
            <v>0.81298862324190302</v>
          </cell>
          <cell r="AX365">
            <v>0.7745425486933013</v>
          </cell>
          <cell r="AY365">
            <v>0.79072580403710147</v>
          </cell>
          <cell r="AZ365">
            <v>0.67445448141179409</v>
          </cell>
          <cell r="BA365">
            <v>0.78392081880553377</v>
          </cell>
          <cell r="BB365">
            <v>0.88428832213813524</v>
          </cell>
          <cell r="BC365">
            <v>0.78908617320275809</v>
          </cell>
          <cell r="BD365">
            <v>1.0824335804757492</v>
          </cell>
          <cell r="BE365">
            <v>1.0450389567527001</v>
          </cell>
          <cell r="BF365">
            <v>0.48965612432136929</v>
          </cell>
          <cell r="BG365">
            <v>0.82359589882747586</v>
          </cell>
          <cell r="BH365">
            <v>1.0844062379019048</v>
          </cell>
          <cell r="BI365">
            <v>1.1795483525975894</v>
          </cell>
          <cell r="BJ365">
            <v>1.1816892485189343</v>
          </cell>
          <cell r="BK365">
            <v>1.153529849593439</v>
          </cell>
          <cell r="BL365">
            <v>1.3539345271735006</v>
          </cell>
          <cell r="BM365">
            <v>1.3560933335769603</v>
          </cell>
        </row>
        <row r="367">
          <cell r="A367" t="str">
            <v>PREVEN</v>
          </cell>
        </row>
        <row r="368">
          <cell r="A368" t="str">
            <v>TRx</v>
          </cell>
          <cell r="P368">
            <v>10380</v>
          </cell>
          <cell r="Q368">
            <v>9876</v>
          </cell>
          <cell r="R368">
            <v>8810</v>
          </cell>
          <cell r="T368">
            <v>10029</v>
          </cell>
          <cell r="U368">
            <v>9605</v>
          </cell>
          <cell r="V368">
            <v>9519</v>
          </cell>
          <cell r="X368">
            <v>10614</v>
          </cell>
          <cell r="Y368">
            <v>9369</v>
          </cell>
          <cell r="Z368">
            <v>10203</v>
          </cell>
          <cell r="AB368">
            <v>11294</v>
          </cell>
          <cell r="AC368">
            <v>11239</v>
          </cell>
          <cell r="AD368">
            <v>10698</v>
          </cell>
          <cell r="AF368">
            <v>11729</v>
          </cell>
          <cell r="AG368">
            <v>11175</v>
          </cell>
          <cell r="AH368">
            <v>10521</v>
          </cell>
          <cell r="AI368">
            <v>33425</v>
          </cell>
          <cell r="AJ368">
            <v>10424</v>
          </cell>
          <cell r="AK368">
            <v>10669</v>
          </cell>
          <cell r="AL368">
            <v>10898</v>
          </cell>
          <cell r="AM368">
            <v>31991</v>
          </cell>
          <cell r="AN368">
            <v>11308</v>
          </cell>
          <cell r="AO368">
            <v>9971</v>
          </cell>
          <cell r="AP368">
            <v>11683</v>
          </cell>
          <cell r="AQ368">
            <v>32962</v>
          </cell>
          <cell r="AR368">
            <v>11218</v>
          </cell>
          <cell r="AS368">
            <v>12487</v>
          </cell>
          <cell r="AT368">
            <v>12238</v>
          </cell>
          <cell r="AU368">
            <v>35943</v>
          </cell>
          <cell r="AV368">
            <v>12761</v>
          </cell>
          <cell r="AW368">
            <v>12455</v>
          </cell>
          <cell r="AX368">
            <v>12036</v>
          </cell>
          <cell r="AY368">
            <v>37252</v>
          </cell>
          <cell r="AZ368">
            <v>11748</v>
          </cell>
          <cell r="BA368">
            <v>11743</v>
          </cell>
          <cell r="BB368">
            <v>11799</v>
          </cell>
          <cell r="BC368">
            <v>35290</v>
          </cell>
          <cell r="BD368">
            <v>13203</v>
          </cell>
          <cell r="BE368">
            <v>11661</v>
          </cell>
          <cell r="BF368">
            <v>13413</v>
          </cell>
          <cell r="BG368">
            <v>38277</v>
          </cell>
          <cell r="BH368">
            <v>12576</v>
          </cell>
          <cell r="BI368">
            <v>11068</v>
          </cell>
          <cell r="BJ368">
            <v>8245</v>
          </cell>
          <cell r="BK368">
            <v>31889</v>
          </cell>
          <cell r="BL368">
            <v>5305</v>
          </cell>
          <cell r="BM368">
            <v>3705</v>
          </cell>
          <cell r="BN368">
            <v>2522</v>
          </cell>
          <cell r="BO368">
            <v>11532</v>
          </cell>
        </row>
        <row r="369">
          <cell r="A369" t="str">
            <v xml:space="preserve">  % Change</v>
          </cell>
          <cell r="AF369">
            <v>0.12996146435452793</v>
          </cell>
          <cell r="AG369">
            <v>0.13153098420413123</v>
          </cell>
          <cell r="AH369">
            <v>0.19421112372304195</v>
          </cell>
          <cell r="AJ369">
            <v>3.938578123442027E-2</v>
          </cell>
          <cell r="AK369">
            <v>0.11077563768870391</v>
          </cell>
          <cell r="AL369">
            <v>0.144868158420002</v>
          </cell>
          <cell r="AN369">
            <v>6.5385340116826729E-2</v>
          </cell>
          <cell r="AO369">
            <v>6.4254456185292019E-2</v>
          </cell>
          <cell r="AP369">
            <v>0.1450553758698423</v>
          </cell>
          <cell r="AR369">
            <v>-6.7292367628829508E-3</v>
          </cell>
          <cell r="AS369">
            <v>0.11104190764302868</v>
          </cell>
          <cell r="AT369">
            <v>0.14395214058702566</v>
          </cell>
          <cell r="AV369">
            <v>8.7987040668428662E-2</v>
          </cell>
          <cell r="AW369">
            <v>0.11454138702460859</v>
          </cell>
          <cell r="AX369">
            <v>0.14399771884801815</v>
          </cell>
          <cell r="AY369">
            <v>0.11449513836948388</v>
          </cell>
          <cell r="AZ369">
            <v>0.12701458173445901</v>
          </cell>
          <cell r="BA369">
            <v>0.10066547942637549</v>
          </cell>
          <cell r="BB369">
            <v>8.2675720315654289E-2</v>
          </cell>
          <cell r="BC369">
            <v>0.10312275327435838</v>
          </cell>
          <cell r="BD369">
            <v>0.16758047400070741</v>
          </cell>
          <cell r="BE369">
            <v>0.16949152542372881</v>
          </cell>
          <cell r="BF369">
            <v>0.14807840451938725</v>
          </cell>
          <cell r="BG369">
            <v>0.16124628359929627</v>
          </cell>
          <cell r="BH369">
            <v>0.12105544660367262</v>
          </cell>
          <cell r="BI369">
            <v>-0.11363818371105949</v>
          </cell>
          <cell r="BJ369">
            <v>-0.32627880372609908</v>
          </cell>
          <cell r="BK369">
            <v>-0.11278969479453582</v>
          </cell>
          <cell r="BL369">
            <v>-0.58428022882219266</v>
          </cell>
          <cell r="BM369">
            <v>-0.70252910477719799</v>
          </cell>
          <cell r="BN369">
            <v>-0.79046194749086074</v>
          </cell>
          <cell r="BO369">
            <v>-0.69043272844411041</v>
          </cell>
        </row>
        <row r="370">
          <cell r="A370" t="str">
            <v>NRx</v>
          </cell>
          <cell r="P370">
            <v>10077</v>
          </cell>
          <cell r="Q370">
            <v>9589</v>
          </cell>
          <cell r="R370">
            <v>8551</v>
          </cell>
          <cell r="T370">
            <v>9747</v>
          </cell>
          <cell r="U370">
            <v>9315</v>
          </cell>
          <cell r="V370">
            <v>9221</v>
          </cell>
          <cell r="X370">
            <v>10258</v>
          </cell>
          <cell r="Y370">
            <v>9091</v>
          </cell>
          <cell r="Z370">
            <v>9861</v>
          </cell>
          <cell r="AB370">
            <v>10959</v>
          </cell>
          <cell r="AC370">
            <v>10882</v>
          </cell>
          <cell r="AD370">
            <v>10397</v>
          </cell>
          <cell r="AF370">
            <v>11300</v>
          </cell>
          <cell r="AG370">
            <v>10801</v>
          </cell>
          <cell r="AH370">
            <v>10137</v>
          </cell>
          <cell r="AI370">
            <v>32238</v>
          </cell>
          <cell r="AJ370">
            <v>10046</v>
          </cell>
          <cell r="AK370">
            <v>10330</v>
          </cell>
          <cell r="AL370">
            <v>10475</v>
          </cell>
          <cell r="AM370">
            <v>30851</v>
          </cell>
          <cell r="AN370">
            <v>10920</v>
          </cell>
          <cell r="AO370">
            <v>9615</v>
          </cell>
          <cell r="AP370">
            <v>11263</v>
          </cell>
          <cell r="AQ370">
            <v>31798</v>
          </cell>
          <cell r="AR370">
            <v>10776</v>
          </cell>
          <cell r="AS370">
            <v>12057</v>
          </cell>
          <cell r="AT370">
            <v>11771</v>
          </cell>
          <cell r="AU370">
            <v>34604</v>
          </cell>
          <cell r="AV370">
            <v>12271</v>
          </cell>
          <cell r="AW370">
            <v>12072</v>
          </cell>
          <cell r="AX370">
            <v>11604</v>
          </cell>
          <cell r="AY370">
            <v>35947</v>
          </cell>
          <cell r="AZ370">
            <v>11343</v>
          </cell>
          <cell r="BA370">
            <v>11301</v>
          </cell>
          <cell r="BB370">
            <v>11282</v>
          </cell>
          <cell r="BC370">
            <v>33926</v>
          </cell>
          <cell r="BD370">
            <v>12654</v>
          </cell>
          <cell r="BE370">
            <v>11240</v>
          </cell>
          <cell r="BF370">
            <v>12907</v>
          </cell>
          <cell r="BG370">
            <v>36801</v>
          </cell>
          <cell r="BH370">
            <v>12069</v>
          </cell>
          <cell r="BI370">
            <v>10690</v>
          </cell>
          <cell r="BJ370">
            <v>7949</v>
          </cell>
          <cell r="BK370">
            <v>30708</v>
          </cell>
          <cell r="BL370">
            <v>5144</v>
          </cell>
          <cell r="BM370">
            <v>3570</v>
          </cell>
          <cell r="BN370">
            <v>2467</v>
          </cell>
          <cell r="BO370">
            <v>11181</v>
          </cell>
        </row>
        <row r="371">
          <cell r="A371" t="str">
            <v xml:space="preserve">  % Change</v>
          </cell>
          <cell r="AF371">
            <v>0.12136548575965067</v>
          </cell>
          <cell r="AG371">
            <v>0.12639482740640307</v>
          </cell>
          <cell r="AH371">
            <v>0.18547538299614086</v>
          </cell>
          <cell r="AJ371">
            <v>3.0676105468349313E-2</v>
          </cell>
          <cell r="AK371">
            <v>0.10896403650026842</v>
          </cell>
          <cell r="AL371">
            <v>0.13599392690597556</v>
          </cell>
          <cell r="AN371">
            <v>6.4534997075453404E-2</v>
          </cell>
          <cell r="AO371">
            <v>5.7639423605764017E-2</v>
          </cell>
          <cell r="AP371">
            <v>0.14217624987323796</v>
          </cell>
          <cell r="AR371">
            <v>-1.6698603887216001E-2</v>
          </cell>
          <cell r="AS371">
            <v>0.1079764749126999</v>
          </cell>
          <cell r="AT371">
            <v>0.13215350581898622</v>
          </cell>
          <cell r="AV371">
            <v>8.5929203539822918E-2</v>
          </cell>
          <cell r="AW371">
            <v>0.11767428941764657</v>
          </cell>
          <cell r="AX371">
            <v>0.14471737200355128</v>
          </cell>
          <cell r="AY371">
            <v>0.11505056144922143</v>
          </cell>
          <cell r="AZ371">
            <v>0.12910611188532739</v>
          </cell>
          <cell r="BA371">
            <v>9.3998063891577832E-2</v>
          </cell>
          <cell r="BB371">
            <v>7.7040572792362871E-2</v>
          </cell>
          <cell r="BC371">
            <v>9.9672620012317248E-2</v>
          </cell>
          <cell r="BD371">
            <v>0.15879120879120889</v>
          </cell>
          <cell r="BE371">
            <v>0.16900676027041084</v>
          </cell>
          <cell r="BF371">
            <v>0.14596466305602407</v>
          </cell>
          <cell r="BG371">
            <v>0.15733693943015292</v>
          </cell>
          <cell r="BH371">
            <v>0.11998886414253906</v>
          </cell>
          <cell r="BI371">
            <v>-0.11337812059384589</v>
          </cell>
          <cell r="BJ371">
            <v>-0.32469628748619483</v>
          </cell>
          <cell r="BK371">
            <v>-0.11258814009941043</v>
          </cell>
          <cell r="BL371">
            <v>-0.58080026077744273</v>
          </cell>
          <cell r="BM371">
            <v>-0.70427435387673953</v>
          </cell>
          <cell r="BN371">
            <v>-0.78740089624267495</v>
          </cell>
          <cell r="BO371">
            <v>-0.68895874481876096</v>
          </cell>
        </row>
        <row r="372">
          <cell r="A372" t="str">
            <v>Sales (IMS)</v>
          </cell>
          <cell r="P372">
            <v>0.193769</v>
          </cell>
          <cell r="Q372">
            <v>0.184618</v>
          </cell>
          <cell r="R372">
            <v>0.223854</v>
          </cell>
          <cell r="T372">
            <v>0.17406099999999999</v>
          </cell>
          <cell r="U372">
            <v>0.16328400000000001</v>
          </cell>
          <cell r="V372">
            <v>0.19405600000000001</v>
          </cell>
          <cell r="X372">
            <v>0.18509400000000001</v>
          </cell>
          <cell r="Y372">
            <v>0.180647</v>
          </cell>
          <cell r="Z372">
            <v>0.23430599999999999</v>
          </cell>
          <cell r="AB372">
            <v>0.19547200000000001</v>
          </cell>
          <cell r="AC372">
            <v>0.196996</v>
          </cell>
          <cell r="AD372">
            <v>0.24245700000000001</v>
          </cell>
          <cell r="AF372">
            <v>0.20452000000000001</v>
          </cell>
          <cell r="AG372">
            <v>0.20638100000000001</v>
          </cell>
          <cell r="AH372">
            <v>0.27370100000000003</v>
          </cell>
          <cell r="AI372">
            <v>0.68460200000000004</v>
          </cell>
          <cell r="AJ372">
            <v>0.22082199999999999</v>
          </cell>
          <cell r="AK372">
            <v>0.20394799999999999</v>
          </cell>
          <cell r="AL372">
            <v>0.245258</v>
          </cell>
          <cell r="AM372">
            <v>0.67002799999999996</v>
          </cell>
          <cell r="AN372">
            <v>0.21986600000000001</v>
          </cell>
          <cell r="AO372">
            <v>0.208207</v>
          </cell>
          <cell r="AP372">
            <v>0.27920099999999998</v>
          </cell>
          <cell r="AQ372">
            <v>0.70727399999999996</v>
          </cell>
          <cell r="AR372">
            <v>0.211145</v>
          </cell>
          <cell r="AS372">
            <v>0.224217</v>
          </cell>
          <cell r="AT372">
            <v>0.29842800000000003</v>
          </cell>
          <cell r="AU372">
            <v>0.73379000000000005</v>
          </cell>
          <cell r="AV372">
            <v>0.246699</v>
          </cell>
          <cell r="AW372">
            <v>0.237953</v>
          </cell>
          <cell r="AX372">
            <v>0.25070999999999999</v>
          </cell>
          <cell r="AY372">
            <v>0.73536199999999996</v>
          </cell>
          <cell r="AZ372">
            <v>0.2009</v>
          </cell>
          <cell r="BA372">
            <v>0.20457</v>
          </cell>
          <cell r="BB372">
            <v>0.257606</v>
          </cell>
          <cell r="BC372">
            <v>0.663076</v>
          </cell>
          <cell r="BD372">
            <v>0.247366</v>
          </cell>
          <cell r="BE372">
            <v>0.229602</v>
          </cell>
          <cell r="BF372">
            <v>0.30232799999999999</v>
          </cell>
          <cell r="BG372">
            <v>0.77929599999999999</v>
          </cell>
          <cell r="BH372">
            <v>0.22158800000000001</v>
          </cell>
          <cell r="BI372">
            <v>0.106227</v>
          </cell>
          <cell r="BJ372">
            <v>2.4757000000000001E-2</v>
          </cell>
          <cell r="BK372">
            <v>0.352572</v>
          </cell>
          <cell r="BL372">
            <v>5.4949999999999999E-3</v>
          </cell>
          <cell r="BM372">
            <v>3.0869999999999999E-3</v>
          </cell>
        </row>
        <row r="373">
          <cell r="A373" t="str">
            <v xml:space="preserve">  % Change</v>
          </cell>
          <cell r="AF373">
            <v>5.5483591286531908E-2</v>
          </cell>
          <cell r="AG373">
            <v>0.11788124668233868</v>
          </cell>
          <cell r="AH373">
            <v>0.22267638728814321</v>
          </cell>
          <cell r="AJ373">
            <v>0.26864719839596463</v>
          </cell>
          <cell r="AK373">
            <v>0.24903848509345661</v>
          </cell>
          <cell r="AL373">
            <v>0.26385167168240087</v>
          </cell>
          <cell r="AN373">
            <v>0.1878613029055507</v>
          </cell>
          <cell r="AO373">
            <v>0.1525627328436121</v>
          </cell>
          <cell r="AP373">
            <v>0.1916084095157613</v>
          </cell>
          <cell r="AR373">
            <v>8.0180281574854684E-2</v>
          </cell>
          <cell r="AS373">
            <v>0.13818047066945516</v>
          </cell>
          <cell r="AT373">
            <v>0.23084918150434941</v>
          </cell>
          <cell r="AV373">
            <v>0.20623410913358109</v>
          </cell>
          <cell r="AW373">
            <v>0.15297919866654386</v>
          </cell>
          <cell r="AX373">
            <v>-8.4000423820154269E-2</v>
          </cell>
          <cell r="AY373">
            <v>7.414526980639824E-2</v>
          </cell>
          <cell r="AZ373">
            <v>-9.0217460216826195E-2</v>
          </cell>
          <cell r="BA373">
            <v>3.0497970070801905E-3</v>
          </cell>
          <cell r="BB373">
            <v>5.0346981545963843E-2</v>
          </cell>
          <cell r="BC373">
            <v>-1.0375685792235467E-2</v>
          </cell>
          <cell r="BD373">
            <v>0.12507618276586641</v>
          </cell>
          <cell r="BE373">
            <v>0.10275831264078539</v>
          </cell>
          <cell r="BF373">
            <v>8.2832797876798425E-2</v>
          </cell>
          <cell r="BG373">
            <v>0.10183040801726073</v>
          </cell>
          <cell r="BH373">
            <v>4.9458902649837766E-2</v>
          </cell>
          <cell r="BI373">
            <v>-0.52623128487135229</v>
          </cell>
          <cell r="BJ373">
            <v>-0.91704196657150128</v>
          </cell>
          <cell r="BK373">
            <v>-0.51951920849289313</v>
          </cell>
          <cell r="BL373">
            <v>-0.97772589268703969</v>
          </cell>
          <cell r="BM373">
            <v>-0.98702684984009448</v>
          </cell>
        </row>
        <row r="375">
          <cell r="A375" t="str">
            <v>TOTAL OTHER BRANDS TRx2</v>
          </cell>
          <cell r="T375">
            <v>36072</v>
          </cell>
          <cell r="U375">
            <v>31718</v>
          </cell>
          <cell r="V375">
            <v>30836</v>
          </cell>
          <cell r="W375">
            <v>98626</v>
          </cell>
          <cell r="X375">
            <v>29733</v>
          </cell>
          <cell r="Y375">
            <v>25479</v>
          </cell>
          <cell r="Z375">
            <v>25935</v>
          </cell>
          <cell r="AA375">
            <v>81147</v>
          </cell>
          <cell r="AB375">
            <v>25282</v>
          </cell>
          <cell r="AC375">
            <v>24306</v>
          </cell>
          <cell r="AD375">
            <v>22431</v>
          </cell>
          <cell r="AE375">
            <v>72019</v>
          </cell>
          <cell r="AF375">
            <v>21948</v>
          </cell>
          <cell r="AG375">
            <v>20060</v>
          </cell>
          <cell r="AH375">
            <v>18564</v>
          </cell>
          <cell r="AI375">
            <v>60572</v>
          </cell>
          <cell r="AJ375">
            <v>18665</v>
          </cell>
          <cell r="AK375">
            <v>17104</v>
          </cell>
          <cell r="AL375">
            <v>17659</v>
          </cell>
          <cell r="AM375">
            <v>53428</v>
          </cell>
          <cell r="AN375">
            <v>16550</v>
          </cell>
          <cell r="AO375">
            <v>14611</v>
          </cell>
          <cell r="AP375">
            <v>15239</v>
          </cell>
          <cell r="AQ375">
            <v>46400</v>
          </cell>
          <cell r="AR375">
            <v>14442</v>
          </cell>
          <cell r="AS375">
            <v>14461</v>
          </cell>
          <cell r="AT375">
            <v>13371</v>
          </cell>
          <cell r="AU375">
            <v>42274</v>
          </cell>
          <cell r="AV375">
            <v>13401</v>
          </cell>
          <cell r="AW375">
            <v>12048</v>
          </cell>
          <cell r="AX375">
            <v>12392</v>
          </cell>
          <cell r="AY375">
            <v>37841</v>
          </cell>
          <cell r="AZ375">
            <v>12346</v>
          </cell>
          <cell r="BA375">
            <v>10769</v>
          </cell>
          <cell r="BB375">
            <v>11860</v>
          </cell>
          <cell r="BC375">
            <v>34975</v>
          </cell>
          <cell r="BD375">
            <v>10742</v>
          </cell>
          <cell r="BE375">
            <v>10036</v>
          </cell>
          <cell r="BF375">
            <v>10725</v>
          </cell>
          <cell r="BG375">
            <v>31503</v>
          </cell>
          <cell r="BH375">
            <v>10272</v>
          </cell>
          <cell r="BI375">
            <v>9678</v>
          </cell>
          <cell r="BJ375">
            <v>10084</v>
          </cell>
          <cell r="BK375">
            <v>30034</v>
          </cell>
          <cell r="BL375">
            <v>9440</v>
          </cell>
          <cell r="BM375">
            <v>9383</v>
          </cell>
          <cell r="BN375">
            <v>8948</v>
          </cell>
          <cell r="BO375">
            <v>27771</v>
          </cell>
        </row>
        <row r="376">
          <cell r="A376" t="str">
            <v xml:space="preserve">  % Change</v>
          </cell>
          <cell r="AJ376">
            <v>-0.48256265247283214</v>
          </cell>
          <cell r="AK376">
            <v>-0.46074784034302285</v>
          </cell>
          <cell r="AL376">
            <v>-0.42732520430665455</v>
          </cell>
          <cell r="AM376">
            <v>-0.45827672216251292</v>
          </cell>
          <cell r="AN376">
            <v>-0.44337941008307269</v>
          </cell>
          <cell r="AO376">
            <v>-0.4265473527218494</v>
          </cell>
          <cell r="AP376">
            <v>-0.41241565452091766</v>
          </cell>
          <cell r="AQ376">
            <v>-0.42819820819007481</v>
          </cell>
          <cell r="AR376">
            <v>-0.42876354718772247</v>
          </cell>
          <cell r="AS376">
            <v>-0.40504402205216816</v>
          </cell>
          <cell r="AT376">
            <v>-0.40390530961615623</v>
          </cell>
          <cell r="AU376">
            <v>-0.41301600966411645</v>
          </cell>
          <cell r="AV376">
            <v>-0.38942044833242206</v>
          </cell>
          <cell r="AW376">
            <v>-0.39940179461615155</v>
          </cell>
          <cell r="AX376">
            <v>-0.33247145011850898</v>
          </cell>
          <cell r="AY376">
            <v>-0.37527240309053689</v>
          </cell>
          <cell r="AZ376">
            <v>-0.33854808465041519</v>
          </cell>
          <cell r="BA376">
            <v>-0.37038119738072961</v>
          </cell>
          <cell r="BB376">
            <v>-0.32838779092813863</v>
          </cell>
          <cell r="BC376">
            <v>-0.34538069925881565</v>
          </cell>
          <cell r="BD376">
            <v>-0.35093655589123862</v>
          </cell>
          <cell r="BE376">
            <v>-0.31312025186503323</v>
          </cell>
          <cell r="BF376">
            <v>-0.29621366231380009</v>
          </cell>
          <cell r="BG376">
            <v>-0.32105603448275866</v>
          </cell>
          <cell r="BH376">
            <v>-0.28874117158288326</v>
          </cell>
          <cell r="BI376">
            <v>-0.33075167692414076</v>
          </cell>
          <cell r="BJ376">
            <v>-0.24583052875626354</v>
          </cell>
          <cell r="BK376">
            <v>-0.28953966977338319</v>
          </cell>
          <cell r="BL376">
            <v>-0.29557495709275428</v>
          </cell>
          <cell r="BM376">
            <v>-0.2211985391766268</v>
          </cell>
          <cell r="BN376">
            <v>-0.27792123950936087</v>
          </cell>
          <cell r="BO376">
            <v>-0.26611347480246295</v>
          </cell>
        </row>
        <row r="378">
          <cell r="A378" t="str">
            <v xml:space="preserve">TOTAL OTHER BRANDS REPORTED SALES </v>
          </cell>
          <cell r="AV378" t="str">
            <v>not broken out in model</v>
          </cell>
        </row>
        <row r="379">
          <cell r="A379" t="str">
            <v xml:space="preserve">  % Change</v>
          </cell>
        </row>
        <row r="381">
          <cell r="A381" t="str">
            <v xml:space="preserve">TOTAL OTHER BRANDS SALES (IMS) </v>
          </cell>
          <cell r="T381">
            <v>1.3929179999999999</v>
          </cell>
          <cell r="U381">
            <v>1.2642990000000001</v>
          </cell>
          <cell r="V381">
            <v>1.5817709999999998</v>
          </cell>
          <cell r="W381">
            <v>4.238988</v>
          </cell>
          <cell r="X381">
            <v>1.2525469999999999</v>
          </cell>
          <cell r="Y381">
            <v>1.1779950000000001</v>
          </cell>
          <cell r="Z381">
            <v>1.422228</v>
          </cell>
          <cell r="AA381">
            <v>3.8527699999999996</v>
          </cell>
          <cell r="AB381">
            <v>1.070392</v>
          </cell>
          <cell r="AC381">
            <v>1.034349</v>
          </cell>
          <cell r="AD381">
            <v>1.3792010000000001</v>
          </cell>
          <cell r="AE381">
            <v>3.4839419999999999</v>
          </cell>
          <cell r="AF381">
            <v>0.98224</v>
          </cell>
          <cell r="AG381">
            <v>0.91184799999999999</v>
          </cell>
          <cell r="AH381">
            <v>1.1593580000000001</v>
          </cell>
          <cell r="AI381">
            <v>3.0534460000000001</v>
          </cell>
          <cell r="AJ381">
            <v>0.89473800000000003</v>
          </cell>
          <cell r="AK381">
            <v>0.897065</v>
          </cell>
          <cell r="AL381">
            <v>1.100897</v>
          </cell>
          <cell r="AM381">
            <v>2.8927</v>
          </cell>
          <cell r="AN381">
            <v>0.89039899999999994</v>
          </cell>
          <cell r="AO381">
            <v>1.0014069999999999</v>
          </cell>
          <cell r="AP381">
            <v>1.1286510000000001</v>
          </cell>
          <cell r="AQ381">
            <v>3.0204570000000004</v>
          </cell>
          <cell r="AR381">
            <v>0.81548500000000002</v>
          </cell>
          <cell r="AS381">
            <v>0.77835699999999997</v>
          </cell>
          <cell r="AT381">
            <v>0.99574699999999994</v>
          </cell>
          <cell r="AU381">
            <v>2.5895889999999997</v>
          </cell>
          <cell r="AV381">
            <v>0.79372599999999993</v>
          </cell>
          <cell r="AW381">
            <v>0.78082300000000004</v>
          </cell>
          <cell r="AX381">
            <v>4.5631009999999996</v>
          </cell>
          <cell r="AY381">
            <v>6.1376499999999998</v>
          </cell>
          <cell r="AZ381">
            <v>0.71824200000000005</v>
          </cell>
          <cell r="BA381">
            <v>0.72484700000000002</v>
          </cell>
          <cell r="BB381">
            <v>0.88146300000000011</v>
          </cell>
          <cell r="BC381">
            <v>2.3245520000000002</v>
          </cell>
          <cell r="BD381">
            <v>0.745672</v>
          </cell>
          <cell r="BE381">
            <v>0.73660499999999995</v>
          </cell>
          <cell r="BF381">
            <v>0.95374799999999993</v>
          </cell>
          <cell r="BG381">
            <v>2.4360249999999999</v>
          </cell>
          <cell r="BH381">
            <v>0.73372599999999999</v>
          </cell>
          <cell r="BI381">
            <v>0.73587800000000003</v>
          </cell>
          <cell r="BJ381">
            <v>0.86385200000000006</v>
          </cell>
          <cell r="BK381">
            <v>2.333456</v>
          </cell>
          <cell r="BL381">
            <v>0.68234300000000003</v>
          </cell>
          <cell r="BM381">
            <v>0.72183999999999993</v>
          </cell>
        </row>
        <row r="382">
          <cell r="A382" t="str">
            <v xml:space="preserve">  % Change</v>
          </cell>
          <cell r="AJ382">
            <v>-0.35765206566359242</v>
          </cell>
          <cell r="AK382">
            <v>-0.29046451828246334</v>
          </cell>
          <cell r="AL382">
            <v>-0.30400987247838018</v>
          </cell>
          <cell r="AM382">
            <v>-0.31759655842385015</v>
          </cell>
          <cell r="AN382">
            <v>-0.28912927019904244</v>
          </cell>
          <cell r="AO382">
            <v>-0.14990555987079757</v>
          </cell>
          <cell r="AP382">
            <v>-0.20642048954176118</v>
          </cell>
          <cell r="AQ382">
            <v>-0.21602976559721943</v>
          </cell>
          <cell r="AR382">
            <v>-0.23814359599100143</v>
          </cell>
          <cell r="AS382">
            <v>-0.24749093391108801</v>
          </cell>
          <cell r="AT382">
            <v>-0.2780261905262541</v>
          </cell>
          <cell r="AU382">
            <v>-0.25670720121058277</v>
          </cell>
          <cell r="AV382">
            <v>-0.19192254438833689</v>
          </cell>
          <cell r="AW382">
            <v>-0.14369171177652407</v>
          </cell>
          <cell r="AX382">
            <v>2.9358860679790015</v>
          </cell>
          <cell r="AY382">
            <v>1.0100732090890094</v>
          </cell>
          <cell r="AZ382">
            <v>-0.19725998001649647</v>
          </cell>
          <cell r="BA382">
            <v>-0.19197939948610188</v>
          </cell>
          <cell r="BB382">
            <v>-0.19932291576777839</v>
          </cell>
          <cell r="BC382">
            <v>-0.19640750855602029</v>
          </cell>
          <cell r="BD382">
            <v>-0.16254173690671259</v>
          </cell>
          <cell r="BE382">
            <v>-0.26442994706448031</v>
          </cell>
          <cell r="BF382">
            <v>-0.15496641565904801</v>
          </cell>
          <cell r="BG382">
            <v>-0.19349124983404842</v>
          </cell>
          <cell r="BH382">
            <v>-0.10025812859831884</v>
          </cell>
          <cell r="BI382">
            <v>-5.4575214201195488E-2</v>
          </cell>
          <cell r="BJ382">
            <v>-0.13245834534274259</v>
          </cell>
          <cell r="BK382">
            <v>-9.8908745750773464E-2</v>
          </cell>
          <cell r="BL382">
            <v>-0.14032928239719988</v>
          </cell>
          <cell r="BM382">
            <v>-7.5539526883813712E-2</v>
          </cell>
        </row>
        <row r="384">
          <cell r="A384" t="str">
            <v>REPORTED SALES/TRx OTHER BRANDS</v>
          </cell>
        </row>
        <row r="385">
          <cell r="A385" t="str">
            <v>IMS SALES/REPORTED SALES</v>
          </cell>
        </row>
        <row r="387">
          <cell r="A387" t="str">
            <v>TRx BRL PRODUCTS</v>
          </cell>
          <cell r="C387">
            <v>2477648</v>
          </cell>
          <cell r="D387">
            <v>2629296</v>
          </cell>
          <cell r="E387">
            <v>2575053</v>
          </cell>
          <cell r="F387">
            <v>2656126</v>
          </cell>
          <cell r="G387">
            <v>7860475</v>
          </cell>
          <cell r="H387">
            <v>2809260</v>
          </cell>
          <cell r="I387">
            <v>2565161</v>
          </cell>
          <cell r="J387">
            <v>2858140</v>
          </cell>
          <cell r="K387">
            <v>8232561</v>
          </cell>
          <cell r="L387">
            <v>2736804</v>
          </cell>
          <cell r="M387">
            <v>2878667</v>
          </cell>
          <cell r="N387">
            <v>2786654</v>
          </cell>
          <cell r="O387">
            <v>8402125</v>
          </cell>
          <cell r="P387">
            <v>2887045</v>
          </cell>
          <cell r="Q387">
            <v>3615782</v>
          </cell>
          <cell r="R387">
            <v>3699988</v>
          </cell>
          <cell r="S387">
            <v>10202815</v>
          </cell>
          <cell r="T387">
            <v>4143716</v>
          </cell>
          <cell r="U387">
            <v>3989022</v>
          </cell>
          <cell r="V387">
            <v>4100954</v>
          </cell>
          <cell r="W387">
            <v>12233692</v>
          </cell>
          <cell r="X387">
            <v>4321537</v>
          </cell>
          <cell r="Y387">
            <v>3821153</v>
          </cell>
          <cell r="Z387">
            <v>4065831</v>
          </cell>
          <cell r="AA387">
            <v>12208521</v>
          </cell>
          <cell r="AB387">
            <v>4219880</v>
          </cell>
          <cell r="AC387">
            <v>4490550</v>
          </cell>
          <cell r="AD387">
            <v>4312547</v>
          </cell>
          <cell r="AE387">
            <v>13022977</v>
          </cell>
          <cell r="AF387">
            <v>4604561</v>
          </cell>
          <cell r="AG387">
            <v>4614993</v>
          </cell>
          <cell r="AH387">
            <v>4498864</v>
          </cell>
          <cell r="AI387">
            <v>13718418</v>
          </cell>
          <cell r="AJ387">
            <v>4893705</v>
          </cell>
          <cell r="AK387">
            <v>4893705</v>
          </cell>
          <cell r="AL387">
            <v>5543678</v>
          </cell>
          <cell r="AM387">
            <v>15331088</v>
          </cell>
          <cell r="AN387">
            <v>6042419</v>
          </cell>
          <cell r="AO387">
            <v>5533455</v>
          </cell>
          <cell r="AP387">
            <v>6109424</v>
          </cell>
          <cell r="AQ387">
            <v>17685298</v>
          </cell>
          <cell r="AR387">
            <v>5926730</v>
          </cell>
          <cell r="AS387">
            <v>6072405</v>
          </cell>
          <cell r="AT387">
            <v>6073051</v>
          </cell>
          <cell r="AU387">
            <v>18072186</v>
          </cell>
          <cell r="AV387">
            <v>6639042</v>
          </cell>
          <cell r="AW387">
            <v>6639042</v>
          </cell>
          <cell r="AX387">
            <v>6688117</v>
          </cell>
          <cell r="AY387">
            <v>19966201</v>
          </cell>
          <cell r="AZ387">
            <v>6882991</v>
          </cell>
          <cell r="BA387">
            <v>6388771</v>
          </cell>
          <cell r="BB387">
            <v>6984315</v>
          </cell>
          <cell r="BC387">
            <v>20256077</v>
          </cell>
          <cell r="BD387">
            <v>7039320</v>
          </cell>
          <cell r="BE387">
            <v>6716989</v>
          </cell>
          <cell r="BF387">
            <v>7451324</v>
          </cell>
          <cell r="BG387">
            <v>21207633</v>
          </cell>
          <cell r="BH387">
            <v>7124657</v>
          </cell>
          <cell r="BI387">
            <v>7066995</v>
          </cell>
          <cell r="BJ387">
            <v>7070528</v>
          </cell>
          <cell r="BK387">
            <v>21262180</v>
          </cell>
          <cell r="BL387">
            <v>6898564</v>
          </cell>
          <cell r="BM387">
            <v>6969611</v>
          </cell>
          <cell r="BN387">
            <v>6749863</v>
          </cell>
          <cell r="BO387">
            <v>20618038</v>
          </cell>
        </row>
        <row r="388">
          <cell r="A388" t="str">
            <v xml:space="preserve">  % Change</v>
          </cell>
          <cell r="R388">
            <v>0.49334691610753434</v>
          </cell>
          <cell r="T388">
            <v>0.57597927353938094</v>
          </cell>
          <cell r="U388">
            <v>0.54910287283407366</v>
          </cell>
          <cell r="V388">
            <v>0.54396064042142589</v>
          </cell>
          <cell r="W388">
            <v>0.55635530931654897</v>
          </cell>
          <cell r="X388">
            <v>0.53831863195289853</v>
          </cell>
          <cell r="Y388">
            <v>0.48963476366590641</v>
          </cell>
          <cell r="Z388">
            <v>0.42254438201067823</v>
          </cell>
          <cell r="AA388">
            <v>0.48295542541379288</v>
          </cell>
          <cell r="AB388">
            <v>0.54190069877126756</v>
          </cell>
          <cell r="AC388">
            <v>0.55994076424956418</v>
          </cell>
          <cell r="AD388">
            <v>0.54757174733569358</v>
          </cell>
          <cell r="AE388">
            <v>0.5499623012035646</v>
          </cell>
          <cell r="AF388">
            <v>0.59490447845461358</v>
          </cell>
          <cell r="AG388">
            <v>0.27634713597224603</v>
          </cell>
          <cell r="AH388">
            <v>0.21591313269124113</v>
          </cell>
          <cell r="AI388">
            <v>0.34457186570568998</v>
          </cell>
          <cell r="AJ388">
            <v>0.18099430559430241</v>
          </cell>
          <cell r="AK388">
            <v>0.22679318389319492</v>
          </cell>
          <cell r="AL388">
            <v>0.35180204410973648</v>
          </cell>
          <cell r="AM388">
            <v>0.25318571041350402</v>
          </cell>
          <cell r="AN388">
            <v>0.39821063663229084</v>
          </cell>
          <cell r="AO388">
            <v>0.44811134230950711</v>
          </cell>
          <cell r="AP388">
            <v>0.50262615440730318</v>
          </cell>
          <cell r="AQ388">
            <v>0.44860282420778086</v>
          </cell>
          <cell r="AR388">
            <v>0.40447832639790704</v>
          </cell>
          <cell r="AS388">
            <v>0.35226308581354182</v>
          </cell>
          <cell r="AT388">
            <v>0.40822836249668693</v>
          </cell>
          <cell r="AU388">
            <v>0.38771542021459449</v>
          </cell>
          <cell r="AV388">
            <v>0.44184038391499203</v>
          </cell>
          <cell r="AW388">
            <v>0.43858116361173249</v>
          </cell>
          <cell r="AX388">
            <v>0.48662351206882448</v>
          </cell>
          <cell r="AY388">
            <v>0.45543028357934556</v>
          </cell>
          <cell r="AZ388">
            <v>0.40649896142084585</v>
          </cell>
          <cell r="BA388">
            <v>0.30550799445409971</v>
          </cell>
          <cell r="BB388">
            <v>0.25987025220440296</v>
          </cell>
          <cell r="BC388">
            <v>0.32124197578149705</v>
          </cell>
          <cell r="BD388">
            <v>0.16498375898791529</v>
          </cell>
          <cell r="BE388">
            <v>0.21388698381029569</v>
          </cell>
          <cell r="BF388">
            <v>0.21964427415743293</v>
          </cell>
          <cell r="BG388">
            <v>0.19916741012789263</v>
          </cell>
          <cell r="BH388">
            <v>0.2021227557185834</v>
          </cell>
          <cell r="BI388">
            <v>0.16378848248758104</v>
          </cell>
          <cell r="BJ388">
            <v>0.16424643889866886</v>
          </cell>
          <cell r="BK388">
            <v>0.17651400887529589</v>
          </cell>
          <cell r="BL388">
            <v>3.9090278386550326E-2</v>
          </cell>
          <cell r="BM388">
            <v>4.9791671750231359E-2</v>
          </cell>
          <cell r="BN388">
            <v>9.2321949511349199E-3</v>
          </cell>
          <cell r="BO388">
            <v>3.2647021834549372E-2</v>
          </cell>
        </row>
        <row r="389">
          <cell r="A389" t="str">
            <v xml:space="preserve">TOTAL BRL REPORTED SALES </v>
          </cell>
          <cell r="G389">
            <v>121.756</v>
          </cell>
          <cell r="K389">
            <v>134.06700000000001</v>
          </cell>
          <cell r="O389">
            <v>137.75299999999999</v>
          </cell>
          <cell r="S389">
            <v>346.39499999999998</v>
          </cell>
          <cell r="W389">
            <v>360.85300000000001</v>
          </cell>
          <cell r="AA389">
            <v>255.916</v>
          </cell>
          <cell r="AE389">
            <v>208.19399999999999</v>
          </cell>
          <cell r="AI389">
            <v>218.71600000000001</v>
          </cell>
          <cell r="AM389">
            <v>207.7</v>
          </cell>
          <cell r="AQ389">
            <v>169</v>
          </cell>
          <cell r="AU389">
            <v>297.5</v>
          </cell>
          <cell r="AY389">
            <v>308.8</v>
          </cell>
          <cell r="BC389">
            <v>369.9</v>
          </cell>
          <cell r="BG389">
            <v>316.60700000000003</v>
          </cell>
          <cell r="BK389">
            <v>301.27999999999997</v>
          </cell>
          <cell r="BO389">
            <v>252.5</v>
          </cell>
        </row>
        <row r="390">
          <cell r="A390" t="str">
            <v xml:space="preserve">  % Change</v>
          </cell>
          <cell r="W390">
            <v>1.9637389533164691</v>
          </cell>
          <cell r="AA390">
            <v>0.90886646229124235</v>
          </cell>
          <cell r="AE390">
            <v>0.51135728441485861</v>
          </cell>
          <cell r="AI390">
            <v>-0.36859365752969875</v>
          </cell>
          <cell r="AM390">
            <v>-0.42441936190082952</v>
          </cell>
          <cell r="AQ390">
            <v>-0.33962706513074603</v>
          </cell>
          <cell r="AU390">
            <v>0.4289556855625043</v>
          </cell>
          <cell r="AY390">
            <v>0.41187658881837641</v>
          </cell>
          <cell r="BC390">
            <v>0.78093403948001927</v>
          </cell>
          <cell r="BG390">
            <v>0.87341420118343205</v>
          </cell>
          <cell r="BK390">
            <v>1.2705882352941122E-2</v>
          </cell>
          <cell r="BO390">
            <v>-0.18231865284974091</v>
          </cell>
        </row>
        <row r="391">
          <cell r="A391" t="str">
            <v>TOTAL BRL SALES (IMS)</v>
          </cell>
          <cell r="C391">
            <v>52.553896999999999</v>
          </cell>
          <cell r="D391">
            <v>42.315089999999998</v>
          </cell>
          <cell r="E391">
            <v>41.978748000000003</v>
          </cell>
          <cell r="F391">
            <v>55.773798999999997</v>
          </cell>
          <cell r="G391">
            <v>140.06763699999999</v>
          </cell>
          <cell r="H391">
            <v>44.564521999999997</v>
          </cell>
          <cell r="I391">
            <v>46.445171000000002</v>
          </cell>
          <cell r="J391">
            <v>58.161161</v>
          </cell>
          <cell r="K391">
            <v>149.17085400000002</v>
          </cell>
          <cell r="L391">
            <v>45.478985000000002</v>
          </cell>
          <cell r="M391">
            <v>49.698656</v>
          </cell>
          <cell r="N391">
            <v>62.396774000000001</v>
          </cell>
          <cell r="O391">
            <v>157.57441499999999</v>
          </cell>
          <cell r="P391">
            <v>49.835272000000003</v>
          </cell>
          <cell r="Q391">
            <v>107.692429</v>
          </cell>
          <cell r="R391">
            <v>158.12464299999999</v>
          </cell>
          <cell r="S391">
            <v>315.65234399999997</v>
          </cell>
          <cell r="T391">
            <v>118.986625</v>
          </cell>
          <cell r="U391">
            <v>143.40802400000001</v>
          </cell>
          <cell r="V391">
            <v>147.19655900000001</v>
          </cell>
          <cell r="W391">
            <v>409.59120800000005</v>
          </cell>
          <cell r="X391">
            <v>119.203002</v>
          </cell>
          <cell r="Y391">
            <v>86.56953</v>
          </cell>
          <cell r="Z391">
            <v>111.530682</v>
          </cell>
          <cell r="AA391">
            <v>317.30321400000003</v>
          </cell>
          <cell r="AB391">
            <v>85.746234999999999</v>
          </cell>
          <cell r="AC391">
            <v>86.111896000000002</v>
          </cell>
          <cell r="AD391">
            <v>106.959225</v>
          </cell>
          <cell r="AE391">
            <v>278.81735600000002</v>
          </cell>
          <cell r="AF391">
            <v>85.862556999999995</v>
          </cell>
          <cell r="AG391">
            <v>87.713735</v>
          </cell>
          <cell r="AH391">
            <v>120.180637</v>
          </cell>
          <cell r="AI391">
            <v>293.75692900000001</v>
          </cell>
          <cell r="AJ391">
            <v>100.04686</v>
          </cell>
          <cell r="AK391">
            <v>82.063025999999994</v>
          </cell>
          <cell r="AL391">
            <v>109.69456</v>
          </cell>
          <cell r="AM391">
            <v>291.80444599999998</v>
          </cell>
          <cell r="AN391">
            <v>86.277932000000007</v>
          </cell>
          <cell r="AO391">
            <v>92.586723000000006</v>
          </cell>
          <cell r="AP391">
            <v>124.66089700000001</v>
          </cell>
          <cell r="AQ391">
            <v>303.525552</v>
          </cell>
          <cell r="AR391">
            <v>71.090170999999998</v>
          </cell>
          <cell r="AS391">
            <v>73.412232000000003</v>
          </cell>
          <cell r="AT391">
            <v>148.647413</v>
          </cell>
          <cell r="AU391">
            <v>293.14981599999999</v>
          </cell>
          <cell r="AV391">
            <v>118.571202</v>
          </cell>
          <cell r="AW391">
            <v>128.004547</v>
          </cell>
          <cell r="AX391">
            <v>152.386841</v>
          </cell>
          <cell r="AY391">
            <v>398.96258999999998</v>
          </cell>
          <cell r="AZ391">
            <v>125.41008600000001</v>
          </cell>
          <cell r="BA391">
            <v>130.787384</v>
          </cell>
          <cell r="BB391">
            <v>157.45716400000001</v>
          </cell>
          <cell r="BC391">
            <v>413.65463399999999</v>
          </cell>
          <cell r="BD391">
            <v>136.63792799999999</v>
          </cell>
          <cell r="BE391">
            <v>138.18935200000001</v>
          </cell>
          <cell r="BF391">
            <v>182.954026</v>
          </cell>
          <cell r="BG391">
            <v>457.78130599999997</v>
          </cell>
          <cell r="BH391">
            <v>143.906182</v>
          </cell>
          <cell r="BI391">
            <v>136.19220000000001</v>
          </cell>
          <cell r="BJ391">
            <v>136.59921</v>
          </cell>
          <cell r="BK391">
            <v>416.69759200000004</v>
          </cell>
          <cell r="BL391">
            <v>99.978701000000001</v>
          </cell>
          <cell r="BM391">
            <v>108.578266</v>
          </cell>
        </row>
        <row r="392">
          <cell r="A392" t="str">
            <v xml:space="preserve">  % Change</v>
          </cell>
          <cell r="R392">
            <v>2.0088090898378095</v>
          </cell>
          <cell r="T392">
            <v>1.811919459464697</v>
          </cell>
          <cell r="U392">
            <v>2.4162053618178416</v>
          </cell>
          <cell r="V392">
            <v>1.6391703925350329</v>
          </cell>
          <cell r="W392">
            <v>1.9242387233247897</v>
          </cell>
          <cell r="X392">
            <v>1.6748408072232888</v>
          </cell>
          <cell r="Y392">
            <v>0.86390809068180618</v>
          </cell>
          <cell r="Z392">
            <v>0.91761443689200073</v>
          </cell>
          <cell r="AA392">
            <v>1.1271126730963141</v>
          </cell>
          <cell r="AB392">
            <v>0.88540344512965707</v>
          </cell>
          <cell r="AC392">
            <v>0.73268057792146335</v>
          </cell>
          <cell r="AD392">
            <v>0.71417876507525868</v>
          </cell>
          <cell r="AE392">
            <v>0.76943291206253273</v>
          </cell>
          <cell r="AF392">
            <v>0.72292742778648811</v>
          </cell>
          <cell r="AG392">
            <v>-0.18551623531492645</v>
          </cell>
          <cell r="AH392">
            <v>-0.23996263504607562</v>
          </cell>
          <cell r="AI392">
            <v>-6.9365602429994788E-2</v>
          </cell>
          <cell r="AJ392">
            <v>-0.15917557960821238</v>
          </cell>
          <cell r="AK392">
            <v>-0.4277654505580526</v>
          </cell>
          <cell r="AL392">
            <v>-0.25477497065675303</v>
          </cell>
          <cell r="AM392">
            <v>-0.28757150959158295</v>
          </cell>
          <cell r="AN392">
            <v>-0.27621007397112363</v>
          </cell>
          <cell r="AO392">
            <v>6.9507054040838678E-2</v>
          </cell>
          <cell r="AP392">
            <v>0.11772738016611428</v>
          </cell>
          <cell r="AQ392">
            <v>-4.3421123367505587E-2</v>
          </cell>
          <cell r="AR392">
            <v>-0.17092370294742387</v>
          </cell>
          <cell r="AS392">
            <v>-0.14747862478837992</v>
          </cell>
          <cell r="AT392">
            <v>0.38975776049237454</v>
          </cell>
          <cell r="AU392">
            <v>5.1404475695551621E-2</v>
          </cell>
          <cell r="AV392">
            <v>0.3809418929836903</v>
          </cell>
          <cell r="AW392">
            <v>0.45934438888048712</v>
          </cell>
          <cell r="AX392">
            <v>0.2679816383399598</v>
          </cell>
          <cell r="AY392">
            <v>0.35813848326280651</v>
          </cell>
          <cell r="AZ392">
            <v>0.2535134635909615</v>
          </cell>
          <cell r="BA392">
            <v>0.59374313104174359</v>
          </cell>
          <cell r="BB392">
            <v>0.43541451827693201</v>
          </cell>
          <cell r="BC392">
            <v>0.41757481652627049</v>
          </cell>
          <cell r="BD392">
            <v>0.5836949823971207</v>
          </cell>
          <cell r="BE392">
            <v>0.49253961607432628</v>
          </cell>
          <cell r="BF392">
            <v>0.46761358535708264</v>
          </cell>
          <cell r="BG392">
            <v>0.50821340405634108</v>
          </cell>
          <cell r="BH392">
            <v>1.0242767737891643</v>
          </cell>
          <cell r="BI392">
            <v>0.85517040266532152</v>
          </cell>
          <cell r="BJ392">
            <v>-8.1052221204818364E-2</v>
          </cell>
          <cell r="BK392">
            <v>0.42144927015748168</v>
          </cell>
          <cell r="BL392">
            <v>-0.15680452493009223</v>
          </cell>
          <cell r="BM392">
            <v>-0.15176242918933192</v>
          </cell>
        </row>
        <row r="394">
          <cell r="A394" t="str">
            <v>REPORTED SALES/TRx BRL PRODUCTS</v>
          </cell>
          <cell r="G394">
            <v>15.48964916242339</v>
          </cell>
          <cell r="K394">
            <v>16.284968917934528</v>
          </cell>
          <cell r="O394">
            <v>16.395019117187616</v>
          </cell>
          <cell r="S394">
            <v>33.950924328236866</v>
          </cell>
          <cell r="W394">
            <v>29.496655629388087</v>
          </cell>
          <cell r="AA394">
            <v>20.962080500987792</v>
          </cell>
          <cell r="AE394">
            <v>15.986667257417409</v>
          </cell>
          <cell r="AI394">
            <v>15.943237769836143</v>
          </cell>
          <cell r="AM394">
            <v>13.547636019048355</v>
          </cell>
          <cell r="AQ394">
            <v>9.5559599843892933</v>
          </cell>
          <cell r="AU394">
            <v>16.461760630396345</v>
          </cell>
          <cell r="AY394">
            <v>15.466136998220142</v>
          </cell>
          <cell r="BC394">
            <v>18.261186507140547</v>
          </cell>
          <cell r="BG394">
            <v>14.928917338394152</v>
          </cell>
          <cell r="BK394">
            <v>14.169760579583091</v>
          </cell>
          <cell r="BO394">
            <v>12.246558086661786</v>
          </cell>
        </row>
        <row r="395">
          <cell r="A395" t="str">
            <v>IMS SALES/REPORTED SALES</v>
          </cell>
          <cell r="G395">
            <v>1.1503961776011038</v>
          </cell>
          <cell r="K395">
            <v>1.1126589988587796</v>
          </cell>
          <cell r="O395">
            <v>1.1438909860402315</v>
          </cell>
          <cell r="S395">
            <v>0.91124971203394967</v>
          </cell>
          <cell r="W395">
            <v>1.1350638847397696</v>
          </cell>
          <cell r="AA395">
            <v>1.2398725128557808</v>
          </cell>
          <cell r="AE395">
            <v>1.3392189784527895</v>
          </cell>
          <cell r="AI395">
            <v>1.3430975740229338</v>
          </cell>
          <cell r="AM395">
            <v>1.4049323350987</v>
          </cell>
          <cell r="AQ395">
            <v>1.7960091834319527</v>
          </cell>
          <cell r="AU395">
            <v>0.98537753277310924</v>
          </cell>
          <cell r="AY395">
            <v>1.2919772992227978</v>
          </cell>
          <cell r="BC395">
            <v>1.1182877372262774</v>
          </cell>
          <cell r="BG395">
            <v>1.4458976143926063</v>
          </cell>
          <cell r="BK395">
            <v>1.3830907859798196</v>
          </cell>
        </row>
        <row r="396">
          <cell r="A396" t="str">
            <v>1.  Wyeth Products = Diamox + Zebeta + Ziac.</v>
          </cell>
        </row>
        <row r="397">
          <cell r="A397" t="str">
            <v>2.  Other Brands = Trexall + Aygestin.</v>
          </cell>
        </row>
      </sheetData>
      <sheetData sheetId="9"/>
      <sheetData sheetId="10"/>
      <sheetData sheetId="11"/>
      <sheetData sheetId="1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"/>
      <sheetName val="Cash Flow"/>
      <sheetName val="BalanceSheet"/>
      <sheetName val="E&amp;P"/>
      <sheetName val="UpstreamTable"/>
      <sheetName val="Sheet1"/>
      <sheetName val="AK-Q"/>
      <sheetName val="E&amp;P_Qtrs"/>
      <sheetName val="Historical"/>
      <sheetName val="Graphs"/>
      <sheetName val="R&amp;M &amp; Chemicals"/>
      <sheetName val="iQ_US_CoreIndustrials"/>
      <sheetName val="Consolidated"/>
      <sheetName val="COMPANY FINANCIAL DATA"/>
      <sheetName val="Pro Forma CF"/>
      <sheetName val="P-TOS"/>
      <sheetName val="P-BS"/>
      <sheetName val="COC-Model"/>
      <sheetName val="P-CF"/>
      <sheetName val="COC-CF"/>
      <sheetName val="COC-BS"/>
      <sheetName val="iQ_Measure_Validations_Errors"/>
      <sheetName val="COP-BR"/>
      <sheetName val="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SO acquisition"/>
      <sheetName val="IXOS quarterly"/>
      <sheetName val="IXOS acquisition"/>
      <sheetName val="Income"/>
      <sheetName val="Balance"/>
      <sheetName val="Cash Flow"/>
      <sheetName val="FCFE"/>
      <sheetName val="Valuation"/>
      <sheetName val="PrePostView"/>
      <sheetName val="Acc Tests"/>
      <sheetName val="CustomerList"/>
      <sheetName val="SH CUST"/>
      <sheetName val="Layoffs"/>
      <sheetName val="Rev EBITDA"/>
      <sheetName val="Exhibits"/>
      <sheetName val="IS-F"/>
      <sheetName val="BS-F"/>
      <sheetName val="CS-F"/>
      <sheetName val="SensitivityA"/>
      <sheetName val="PreView"/>
      <sheetName val="Organ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7">
          <cell r="D7">
            <v>50</v>
          </cell>
        </row>
        <row r="15">
          <cell r="B15">
            <v>6250</v>
          </cell>
          <cell r="C15">
            <v>125</v>
          </cell>
          <cell r="G15">
            <v>1500000</v>
          </cell>
        </row>
        <row r="36">
          <cell r="E36">
            <v>0.68527918781725883</v>
          </cell>
        </row>
      </sheetData>
      <sheetData sheetId="19" refreshError="1"/>
      <sheetData sheetId="2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  <sheetName val="APCVALUE"/>
      <sheetName val="ADK"/>
      <sheetName val="APCCMP"/>
      <sheetName val="APCGR"/>
      <sheetName val="APCGR2"/>
      <sheetName val="Chart1"/>
      <sheetName val="Module1"/>
      <sheetName val="Module2"/>
      <sheetName val="Module3"/>
      <sheetName val="Financial"/>
      <sheetName val="Inputs"/>
      <sheetName val="Oil Sands"/>
    </sheetNames>
    <sheetDataSet>
      <sheetData sheetId="0" refreshError="1"/>
      <sheetData sheetId="1" refreshError="1"/>
      <sheetData sheetId="2" refreshError="1">
        <row r="2">
          <cell r="A2" t="str">
            <v>Anadarko Supplemental Natural Gas Contract Breakdown</v>
          </cell>
        </row>
        <row r="3">
          <cell r="A3" t="str">
            <v xml:space="preserve"> Daily Production (MMcf/D)</v>
          </cell>
          <cell r="B3">
            <v>1989</v>
          </cell>
          <cell r="C3">
            <v>1990</v>
          </cell>
          <cell r="D3" t="str">
            <v>1Q91</v>
          </cell>
          <cell r="E3" t="str">
            <v>2Q91</v>
          </cell>
          <cell r="F3" t="str">
            <v>3Q91</v>
          </cell>
          <cell r="G3" t="str">
            <v>4Q91</v>
          </cell>
          <cell r="H3">
            <v>1991</v>
          </cell>
          <cell r="I3" t="str">
            <v>1Q92</v>
          </cell>
          <cell r="J3" t="str">
            <v>2Q92</v>
          </cell>
          <cell r="K3" t="str">
            <v>3Q92</v>
          </cell>
          <cell r="L3" t="str">
            <v>4Q92</v>
          </cell>
          <cell r="M3">
            <v>1992</v>
          </cell>
          <cell r="N3" t="str">
            <v>1Q93</v>
          </cell>
          <cell r="O3" t="str">
            <v>2Q93</v>
          </cell>
          <cell r="P3" t="str">
            <v>3Q93</v>
          </cell>
          <cell r="Q3" t="str">
            <v>4Q93</v>
          </cell>
          <cell r="R3">
            <v>1993</v>
          </cell>
          <cell r="S3" t="str">
            <v>1Q94</v>
          </cell>
          <cell r="T3" t="str">
            <v>2Q94</v>
          </cell>
          <cell r="U3" t="str">
            <v>3Q94</v>
          </cell>
          <cell r="V3" t="str">
            <v>4Q94</v>
          </cell>
          <cell r="W3">
            <v>1994</v>
          </cell>
          <cell r="X3" t="str">
            <v>1q</v>
          </cell>
          <cell r="Y3" t="str">
            <v>2q</v>
          </cell>
          <cell r="Z3" t="str">
            <v>3q</v>
          </cell>
          <cell r="AA3" t="str">
            <v>4q</v>
          </cell>
          <cell r="AB3">
            <v>1995</v>
          </cell>
          <cell r="AC3" t="str">
            <v>1q</v>
          </cell>
          <cell r="AD3" t="str">
            <v>2q</v>
          </cell>
          <cell r="AE3" t="str">
            <v>3q</v>
          </cell>
          <cell r="AF3" t="str">
            <v>4q</v>
          </cell>
          <cell r="AG3" t="str">
            <v>1996</v>
          </cell>
          <cell r="AH3" t="str">
            <v>1q</v>
          </cell>
          <cell r="AI3" t="str">
            <v>2q</v>
          </cell>
          <cell r="AJ3" t="str">
            <v>3q</v>
          </cell>
          <cell r="AK3" t="str">
            <v>4q</v>
          </cell>
          <cell r="AL3" t="str">
            <v>1997</v>
          </cell>
          <cell r="AM3" t="str">
            <v>1q</v>
          </cell>
          <cell r="AN3" t="str">
            <v>2q</v>
          </cell>
          <cell r="AO3" t="str">
            <v>3q</v>
          </cell>
          <cell r="AP3" t="str">
            <v>4q</v>
          </cell>
          <cell r="AQ3" t="str">
            <v>1998</v>
          </cell>
          <cell r="AR3" t="str">
            <v>1q</v>
          </cell>
          <cell r="AS3" t="str">
            <v>2q</v>
          </cell>
          <cell r="AT3" t="str">
            <v>3qe</v>
          </cell>
          <cell r="AU3" t="str">
            <v>4qe</v>
          </cell>
          <cell r="AV3" t="str">
            <v>1999E</v>
          </cell>
          <cell r="AW3" t="str">
            <v>2000E</v>
          </cell>
        </row>
        <row r="4">
          <cell r="A4" t="str">
            <v xml:space="preserve">  Natural Gas Spot Sales </v>
          </cell>
          <cell r="C4">
            <v>302.46575342465752</v>
          </cell>
          <cell r="D4">
            <v>308.88888888888891</v>
          </cell>
          <cell r="E4">
            <v>246.15384615384616</v>
          </cell>
          <cell r="F4">
            <v>217.39130434782609</v>
          </cell>
          <cell r="G4">
            <v>338.04347826086956</v>
          </cell>
          <cell r="H4">
            <v>277.53424657534248</v>
          </cell>
          <cell r="I4">
            <v>304.61538461538464</v>
          </cell>
          <cell r="J4">
            <v>215.38461538461536</v>
          </cell>
          <cell r="K4">
            <v>245</v>
          </cell>
          <cell r="L4">
            <v>425.92391304347825</v>
          </cell>
          <cell r="M4">
            <v>293.99248633879779</v>
          </cell>
          <cell r="N4">
            <v>390.05</v>
          </cell>
          <cell r="O4">
            <v>286.43406593406593</v>
          </cell>
          <cell r="P4">
            <v>291.11413043478262</v>
          </cell>
          <cell r="Q4">
            <v>363.58695652173913</v>
          </cell>
          <cell r="R4">
            <v>332.60958904109589</v>
          </cell>
          <cell r="S4">
            <v>428.44444444444446</v>
          </cell>
          <cell r="T4">
            <v>377.64395604395605</v>
          </cell>
          <cell r="U4">
            <v>355.6521739130435</v>
          </cell>
          <cell r="V4">
            <v>380</v>
          </cell>
          <cell r="W4">
            <v>385.22082191780822</v>
          </cell>
          <cell r="X4">
            <v>390.05555555555554</v>
          </cell>
          <cell r="Y4">
            <v>406.31868131868134</v>
          </cell>
          <cell r="Z4">
            <v>388.04347826086951</v>
          </cell>
          <cell r="AA4">
            <v>411.14130434782601</v>
          </cell>
          <cell r="AB4">
            <v>398.91780821917808</v>
          </cell>
          <cell r="AC4">
            <v>437.00000000000006</v>
          </cell>
          <cell r="AD4">
            <v>399.56043956043953</v>
          </cell>
          <cell r="AE4">
            <v>389.3478260869565</v>
          </cell>
          <cell r="AF4">
            <v>401.08695652173913</v>
          </cell>
          <cell r="AG4">
            <v>406.60273972602738</v>
          </cell>
          <cell r="AH4">
            <v>423</v>
          </cell>
          <cell r="AI4">
            <v>433.1868131868132</v>
          </cell>
          <cell r="AJ4">
            <v>444.59999999999997</v>
          </cell>
          <cell r="AK4">
            <v>461.7</v>
          </cell>
          <cell r="AL4">
            <v>440.73863013698622</v>
          </cell>
          <cell r="AM4">
            <v>440.1</v>
          </cell>
          <cell r="AN4">
            <v>416.70000000000005</v>
          </cell>
          <cell r="AO4">
            <v>447.2999999999999</v>
          </cell>
          <cell r="AP4">
            <v>438.30000000000007</v>
          </cell>
          <cell r="AQ4">
            <v>435.62712328767128</v>
          </cell>
          <cell r="AR4">
            <v>440.1</v>
          </cell>
          <cell r="AS4">
            <v>414.90000000000003</v>
          </cell>
          <cell r="AT4">
            <v>400.5</v>
          </cell>
          <cell r="AU4">
            <v>405</v>
          </cell>
          <cell r="AV4">
            <v>414.98876712328763</v>
          </cell>
          <cell r="AW4">
            <v>454.49999999999994</v>
          </cell>
        </row>
        <row r="5">
          <cell r="A5" t="str">
            <v xml:space="preserve">  Natural Gas Contract Sales </v>
          </cell>
          <cell r="C5">
            <v>109.44657534246578</v>
          </cell>
          <cell r="D5">
            <v>138.33333333333334</v>
          </cell>
          <cell r="E5">
            <v>79.681318681318686</v>
          </cell>
          <cell r="F5">
            <v>61.260869565217384</v>
          </cell>
          <cell r="G5">
            <v>121.73913043478257</v>
          </cell>
          <cell r="H5">
            <v>100.10136986301367</v>
          </cell>
          <cell r="I5">
            <v>130.54945054945057</v>
          </cell>
          <cell r="J5">
            <v>92.307692307692321</v>
          </cell>
          <cell r="K5">
            <v>105.00000000000004</v>
          </cell>
          <cell r="L5">
            <v>75.16304347826086</v>
          </cell>
          <cell r="M5">
            <v>104.64139344262298</v>
          </cell>
          <cell r="N5">
            <v>130.01666666666662</v>
          </cell>
          <cell r="O5">
            <v>95.478021978021957</v>
          </cell>
          <cell r="P5">
            <v>97.038043478260889</v>
          </cell>
          <cell r="Q5">
            <v>121.19565217391302</v>
          </cell>
          <cell r="R5">
            <v>110.86986301369863</v>
          </cell>
          <cell r="S5">
            <v>107.11111111111111</v>
          </cell>
          <cell r="T5">
            <v>94.410989010989013</v>
          </cell>
          <cell r="U5">
            <v>88.913043478260875</v>
          </cell>
          <cell r="V5">
            <v>95.000000000000014</v>
          </cell>
          <cell r="W5">
            <v>96.305205479452056</v>
          </cell>
          <cell r="X5">
            <v>68.833333333333329</v>
          </cell>
          <cell r="Y5">
            <v>71.703296703296687</v>
          </cell>
          <cell r="Z5">
            <v>68.478260869565261</v>
          </cell>
          <cell r="AA5">
            <v>72.55434782608701</v>
          </cell>
          <cell r="AB5">
            <v>70.39726027397262</v>
          </cell>
          <cell r="AC5">
            <v>48.555555555555529</v>
          </cell>
          <cell r="AD5">
            <v>44.395604395604387</v>
          </cell>
          <cell r="AE5">
            <v>43.260869565217355</v>
          </cell>
          <cell r="AF5">
            <v>44.565217391304365</v>
          </cell>
          <cell r="AG5">
            <v>45.17808219178081</v>
          </cell>
          <cell r="AH5">
            <v>46.999999999999972</v>
          </cell>
          <cell r="AI5">
            <v>48.131868131868082</v>
          </cell>
          <cell r="AJ5">
            <v>49.40000000000002</v>
          </cell>
          <cell r="AK5">
            <v>51.3</v>
          </cell>
          <cell r="AL5">
            <v>48.970958904109573</v>
          </cell>
          <cell r="AM5">
            <v>48.899999999999963</v>
          </cell>
          <cell r="AN5">
            <v>46.299999999999962</v>
          </cell>
          <cell r="AO5">
            <v>49.700000000000017</v>
          </cell>
          <cell r="AP5">
            <v>48.699999999999953</v>
          </cell>
          <cell r="AQ5">
            <v>48.403013698630112</v>
          </cell>
          <cell r="AR5">
            <v>48.899999999999963</v>
          </cell>
          <cell r="AS5">
            <v>46.099999999999966</v>
          </cell>
          <cell r="AT5">
            <v>44.500000000000014</v>
          </cell>
          <cell r="AU5">
            <v>45.000000000000007</v>
          </cell>
          <cell r="AV5">
            <v>46.109863013698593</v>
          </cell>
          <cell r="AW5">
            <v>50.500000000000007</v>
          </cell>
        </row>
        <row r="6">
          <cell r="A6" t="str">
            <v>Total Natural Gas Production</v>
          </cell>
          <cell r="M6">
            <v>398.63387978142077</v>
          </cell>
          <cell r="R6">
            <v>443.47945205479454</v>
          </cell>
          <cell r="S6">
            <v>535.55555555555554</v>
          </cell>
          <cell r="T6">
            <v>472.05494505494505</v>
          </cell>
          <cell r="U6">
            <v>444.56521739130437</v>
          </cell>
          <cell r="V6">
            <v>475</v>
          </cell>
          <cell r="W6">
            <v>481.52602739726029</v>
          </cell>
          <cell r="X6">
            <v>458.88888888888886</v>
          </cell>
          <cell r="Y6">
            <v>478.02197802197804</v>
          </cell>
          <cell r="Z6">
            <v>456.52173913043475</v>
          </cell>
          <cell r="AA6">
            <v>483.695652173913</v>
          </cell>
          <cell r="AB6">
            <v>469.3150684931507</v>
          </cell>
          <cell r="AC6">
            <v>485.5555555555556</v>
          </cell>
          <cell r="AD6">
            <v>443.95604395604391</v>
          </cell>
          <cell r="AE6">
            <v>432.60869565217388</v>
          </cell>
          <cell r="AF6">
            <v>445.6521739130435</v>
          </cell>
          <cell r="AG6">
            <v>451.78082191780817</v>
          </cell>
          <cell r="AH6">
            <v>470</v>
          </cell>
          <cell r="AI6">
            <v>481.31868131868129</v>
          </cell>
          <cell r="AJ6">
            <v>494</v>
          </cell>
          <cell r="AK6">
            <v>513</v>
          </cell>
          <cell r="AL6">
            <v>489.7095890410958</v>
          </cell>
          <cell r="AM6">
            <v>489</v>
          </cell>
          <cell r="AN6">
            <v>463</v>
          </cell>
          <cell r="AO6">
            <v>496.99999999999989</v>
          </cell>
          <cell r="AP6">
            <v>487</v>
          </cell>
          <cell r="AQ6">
            <v>484.03013698630139</v>
          </cell>
          <cell r="AR6">
            <v>489</v>
          </cell>
          <cell r="AS6">
            <v>461</v>
          </cell>
          <cell r="AT6">
            <v>445</v>
          </cell>
          <cell r="AU6">
            <v>450</v>
          </cell>
          <cell r="AV6">
            <v>461.09863013698623</v>
          </cell>
          <cell r="AW6">
            <v>504.99999999999994</v>
          </cell>
        </row>
        <row r="7">
          <cell r="A7" t="str">
            <v>Spot Production Volume % of Total</v>
          </cell>
          <cell r="C7">
            <v>0.73429643227711705</v>
          </cell>
          <cell r="D7">
            <v>0.69068322981366459</v>
          </cell>
          <cell r="E7">
            <v>0.75545512798893788</v>
          </cell>
          <cell r="F7">
            <v>0.78015290997035425</v>
          </cell>
          <cell r="G7">
            <v>0.73522458628841614</v>
          </cell>
          <cell r="H7">
            <v>0.73492603582492377</v>
          </cell>
          <cell r="I7">
            <v>0.7</v>
          </cell>
          <cell r="J7">
            <v>0.7</v>
          </cell>
          <cell r="K7">
            <v>0.7</v>
          </cell>
          <cell r="L7">
            <v>0.85</v>
          </cell>
          <cell r="M7">
            <v>0.73749999999999993</v>
          </cell>
          <cell r="N7">
            <v>0.75</v>
          </cell>
          <cell r="O7">
            <v>0.75</v>
          </cell>
          <cell r="P7">
            <v>0.75</v>
          </cell>
          <cell r="Q7">
            <v>0.75</v>
          </cell>
          <cell r="R7">
            <v>0.75</v>
          </cell>
          <cell r="S7">
            <v>0.8</v>
          </cell>
          <cell r="T7">
            <v>0.8</v>
          </cell>
          <cell r="U7">
            <v>0.8</v>
          </cell>
          <cell r="V7">
            <v>0.8</v>
          </cell>
          <cell r="W7">
            <v>0.8</v>
          </cell>
          <cell r="X7">
            <v>0.85</v>
          </cell>
          <cell r="Y7">
            <v>0.85</v>
          </cell>
          <cell r="Z7">
            <v>0.85</v>
          </cell>
          <cell r="AA7">
            <v>0.85</v>
          </cell>
          <cell r="AB7">
            <v>0.85</v>
          </cell>
          <cell r="AC7">
            <v>0.9</v>
          </cell>
          <cell r="AD7">
            <v>0.9</v>
          </cell>
          <cell r="AE7">
            <v>0.9</v>
          </cell>
          <cell r="AF7">
            <v>0.9</v>
          </cell>
          <cell r="AG7">
            <v>0.9</v>
          </cell>
          <cell r="AH7">
            <v>0.9</v>
          </cell>
          <cell r="AI7">
            <v>0.9</v>
          </cell>
          <cell r="AJ7">
            <v>0.9</v>
          </cell>
          <cell r="AK7">
            <v>0.9</v>
          </cell>
          <cell r="AL7">
            <v>0.9</v>
          </cell>
          <cell r="AM7">
            <v>0.9</v>
          </cell>
          <cell r="AN7">
            <v>0.9</v>
          </cell>
          <cell r="AO7">
            <v>0.9</v>
          </cell>
          <cell r="AP7">
            <v>0.9</v>
          </cell>
          <cell r="AQ7">
            <v>0.9</v>
          </cell>
          <cell r="AR7">
            <v>0.9</v>
          </cell>
          <cell r="AS7">
            <v>0.9</v>
          </cell>
          <cell r="AT7">
            <v>0.9</v>
          </cell>
          <cell r="AU7">
            <v>0.9</v>
          </cell>
          <cell r="AV7">
            <v>0.9</v>
          </cell>
          <cell r="AW7">
            <v>0.9</v>
          </cell>
        </row>
        <row r="9">
          <cell r="A9" t="str">
            <v>Period Production (Bcf)</v>
          </cell>
        </row>
        <row r="10">
          <cell r="A10" t="str">
            <v xml:space="preserve">  Natural Gas Spot Sales </v>
          </cell>
          <cell r="C10">
            <v>110.4</v>
          </cell>
          <cell r="D10">
            <v>27.8</v>
          </cell>
          <cell r="E10">
            <v>22.4</v>
          </cell>
          <cell r="F10">
            <v>20</v>
          </cell>
          <cell r="G10">
            <v>31.1</v>
          </cell>
          <cell r="H10">
            <v>101.30000000000001</v>
          </cell>
          <cell r="I10">
            <v>27.72</v>
          </cell>
          <cell r="J10">
            <v>19.599999999999998</v>
          </cell>
          <cell r="K10">
            <v>22.54</v>
          </cell>
          <cell r="L10">
            <v>39.185000000000002</v>
          </cell>
          <cell r="M10">
            <v>107.60124999999999</v>
          </cell>
          <cell r="N10">
            <v>35.104500000000002</v>
          </cell>
          <cell r="O10">
            <v>26.0655</v>
          </cell>
          <cell r="P10">
            <v>26.782499999999999</v>
          </cell>
          <cell r="Q10">
            <v>33.450000000000003</v>
          </cell>
          <cell r="R10">
            <v>121.4025</v>
          </cell>
          <cell r="S10">
            <v>38.56</v>
          </cell>
          <cell r="T10">
            <v>34.365600000000001</v>
          </cell>
          <cell r="U10">
            <v>32.72</v>
          </cell>
          <cell r="V10">
            <v>34.96</v>
          </cell>
          <cell r="W10">
            <v>140.60560000000001</v>
          </cell>
          <cell r="X10">
            <v>35.104999999999997</v>
          </cell>
          <cell r="Y10">
            <v>36.975000000000001</v>
          </cell>
          <cell r="Z10">
            <v>35.699999999999996</v>
          </cell>
          <cell r="AA10">
            <v>37.824999999999996</v>
          </cell>
          <cell r="AB10">
            <v>145.60499999999999</v>
          </cell>
          <cell r="AC10">
            <v>39.330000000000005</v>
          </cell>
          <cell r="AD10">
            <v>36.36</v>
          </cell>
          <cell r="AE10">
            <v>35.82</v>
          </cell>
          <cell r="AF10">
            <v>36.9</v>
          </cell>
          <cell r="AG10">
            <v>148.41</v>
          </cell>
          <cell r="AH10">
            <v>38.07</v>
          </cell>
          <cell r="AI10">
            <v>39.42</v>
          </cell>
          <cell r="AJ10">
            <v>40.903199999999998</v>
          </cell>
          <cell r="AK10">
            <v>42.476399999999998</v>
          </cell>
          <cell r="AL10">
            <v>160.86959999999999</v>
          </cell>
          <cell r="AM10">
            <v>39.609000000000002</v>
          </cell>
          <cell r="AN10">
            <v>37.919700000000006</v>
          </cell>
          <cell r="AO10">
            <v>41.151599999999995</v>
          </cell>
          <cell r="AP10">
            <v>40.323600000000006</v>
          </cell>
          <cell r="AQ10">
            <v>159.00390000000002</v>
          </cell>
          <cell r="AR10">
            <v>39.609000000000002</v>
          </cell>
          <cell r="AS10">
            <v>37.755900000000004</v>
          </cell>
          <cell r="AT10">
            <v>36.845999999999997</v>
          </cell>
          <cell r="AU10">
            <v>37.26</v>
          </cell>
          <cell r="AV10">
            <v>151.4709</v>
          </cell>
          <cell r="AW10">
            <v>165.89249999999998</v>
          </cell>
        </row>
        <row r="11">
          <cell r="A11" t="str">
            <v xml:space="preserve">  Natural Gas Contract Sales </v>
          </cell>
          <cell r="C11">
            <v>39.948000000000008</v>
          </cell>
          <cell r="D11">
            <v>12.45</v>
          </cell>
          <cell r="E11">
            <v>7.2510000000000012</v>
          </cell>
          <cell r="F11">
            <v>5.6359999999999992</v>
          </cell>
          <cell r="G11">
            <v>11.199999999999996</v>
          </cell>
          <cell r="H11">
            <v>36.536999999999992</v>
          </cell>
          <cell r="I11">
            <v>11.880000000000003</v>
          </cell>
          <cell r="J11">
            <v>8.4000000000000021</v>
          </cell>
          <cell r="K11">
            <v>9.6600000000000037</v>
          </cell>
          <cell r="L11">
            <v>6.9149999999999991</v>
          </cell>
          <cell r="M11">
            <v>38.298750000000013</v>
          </cell>
          <cell r="N11">
            <v>11.701499999999996</v>
          </cell>
          <cell r="O11">
            <v>8.6884999999999977</v>
          </cell>
          <cell r="P11">
            <v>8.927500000000002</v>
          </cell>
          <cell r="Q11">
            <v>11.149999999999999</v>
          </cell>
          <cell r="R11">
            <v>40.467500000000001</v>
          </cell>
          <cell r="S11">
            <v>9.64</v>
          </cell>
          <cell r="T11">
            <v>8.5914000000000001</v>
          </cell>
          <cell r="U11">
            <v>8.18</v>
          </cell>
          <cell r="V11">
            <v>8.740000000000002</v>
          </cell>
          <cell r="W11">
            <v>35.151400000000002</v>
          </cell>
          <cell r="X11">
            <v>6.1950000000000003</v>
          </cell>
          <cell r="Y11">
            <v>6.5249999999999986</v>
          </cell>
          <cell r="Z11">
            <v>6.3000000000000043</v>
          </cell>
          <cell r="AA11">
            <v>6.6750000000000043</v>
          </cell>
          <cell r="AB11">
            <v>25.695000000000007</v>
          </cell>
          <cell r="AC11">
            <v>4.3699999999999974</v>
          </cell>
          <cell r="AD11">
            <v>4.0399999999999991</v>
          </cell>
          <cell r="AE11">
            <v>3.9799999999999969</v>
          </cell>
          <cell r="AF11">
            <v>4.1000000000000014</v>
          </cell>
          <cell r="AG11">
            <v>16.489999999999995</v>
          </cell>
          <cell r="AH11">
            <v>4.2299999999999969</v>
          </cell>
          <cell r="AI11">
            <v>4.3799999999999955</v>
          </cell>
          <cell r="AJ11">
            <v>4.5448000000000022</v>
          </cell>
          <cell r="AK11">
            <v>4.7195999999999998</v>
          </cell>
          <cell r="AL11">
            <v>17.874399999999994</v>
          </cell>
          <cell r="AM11">
            <v>4.4009999999999962</v>
          </cell>
          <cell r="AN11">
            <v>4.2132999999999967</v>
          </cell>
          <cell r="AO11">
            <v>4.5724000000000018</v>
          </cell>
          <cell r="AP11">
            <v>4.4803999999999959</v>
          </cell>
          <cell r="AQ11">
            <v>17.667099999999991</v>
          </cell>
          <cell r="AR11">
            <v>4.4009999999999962</v>
          </cell>
          <cell r="AS11">
            <v>4.1950999999999965</v>
          </cell>
          <cell r="AT11">
            <v>4.0940000000000012</v>
          </cell>
          <cell r="AU11">
            <v>4.1400000000000006</v>
          </cell>
          <cell r="AV11">
            <v>16.830099999999987</v>
          </cell>
          <cell r="AW11">
            <v>18.432500000000005</v>
          </cell>
        </row>
        <row r="12">
          <cell r="A12" t="str">
            <v>Total Natural Gas Production</v>
          </cell>
          <cell r="C12">
            <v>150.34800000000001</v>
          </cell>
          <cell r="D12">
            <v>40.25</v>
          </cell>
          <cell r="E12">
            <v>29.651</v>
          </cell>
          <cell r="F12">
            <v>25.635999999999999</v>
          </cell>
          <cell r="G12">
            <v>42.3</v>
          </cell>
          <cell r="H12">
            <v>137.83699999999999</v>
          </cell>
          <cell r="I12">
            <v>39.6</v>
          </cell>
          <cell r="J12">
            <v>28</v>
          </cell>
          <cell r="K12">
            <v>32.200000000000003</v>
          </cell>
          <cell r="L12">
            <v>46.1</v>
          </cell>
          <cell r="M12">
            <v>145.9</v>
          </cell>
          <cell r="N12">
            <v>46.805999999999997</v>
          </cell>
          <cell r="O12">
            <v>34.753999999999998</v>
          </cell>
          <cell r="P12">
            <v>35.71</v>
          </cell>
          <cell r="Q12">
            <v>44.6</v>
          </cell>
          <cell r="R12">
            <v>161.87</v>
          </cell>
          <cell r="S12">
            <v>48.2</v>
          </cell>
          <cell r="T12">
            <v>42.957000000000001</v>
          </cell>
          <cell r="U12">
            <v>40.9</v>
          </cell>
          <cell r="V12">
            <v>43.7</v>
          </cell>
          <cell r="W12">
            <v>175.75700000000001</v>
          </cell>
          <cell r="X12">
            <v>41.3</v>
          </cell>
          <cell r="Y12">
            <v>43.5</v>
          </cell>
          <cell r="Z12">
            <v>42</v>
          </cell>
          <cell r="AA12">
            <v>44.5</v>
          </cell>
          <cell r="AB12">
            <v>171.3</v>
          </cell>
          <cell r="AC12">
            <v>43.7</v>
          </cell>
          <cell r="AD12">
            <v>40.4</v>
          </cell>
          <cell r="AE12">
            <v>39.799999999999997</v>
          </cell>
          <cell r="AF12">
            <v>41</v>
          </cell>
          <cell r="AG12">
            <v>164.89999999999998</v>
          </cell>
          <cell r="AH12">
            <v>42.3</v>
          </cell>
          <cell r="AI12">
            <v>43.8</v>
          </cell>
          <cell r="AJ12">
            <v>45.448</v>
          </cell>
          <cell r="AK12">
            <v>47.195999999999998</v>
          </cell>
          <cell r="AL12">
            <v>178.74399999999997</v>
          </cell>
          <cell r="AM12">
            <v>44.01</v>
          </cell>
          <cell r="AN12">
            <v>42.133000000000003</v>
          </cell>
          <cell r="AO12">
            <v>45.723999999999997</v>
          </cell>
          <cell r="AP12">
            <v>44.804000000000002</v>
          </cell>
          <cell r="AQ12">
            <v>176.67099999999999</v>
          </cell>
          <cell r="AR12">
            <v>44.01</v>
          </cell>
          <cell r="AS12">
            <v>41.951000000000001</v>
          </cell>
          <cell r="AT12">
            <v>40.94</v>
          </cell>
          <cell r="AU12">
            <v>41.4</v>
          </cell>
          <cell r="AV12">
            <v>168.30099999999999</v>
          </cell>
          <cell r="AW12">
            <v>184.32499999999999</v>
          </cell>
        </row>
        <row r="14">
          <cell r="A14" t="str">
            <v>Commodity Sales Price ($/Mcf)</v>
          </cell>
        </row>
        <row r="15">
          <cell r="A15" t="str">
            <v xml:space="preserve">  Natural Gas Spot Price</v>
          </cell>
          <cell r="C15">
            <v>1.61</v>
          </cell>
          <cell r="D15">
            <v>1.52</v>
          </cell>
          <cell r="E15">
            <v>1.27</v>
          </cell>
          <cell r="F15">
            <v>1.25</v>
          </cell>
          <cell r="G15">
            <v>1.78</v>
          </cell>
          <cell r="H15">
            <v>1.4912339585389931</v>
          </cell>
          <cell r="I15">
            <v>1.25</v>
          </cell>
          <cell r="J15">
            <v>1.53</v>
          </cell>
          <cell r="K15">
            <v>1.8</v>
          </cell>
          <cell r="L15">
            <v>2.17</v>
          </cell>
          <cell r="M15">
            <v>1.7680226763164926</v>
          </cell>
          <cell r="N15">
            <v>1.75</v>
          </cell>
          <cell r="O15">
            <v>2.08</v>
          </cell>
          <cell r="P15">
            <v>1.93</v>
          </cell>
          <cell r="Q15">
            <v>2.0499999999999998</v>
          </cell>
          <cell r="R15">
            <v>1.9432206091307838</v>
          </cell>
          <cell r="S15">
            <v>2.0099999999999998</v>
          </cell>
          <cell r="T15">
            <v>1.67</v>
          </cell>
          <cell r="U15">
            <v>1.49</v>
          </cell>
          <cell r="V15">
            <v>1.31</v>
          </cell>
          <cell r="W15">
            <v>1.6318450474234312</v>
          </cell>
          <cell r="X15">
            <v>1.1499999999999999</v>
          </cell>
          <cell r="Y15">
            <v>1.36</v>
          </cell>
          <cell r="Z15">
            <v>1.1375</v>
          </cell>
          <cell r="AA15">
            <v>1.54</v>
          </cell>
          <cell r="AB15">
            <v>1.3015761821366025</v>
          </cell>
          <cell r="AC15">
            <v>1.94</v>
          </cell>
          <cell r="AD15">
            <v>2.0299999999999998</v>
          </cell>
          <cell r="AE15">
            <v>1.93</v>
          </cell>
          <cell r="AF15">
            <v>2.61</v>
          </cell>
          <cell r="AG15">
            <v>2.126221952698605</v>
          </cell>
          <cell r="AH15">
            <v>2.718</v>
          </cell>
          <cell r="AI15">
            <v>1.82</v>
          </cell>
          <cell r="AJ15">
            <v>2.0099999999999998</v>
          </cell>
          <cell r="AK15">
            <v>2.73</v>
          </cell>
          <cell r="AL15">
            <v>2.3211014635456295</v>
          </cell>
          <cell r="AM15">
            <v>2</v>
          </cell>
          <cell r="AN15">
            <v>1.96</v>
          </cell>
          <cell r="AO15">
            <v>1.7849999999999999</v>
          </cell>
          <cell r="AP15">
            <v>1.85</v>
          </cell>
          <cell r="AQ15">
            <v>1.8967766073662342</v>
          </cell>
          <cell r="AR15">
            <v>1.53</v>
          </cell>
          <cell r="AS15">
            <v>1.93</v>
          </cell>
          <cell r="AT15">
            <v>2.2999999999999998</v>
          </cell>
          <cell r="AU15">
            <v>2.4500000000000002</v>
          </cell>
          <cell r="AV15">
            <v>2.0433195881189063</v>
          </cell>
          <cell r="AW15">
            <v>2.2000000000000002</v>
          </cell>
        </row>
        <row r="16">
          <cell r="A16" t="str">
            <v xml:space="preserve">  Natural Gas Contract Price</v>
          </cell>
          <cell r="C16">
            <v>1.685271853409432</v>
          </cell>
          <cell r="D16">
            <v>1.6493172690763052</v>
          </cell>
          <cell r="E16">
            <v>1.3926768721555653</v>
          </cell>
          <cell r="F16">
            <v>1.3864584811923346</v>
          </cell>
          <cell r="G16">
            <v>1.7044999999999999</v>
          </cell>
          <cell r="H16">
            <v>1.5747538112050798</v>
          </cell>
          <cell r="I16">
            <v>1.65</v>
          </cell>
          <cell r="J16">
            <v>1.3</v>
          </cell>
          <cell r="K16">
            <v>1.75</v>
          </cell>
          <cell r="L16">
            <v>2.2000000000000002</v>
          </cell>
          <cell r="M16">
            <v>1.6355625183589542</v>
          </cell>
          <cell r="N16">
            <v>1.68</v>
          </cell>
          <cell r="O16">
            <v>1.95</v>
          </cell>
          <cell r="P16">
            <v>1.95</v>
          </cell>
          <cell r="Q16">
            <v>2.0499999999999998</v>
          </cell>
          <cell r="R16">
            <v>1.8994803237165621</v>
          </cell>
          <cell r="S16">
            <v>2.1</v>
          </cell>
          <cell r="T16">
            <v>2</v>
          </cell>
          <cell r="U16">
            <v>2</v>
          </cell>
          <cell r="V16">
            <v>2.1</v>
          </cell>
          <cell r="W16">
            <v>2.0522881023230939</v>
          </cell>
          <cell r="X16">
            <v>2.15</v>
          </cell>
          <cell r="Y16">
            <v>2</v>
          </cell>
          <cell r="Z16">
            <v>2</v>
          </cell>
          <cell r="AA16">
            <v>2.2000000000000002</v>
          </cell>
          <cell r="AB16">
            <v>2.0881202568593111</v>
          </cell>
          <cell r="AC16">
            <v>2.1</v>
          </cell>
          <cell r="AD16">
            <v>2.1</v>
          </cell>
          <cell r="AE16">
            <v>2.1</v>
          </cell>
          <cell r="AF16">
            <v>2.1</v>
          </cell>
          <cell r="AG16">
            <v>2.1</v>
          </cell>
          <cell r="AH16">
            <v>2.1</v>
          </cell>
          <cell r="AI16">
            <v>2.1</v>
          </cell>
          <cell r="AJ16">
            <v>2.1</v>
          </cell>
          <cell r="AK16">
            <v>2.1</v>
          </cell>
          <cell r="AL16">
            <v>2.1</v>
          </cell>
          <cell r="AM16">
            <v>2.15</v>
          </cell>
          <cell r="AN16">
            <v>2.15</v>
          </cell>
          <cell r="AO16">
            <v>2.15</v>
          </cell>
          <cell r="AP16">
            <v>2.15</v>
          </cell>
          <cell r="AQ16">
            <v>2.15</v>
          </cell>
          <cell r="AR16">
            <v>2.15</v>
          </cell>
          <cell r="AS16">
            <v>2.15</v>
          </cell>
          <cell r="AT16">
            <v>2.15</v>
          </cell>
          <cell r="AU16">
            <v>2.15</v>
          </cell>
          <cell r="AV16">
            <v>2.1500000000000008</v>
          </cell>
          <cell r="AW16">
            <v>2.15</v>
          </cell>
        </row>
        <row r="17">
          <cell r="A17" t="str">
            <v>Average Natural Gas Price</v>
          </cell>
          <cell r="C17">
            <v>1.6300000000000001</v>
          </cell>
          <cell r="D17">
            <v>1.56</v>
          </cell>
          <cell r="E17">
            <v>1.3</v>
          </cell>
          <cell r="F17">
            <v>1.28</v>
          </cell>
          <cell r="G17">
            <v>1.7600094562647755</v>
          </cell>
          <cell r="H17">
            <v>1.5133728969725113</v>
          </cell>
          <cell r="I17">
            <v>1.37</v>
          </cell>
          <cell r="J17">
            <v>1.4610000000000001</v>
          </cell>
          <cell r="K17">
            <v>1.7850000000000001</v>
          </cell>
          <cell r="L17">
            <v>2.1744999999999997</v>
          </cell>
          <cell r="M17">
            <v>1.7332518848526386</v>
          </cell>
          <cell r="N17">
            <v>1.7324999999999999</v>
          </cell>
          <cell r="O17">
            <v>2.0474999999999999</v>
          </cell>
          <cell r="P17">
            <v>1.9350000000000001</v>
          </cell>
          <cell r="Q17">
            <v>2.0499999999999998</v>
          </cell>
          <cell r="R17">
            <v>1.9322855377772283</v>
          </cell>
          <cell r="S17">
            <v>2.028</v>
          </cell>
          <cell r="T17">
            <v>1.7360000000000002</v>
          </cell>
          <cell r="U17">
            <v>1.5920000000000001</v>
          </cell>
          <cell r="V17">
            <v>1.4680000000000002</v>
          </cell>
          <cell r="W17">
            <v>1.715933658403364</v>
          </cell>
          <cell r="X17">
            <v>1.2999999999999998</v>
          </cell>
          <cell r="Y17">
            <v>1.456</v>
          </cell>
          <cell r="Z17">
            <v>1.266875</v>
          </cell>
          <cell r="AA17">
            <v>1.639</v>
          </cell>
          <cell r="AB17">
            <v>1.4195577933450088</v>
          </cell>
          <cell r="AC17">
            <v>1.956</v>
          </cell>
          <cell r="AD17">
            <v>2.0369999999999999</v>
          </cell>
          <cell r="AE17">
            <v>1.9469999999999996</v>
          </cell>
          <cell r="AF17">
            <v>2.5589999999999997</v>
          </cell>
          <cell r="AG17">
            <v>2.1235997574287451</v>
          </cell>
          <cell r="AH17">
            <v>2.6562000000000001</v>
          </cell>
          <cell r="AI17">
            <v>1.8480000000000001</v>
          </cell>
          <cell r="AJ17">
            <v>2.0189999999999997</v>
          </cell>
          <cell r="AK17">
            <v>2.6669999999999998</v>
          </cell>
          <cell r="AL17">
            <v>2.2989913171910668</v>
          </cell>
          <cell r="AM17">
            <v>2.0150000000000001</v>
          </cell>
          <cell r="AN17">
            <v>1.9790000000000001</v>
          </cell>
          <cell r="AO17">
            <v>1.8214999999999999</v>
          </cell>
          <cell r="AP17">
            <v>1.8800000000000001</v>
          </cell>
          <cell r="AQ17">
            <v>1.922098946629611</v>
          </cell>
          <cell r="AR17">
            <v>1.5920000000000001</v>
          </cell>
          <cell r="AS17">
            <v>1.952</v>
          </cell>
          <cell r="AT17">
            <v>2.2849999999999997</v>
          </cell>
          <cell r="AU17">
            <v>2.42</v>
          </cell>
          <cell r="AV17">
            <v>2.0539876293070156</v>
          </cell>
          <cell r="AW17">
            <v>2.1950000000000003</v>
          </cell>
        </row>
        <row r="19">
          <cell r="A19" t="str">
            <v>Daily Sales ($000)</v>
          </cell>
        </row>
        <row r="20">
          <cell r="A20" t="str">
            <v xml:space="preserve">  Average Spot Gas Sales </v>
          </cell>
          <cell r="C20">
            <v>486.96986301369861</v>
          </cell>
          <cell r="D20">
            <v>469.51111111111118</v>
          </cell>
          <cell r="E20">
            <v>312.61538461538464</v>
          </cell>
          <cell r="F20">
            <v>271.73913043478262</v>
          </cell>
          <cell r="G20">
            <v>601.71739130434787</v>
          </cell>
          <cell r="H20">
            <v>413.89575436640655</v>
          </cell>
          <cell r="I20">
            <v>380.76923076923083</v>
          </cell>
          <cell r="J20">
            <v>329.53846153846149</v>
          </cell>
          <cell r="K20">
            <v>441</v>
          </cell>
          <cell r="L20">
            <v>924.25489130434778</v>
          </cell>
          <cell r="M20">
            <v>518.89064590301007</v>
          </cell>
          <cell r="N20">
            <v>682.58749999999998</v>
          </cell>
          <cell r="O20">
            <v>595.7828571428571</v>
          </cell>
          <cell r="P20">
            <v>561.85027173913045</v>
          </cell>
          <cell r="Q20">
            <v>745.35326086956513</v>
          </cell>
          <cell r="R20">
            <v>646.39347243788814</v>
          </cell>
          <cell r="S20">
            <v>861.17333333333329</v>
          </cell>
          <cell r="T20">
            <v>630.6654065934066</v>
          </cell>
          <cell r="U20">
            <v>529.92173913043484</v>
          </cell>
          <cell r="V20">
            <v>497.8</v>
          </cell>
          <cell r="W20">
            <v>628.6206904109589</v>
          </cell>
          <cell r="X20">
            <v>448.56388888888881</v>
          </cell>
          <cell r="Y20">
            <v>552.59340659340671</v>
          </cell>
          <cell r="Z20">
            <v>441.39945652173907</v>
          </cell>
          <cell r="AA20">
            <v>633.15760869565202</v>
          </cell>
          <cell r="AB20">
            <v>519.22191780821913</v>
          </cell>
          <cell r="AC20">
            <v>847.78000000000009</v>
          </cell>
          <cell r="AD20">
            <v>811.10769230769222</v>
          </cell>
          <cell r="AE20">
            <v>751.44130434782608</v>
          </cell>
          <cell r="AF20">
            <v>1046.836956521739</v>
          </cell>
          <cell r="AG20">
            <v>864.52767123287663</v>
          </cell>
          <cell r="AH20">
            <v>1149.7139999999999</v>
          </cell>
          <cell r="AI20">
            <v>788.40000000000009</v>
          </cell>
          <cell r="AJ20">
            <v>893.64599999999984</v>
          </cell>
          <cell r="AK20">
            <v>1260.441</v>
          </cell>
          <cell r="AL20">
            <v>1022.9990794520546</v>
          </cell>
          <cell r="AM20">
            <v>880.2</v>
          </cell>
          <cell r="AN20">
            <v>816.73200000000008</v>
          </cell>
          <cell r="AO20">
            <v>798.43049999999982</v>
          </cell>
          <cell r="AP20">
            <v>810.85500000000013</v>
          </cell>
          <cell r="AQ20">
            <v>826.2873369863014</v>
          </cell>
          <cell r="AR20">
            <v>673.35300000000007</v>
          </cell>
          <cell r="AS20">
            <v>800.75700000000006</v>
          </cell>
          <cell r="AT20">
            <v>921.15</v>
          </cell>
          <cell r="AU20">
            <v>992.25000000000011</v>
          </cell>
          <cell r="AV20">
            <v>847.95467671232882</v>
          </cell>
          <cell r="AW20">
            <v>999.9</v>
          </cell>
        </row>
        <row r="21">
          <cell r="A21" t="str">
            <v xml:space="preserve">  Average Contract Gas Sales</v>
          </cell>
          <cell r="C21" t="e">
            <v>#REF!</v>
          </cell>
          <cell r="D21">
            <v>228.15555555555557</v>
          </cell>
          <cell r="E21">
            <v>110.97032967032972</v>
          </cell>
          <cell r="F21">
            <v>84.935652173913013</v>
          </cell>
          <cell r="G21">
            <v>207.50434782608687</v>
          </cell>
          <cell r="H21">
            <v>157.89147130647129</v>
          </cell>
          <cell r="I21">
            <v>215.40659340659343</v>
          </cell>
          <cell r="J21">
            <v>120.00000000000001</v>
          </cell>
          <cell r="K21">
            <v>183.75000000000009</v>
          </cell>
          <cell r="L21">
            <v>165.35869565217391</v>
          </cell>
          <cell r="M21">
            <v>171.12882226469185</v>
          </cell>
          <cell r="N21">
            <v>218.42799999999991</v>
          </cell>
          <cell r="O21">
            <v>186.18214285714282</v>
          </cell>
          <cell r="P21">
            <v>189.22418478260872</v>
          </cell>
          <cell r="Q21">
            <v>248.45108695652166</v>
          </cell>
          <cell r="R21">
            <v>210.57135364906827</v>
          </cell>
          <cell r="S21">
            <v>224.93333333333334</v>
          </cell>
          <cell r="T21">
            <v>188.82197802197803</v>
          </cell>
          <cell r="U21">
            <v>177.82608695652175</v>
          </cell>
          <cell r="V21">
            <v>199.50000000000003</v>
          </cell>
          <cell r="W21">
            <v>197.77034957795829</v>
          </cell>
          <cell r="X21">
            <v>147.99166666666665</v>
          </cell>
          <cell r="Y21">
            <v>143.40659340659337</v>
          </cell>
          <cell r="Z21">
            <v>136.95652173913052</v>
          </cell>
          <cell r="AA21">
            <v>159.61956521739143</v>
          </cell>
          <cell r="AB21">
            <v>146.99358675744548</v>
          </cell>
          <cell r="AC21">
            <v>101.96666666666661</v>
          </cell>
          <cell r="AD21">
            <v>93.230769230769212</v>
          </cell>
          <cell r="AE21">
            <v>90.847826086956445</v>
          </cell>
          <cell r="AF21">
            <v>93.586956521739168</v>
          </cell>
          <cell r="AG21">
            <v>94.908054626532859</v>
          </cell>
          <cell r="AH21">
            <v>98.699999999999946</v>
          </cell>
          <cell r="AI21">
            <v>101.07692307692298</v>
          </cell>
          <cell r="AJ21">
            <v>103.74000000000005</v>
          </cell>
          <cell r="AK21">
            <v>107.73</v>
          </cell>
          <cell r="AL21">
            <v>102.81173076923075</v>
          </cell>
          <cell r="AM21">
            <v>105.13499999999992</v>
          </cell>
          <cell r="AN21">
            <v>99.544999999999916</v>
          </cell>
          <cell r="AO21">
            <v>106.85500000000003</v>
          </cell>
          <cell r="AP21">
            <v>104.7049999999999</v>
          </cell>
          <cell r="AQ21">
            <v>104.05999999999995</v>
          </cell>
          <cell r="AR21">
            <v>105.13499999999992</v>
          </cell>
          <cell r="AS21">
            <v>99.114999999999924</v>
          </cell>
          <cell r="AT21">
            <v>95.675000000000026</v>
          </cell>
          <cell r="AU21">
            <v>96.750000000000014</v>
          </cell>
          <cell r="AV21">
            <v>99.136205479452016</v>
          </cell>
          <cell r="AW21">
            <v>108.57500000000002</v>
          </cell>
        </row>
        <row r="22">
          <cell r="A22" t="str">
            <v>Daily Natural Gas Sales</v>
          </cell>
          <cell r="C22" t="e">
            <v>#REF!</v>
          </cell>
          <cell r="D22">
            <v>697.66666666666674</v>
          </cell>
          <cell r="E22">
            <v>423.58571428571435</v>
          </cell>
          <cell r="F22">
            <v>356.67478260869564</v>
          </cell>
          <cell r="G22">
            <v>809.2217391304348</v>
          </cell>
          <cell r="H22">
            <v>571.78722567287787</v>
          </cell>
          <cell r="I22">
            <v>596.17582417582423</v>
          </cell>
          <cell r="J22">
            <v>449.53846153846149</v>
          </cell>
          <cell r="K22">
            <v>624.75000000000011</v>
          </cell>
          <cell r="L22">
            <v>1089.6135869565217</v>
          </cell>
          <cell r="M22">
            <v>690.01946816770192</v>
          </cell>
          <cell r="N22">
            <v>901.01549999999986</v>
          </cell>
          <cell r="O22">
            <v>781.96499999999992</v>
          </cell>
          <cell r="P22">
            <v>751.07445652173919</v>
          </cell>
          <cell r="Q22">
            <v>993.80434782608677</v>
          </cell>
          <cell r="R22">
            <v>856.96482608695646</v>
          </cell>
          <cell r="S22">
            <v>1086.1066666666666</v>
          </cell>
          <cell r="T22">
            <v>819.4873846153846</v>
          </cell>
          <cell r="U22">
            <v>707.74782608695659</v>
          </cell>
          <cell r="V22">
            <v>697.30000000000007</v>
          </cell>
          <cell r="W22">
            <v>826.39103998891721</v>
          </cell>
          <cell r="X22">
            <v>596.55555555555543</v>
          </cell>
          <cell r="Y22">
            <v>696.00000000000011</v>
          </cell>
          <cell r="Z22">
            <v>578.35597826086962</v>
          </cell>
          <cell r="AA22">
            <v>792.7771739130435</v>
          </cell>
          <cell r="AB22">
            <v>666.21550456566456</v>
          </cell>
          <cell r="AC22">
            <v>949.74666666666667</v>
          </cell>
          <cell r="AD22">
            <v>904.33846153846139</v>
          </cell>
          <cell r="AE22">
            <v>842.28913043478246</v>
          </cell>
          <cell r="AF22">
            <v>1140.4239130434783</v>
          </cell>
          <cell r="AG22">
            <v>959.43572585940944</v>
          </cell>
          <cell r="AH22">
            <v>1248.414</v>
          </cell>
          <cell r="AI22">
            <v>889.47692307692307</v>
          </cell>
          <cell r="AJ22">
            <v>997.38599999999985</v>
          </cell>
          <cell r="AK22">
            <v>1368.171</v>
          </cell>
          <cell r="AL22">
            <v>1125.8108102212855</v>
          </cell>
          <cell r="AM22">
            <v>985.33499999999992</v>
          </cell>
          <cell r="AN22">
            <v>916.27700000000004</v>
          </cell>
          <cell r="AO22">
            <v>905.28549999999984</v>
          </cell>
          <cell r="AP22">
            <v>915.56000000000006</v>
          </cell>
          <cell r="AQ22">
            <v>930.34733698630134</v>
          </cell>
          <cell r="AR22">
            <v>778.48799999999994</v>
          </cell>
          <cell r="AS22">
            <v>899.87199999999996</v>
          </cell>
          <cell r="AT22">
            <v>1016.825</v>
          </cell>
          <cell r="AU22">
            <v>1089.0000000000002</v>
          </cell>
          <cell r="AV22">
            <v>947.09088219178079</v>
          </cell>
          <cell r="AW22">
            <v>1108.4749999999999</v>
          </cell>
        </row>
        <row r="24">
          <cell r="A24" t="str">
            <v>Period Sales (Millions)</v>
          </cell>
        </row>
        <row r="25">
          <cell r="A25" t="str">
            <v xml:space="preserve">  Period Spot Gas Sales </v>
          </cell>
          <cell r="C25">
            <v>177.744</v>
          </cell>
          <cell r="D25">
            <v>42.256</v>
          </cell>
          <cell r="E25">
            <v>28.447999999999997</v>
          </cell>
          <cell r="F25">
            <v>25</v>
          </cell>
          <cell r="G25">
            <v>55.358000000000004</v>
          </cell>
          <cell r="H25">
            <v>151.06200000000001</v>
          </cell>
          <cell r="I25">
            <v>34.65</v>
          </cell>
          <cell r="J25">
            <v>29.987999999999996</v>
          </cell>
          <cell r="K25">
            <v>40.572000000000003</v>
          </cell>
          <cell r="L25">
            <v>85.031450000000007</v>
          </cell>
          <cell r="M25">
            <v>190.24144999999999</v>
          </cell>
          <cell r="N25">
            <v>61.432875000000003</v>
          </cell>
          <cell r="O25">
            <v>54.216239999999999</v>
          </cell>
          <cell r="P25">
            <v>51.690224999999998</v>
          </cell>
          <cell r="Q25">
            <v>68.572500000000005</v>
          </cell>
          <cell r="R25">
            <v>235.91183999999998</v>
          </cell>
          <cell r="S25">
            <v>77.505600000000001</v>
          </cell>
          <cell r="T25">
            <v>57.390552</v>
          </cell>
          <cell r="U25">
            <v>48.752800000000001</v>
          </cell>
          <cell r="V25">
            <v>45.797600000000003</v>
          </cell>
          <cell r="W25">
            <v>229.446552</v>
          </cell>
          <cell r="X25">
            <v>40.370749999999994</v>
          </cell>
          <cell r="Y25">
            <v>50.286000000000008</v>
          </cell>
          <cell r="Z25">
            <v>40.608749999999993</v>
          </cell>
          <cell r="AA25">
            <v>58.250499999999995</v>
          </cell>
          <cell r="AB25">
            <v>189.51599999999999</v>
          </cell>
          <cell r="AC25">
            <v>76.300200000000004</v>
          </cell>
          <cell r="AD25">
            <v>73.810799999999986</v>
          </cell>
          <cell r="AE25">
            <v>69.132599999999996</v>
          </cell>
          <cell r="AF25">
            <v>96.308999999999997</v>
          </cell>
          <cell r="AG25">
            <v>315.55259999999998</v>
          </cell>
          <cell r="AH25">
            <v>103.47426</v>
          </cell>
          <cell r="AI25">
            <v>71.744399999999999</v>
          </cell>
          <cell r="AJ25">
            <v>82.215431999999993</v>
          </cell>
          <cell r="AK25">
            <v>115.960572</v>
          </cell>
          <cell r="AL25">
            <v>373.39466399999998</v>
          </cell>
          <cell r="AM25">
            <v>79.218000000000004</v>
          </cell>
          <cell r="AN25">
            <v>74.322612000000007</v>
          </cell>
          <cell r="AO25">
            <v>73.455605999999989</v>
          </cell>
          <cell r="AP25">
            <v>74.59866000000001</v>
          </cell>
          <cell r="AQ25">
            <v>301.59487799999999</v>
          </cell>
          <cell r="AR25">
            <v>60.601770000000002</v>
          </cell>
          <cell r="AS25">
            <v>72.868887000000001</v>
          </cell>
          <cell r="AT25">
            <v>84.745799999999988</v>
          </cell>
          <cell r="AU25">
            <v>91.287000000000006</v>
          </cell>
          <cell r="AV25">
            <v>309.50345700000003</v>
          </cell>
          <cell r="AW25">
            <v>364.96350000000001</v>
          </cell>
        </row>
        <row r="26">
          <cell r="A26" t="str">
            <v xml:space="preserve">  Period Contract Gas Sales </v>
          </cell>
          <cell r="C26">
            <v>67.323239999999998</v>
          </cell>
          <cell r="D26">
            <v>20.533999999999999</v>
          </cell>
          <cell r="E26">
            <v>10.098300000000005</v>
          </cell>
          <cell r="F26">
            <v>7.814079999999997</v>
          </cell>
          <cell r="G26">
            <v>19.090399999999992</v>
          </cell>
          <cell r="H26">
            <v>57.536779999999993</v>
          </cell>
          <cell r="I26">
            <v>19.602000000000004</v>
          </cell>
          <cell r="J26">
            <v>10.920000000000003</v>
          </cell>
          <cell r="K26">
            <v>16.905000000000008</v>
          </cell>
          <cell r="L26">
            <v>15.212999999999999</v>
          </cell>
          <cell r="M26">
            <v>62.640000000000015</v>
          </cell>
          <cell r="N26">
            <v>19.658519999999992</v>
          </cell>
          <cell r="O26">
            <v>16.942574999999994</v>
          </cell>
          <cell r="P26">
            <v>17.408625000000004</v>
          </cell>
          <cell r="Q26">
            <v>22.857499999999995</v>
          </cell>
          <cell r="R26">
            <v>76.867219999999975</v>
          </cell>
          <cell r="S26">
            <v>20.244000000000003</v>
          </cell>
          <cell r="T26">
            <v>17.1828</v>
          </cell>
          <cell r="U26">
            <v>16.36</v>
          </cell>
          <cell r="V26">
            <v>18.354000000000006</v>
          </cell>
          <cell r="W26">
            <v>72.140800000000013</v>
          </cell>
          <cell r="X26">
            <v>13.31925</v>
          </cell>
          <cell r="Y26">
            <v>13.049999999999997</v>
          </cell>
          <cell r="Z26">
            <v>12.600000000000009</v>
          </cell>
          <cell r="AA26">
            <v>14.685000000000011</v>
          </cell>
          <cell r="AB26">
            <v>53.654250000000012</v>
          </cell>
          <cell r="AC26">
            <v>9.1769999999999943</v>
          </cell>
          <cell r="AD26">
            <v>8.4839999999999982</v>
          </cell>
          <cell r="AE26">
            <v>8.3579999999999934</v>
          </cell>
          <cell r="AF26">
            <v>8.610000000000003</v>
          </cell>
          <cell r="AG26">
            <v>34.628999999999991</v>
          </cell>
          <cell r="AH26">
            <v>8.8829999999999938</v>
          </cell>
          <cell r="AI26">
            <v>9.1979999999999915</v>
          </cell>
          <cell r="AJ26">
            <v>9.5440800000000046</v>
          </cell>
          <cell r="AK26">
            <v>9.9111600000000006</v>
          </cell>
          <cell r="AL26">
            <v>37.536239999999992</v>
          </cell>
          <cell r="AM26">
            <v>9.4621499999999923</v>
          </cell>
          <cell r="AN26">
            <v>9.0585949999999933</v>
          </cell>
          <cell r="AO26">
            <v>9.8306600000000035</v>
          </cell>
          <cell r="AP26">
            <v>9.6328599999999902</v>
          </cell>
          <cell r="AQ26">
            <v>37.984264999999979</v>
          </cell>
          <cell r="AR26">
            <v>9.4621499999999923</v>
          </cell>
          <cell r="AS26">
            <v>9.0194649999999914</v>
          </cell>
          <cell r="AT26">
            <v>8.8021000000000029</v>
          </cell>
          <cell r="AU26">
            <v>8.9010000000000016</v>
          </cell>
          <cell r="AV26">
            <v>36.18471499999999</v>
          </cell>
          <cell r="AW26">
            <v>39.629875000000006</v>
          </cell>
        </row>
        <row r="27">
          <cell r="A27" t="str">
            <v>Total Natural Gas Sales</v>
          </cell>
          <cell r="C27">
            <v>245.06724</v>
          </cell>
          <cell r="D27">
            <v>62.79</v>
          </cell>
          <cell r="E27">
            <v>38.546300000000002</v>
          </cell>
          <cell r="F27">
            <v>32.814079999999997</v>
          </cell>
          <cell r="G27">
            <v>74.448399999999992</v>
          </cell>
          <cell r="H27">
            <v>208.59878</v>
          </cell>
          <cell r="I27">
            <v>54.252000000000002</v>
          </cell>
          <cell r="J27">
            <v>40.908000000000001</v>
          </cell>
          <cell r="K27">
            <v>57.477000000000011</v>
          </cell>
          <cell r="L27">
            <v>100.24445</v>
          </cell>
          <cell r="M27">
            <v>252.88145</v>
          </cell>
          <cell r="N27">
            <v>81.091394999999991</v>
          </cell>
          <cell r="O27">
            <v>71.15881499999999</v>
          </cell>
          <cell r="P27">
            <v>69.098849999999999</v>
          </cell>
          <cell r="Q27">
            <v>91.43</v>
          </cell>
          <cell r="R27">
            <v>312.77905999999996</v>
          </cell>
          <cell r="S27">
            <v>97.749600000000001</v>
          </cell>
          <cell r="T27">
            <v>74.573352</v>
          </cell>
          <cell r="U27">
            <v>65.112799999999993</v>
          </cell>
          <cell r="V27">
            <v>64.151600000000002</v>
          </cell>
          <cell r="W27">
            <v>301.58735200000001</v>
          </cell>
          <cell r="X27">
            <v>53.69</v>
          </cell>
          <cell r="Y27">
            <v>63.336000000000006</v>
          </cell>
          <cell r="Z27">
            <v>53.208750000000002</v>
          </cell>
          <cell r="AA27">
            <v>72.935500000000005</v>
          </cell>
          <cell r="AB27">
            <v>243.17025000000001</v>
          </cell>
          <cell r="AC27">
            <v>85.477199999999996</v>
          </cell>
          <cell r="AD27">
            <v>82.294799999999981</v>
          </cell>
          <cell r="AE27">
            <v>77.490599999999986</v>
          </cell>
          <cell r="AF27">
            <v>104.919</v>
          </cell>
          <cell r="AG27">
            <v>350.1816</v>
          </cell>
          <cell r="AH27">
            <v>112.35726</v>
          </cell>
          <cell r="AI27">
            <v>80.942399999999992</v>
          </cell>
          <cell r="AJ27">
            <v>91.759512000000001</v>
          </cell>
          <cell r="AK27">
            <v>125.87173199999999</v>
          </cell>
          <cell r="AL27">
            <v>410.93090399999994</v>
          </cell>
          <cell r="AM27">
            <v>88.680149999999998</v>
          </cell>
          <cell r="AN27">
            <v>83.381207000000003</v>
          </cell>
          <cell r="AO27">
            <v>83.286265999999998</v>
          </cell>
          <cell r="AP27">
            <v>84.231520000000003</v>
          </cell>
          <cell r="AQ27">
            <v>339.57914299999999</v>
          </cell>
          <cell r="AR27">
            <v>70.063919999999996</v>
          </cell>
          <cell r="AS27">
            <v>81.888351999999998</v>
          </cell>
          <cell r="AT27">
            <v>93.547899999999998</v>
          </cell>
          <cell r="AU27">
            <v>100.188</v>
          </cell>
          <cell r="AV27">
            <v>345.68817200000001</v>
          </cell>
          <cell r="AW27">
            <v>404.59337500000004</v>
          </cell>
        </row>
        <row r="30">
          <cell r="A30" t="str">
            <v>Anadarko Petroleum Corporation</v>
          </cell>
        </row>
        <row r="31">
          <cell r="A31" t="str">
            <v>Revenue Worksheet</v>
          </cell>
        </row>
        <row r="33">
          <cell r="A33" t="str">
            <v>US Average Commodity Price</v>
          </cell>
          <cell r="C33">
            <v>1990</v>
          </cell>
          <cell r="D33" t="str">
            <v>1Q91</v>
          </cell>
          <cell r="E33" t="str">
            <v>2Q91</v>
          </cell>
          <cell r="F33" t="str">
            <v>3Q91</v>
          </cell>
          <cell r="G33" t="str">
            <v>4Q91</v>
          </cell>
          <cell r="H33">
            <v>1991</v>
          </cell>
          <cell r="I33" t="str">
            <v>1Q92</v>
          </cell>
          <cell r="J33" t="str">
            <v>2Q92</v>
          </cell>
          <cell r="K33" t="str">
            <v>3Q92</v>
          </cell>
          <cell r="L33" t="str">
            <v>4Q92</v>
          </cell>
          <cell r="M33">
            <v>1992</v>
          </cell>
          <cell r="N33" t="str">
            <v>1Q93</v>
          </cell>
          <cell r="O33" t="str">
            <v>2Q93</v>
          </cell>
          <cell r="P33" t="str">
            <v>3Q93</v>
          </cell>
          <cell r="Q33" t="str">
            <v>4Q93</v>
          </cell>
          <cell r="R33">
            <v>1993</v>
          </cell>
          <cell r="S33" t="str">
            <v>1Q94</v>
          </cell>
          <cell r="T33" t="str">
            <v>2Q94</v>
          </cell>
          <cell r="U33" t="str">
            <v>3Q94</v>
          </cell>
          <cell r="V33" t="str">
            <v>4Q94</v>
          </cell>
          <cell r="W33">
            <v>1994</v>
          </cell>
          <cell r="X33" t="str">
            <v>1q</v>
          </cell>
          <cell r="Y33" t="str">
            <v>2q</v>
          </cell>
          <cell r="Z33" t="str">
            <v>3q</v>
          </cell>
          <cell r="AA33" t="str">
            <v>4q</v>
          </cell>
          <cell r="AB33">
            <v>1995</v>
          </cell>
          <cell r="AC33" t="str">
            <v>1q</v>
          </cell>
          <cell r="AD33" t="str">
            <v>2q</v>
          </cell>
          <cell r="AE33" t="str">
            <v>3q</v>
          </cell>
          <cell r="AF33" t="str">
            <v>4q</v>
          </cell>
          <cell r="AG33" t="str">
            <v>1996</v>
          </cell>
          <cell r="AH33" t="str">
            <v>1q</v>
          </cell>
          <cell r="AI33" t="str">
            <v>2q</v>
          </cell>
          <cell r="AJ33" t="str">
            <v>3q</v>
          </cell>
          <cell r="AK33" t="str">
            <v>4q</v>
          </cell>
          <cell r="AL33" t="str">
            <v>1997</v>
          </cell>
          <cell r="AM33" t="str">
            <v>1q</v>
          </cell>
          <cell r="AN33" t="str">
            <v>2q</v>
          </cell>
          <cell r="AO33" t="str">
            <v>3q</v>
          </cell>
          <cell r="AP33" t="str">
            <v>4q</v>
          </cell>
          <cell r="AQ33" t="str">
            <v>1998</v>
          </cell>
          <cell r="AR33" t="str">
            <v>1q</v>
          </cell>
          <cell r="AS33" t="str">
            <v>2q</v>
          </cell>
          <cell r="AT33" t="str">
            <v>3qe</v>
          </cell>
          <cell r="AU33" t="str">
            <v>4qe</v>
          </cell>
          <cell r="AV33" t="str">
            <v>1999E</v>
          </cell>
          <cell r="AW33" t="str">
            <v>2000E</v>
          </cell>
        </row>
        <row r="34">
          <cell r="A34" t="str">
            <v>WTI Spot</v>
          </cell>
          <cell r="C34">
            <v>24.47</v>
          </cell>
          <cell r="D34">
            <v>22.193333333333332</v>
          </cell>
          <cell r="E34">
            <v>20.74</v>
          </cell>
          <cell r="F34">
            <v>21.72666666666667</v>
          </cell>
          <cell r="G34">
            <v>21.75333333333333</v>
          </cell>
          <cell r="H34">
            <v>21.6</v>
          </cell>
          <cell r="I34">
            <v>18.89</v>
          </cell>
          <cell r="J34">
            <v>21.14</v>
          </cell>
          <cell r="K34">
            <v>21.636666666666667</v>
          </cell>
          <cell r="L34">
            <v>20.476666666666667</v>
          </cell>
          <cell r="M34">
            <v>20.54</v>
          </cell>
          <cell r="N34">
            <v>19.866666666666667</v>
          </cell>
          <cell r="O34">
            <v>19.786666666666665</v>
          </cell>
          <cell r="P34">
            <v>17.796666666666667</v>
          </cell>
          <cell r="Q34">
            <v>15.53</v>
          </cell>
          <cell r="R34">
            <v>18.489999999999998</v>
          </cell>
          <cell r="S34">
            <v>14.72</v>
          </cell>
          <cell r="T34">
            <v>17.606666666666669</v>
          </cell>
          <cell r="U34">
            <v>18.510000000000002</v>
          </cell>
          <cell r="V34">
            <v>17.233333333333334</v>
          </cell>
          <cell r="W34">
            <v>16.73</v>
          </cell>
          <cell r="X34">
            <v>18.27</v>
          </cell>
          <cell r="Y34">
            <v>19.34</v>
          </cell>
          <cell r="Z34">
            <v>17.833333333333332</v>
          </cell>
          <cell r="AA34">
            <v>18.09</v>
          </cell>
          <cell r="AB34">
            <v>18.399999999999999</v>
          </cell>
          <cell r="AC34">
            <v>19.34</v>
          </cell>
          <cell r="AD34">
            <v>21.8</v>
          </cell>
          <cell r="AE34">
            <v>22.186699999999998</v>
          </cell>
          <cell r="AF34">
            <v>24.75</v>
          </cell>
          <cell r="AG34">
            <v>22.019175000000001</v>
          </cell>
          <cell r="AH34">
            <v>22.81</v>
          </cell>
          <cell r="AI34">
            <v>19.86</v>
          </cell>
          <cell r="AJ34">
            <v>19.72</v>
          </cell>
          <cell r="AK34">
            <v>19.920000000000002</v>
          </cell>
          <cell r="AL34">
            <v>20.577500000000001</v>
          </cell>
          <cell r="AM34">
            <v>15.94</v>
          </cell>
          <cell r="AN34">
            <v>14.65</v>
          </cell>
          <cell r="AO34">
            <v>14.05</v>
          </cell>
          <cell r="AP34">
            <v>13.77</v>
          </cell>
          <cell r="AQ34">
            <v>14.602499999999999</v>
          </cell>
          <cell r="AR34">
            <v>12.98</v>
          </cell>
          <cell r="AS34">
            <v>17.55</v>
          </cell>
          <cell r="AT34">
            <v>21.15</v>
          </cell>
          <cell r="AU34">
            <v>21.9</v>
          </cell>
          <cell r="AV34">
            <v>18.395</v>
          </cell>
          <cell r="AW34">
            <v>19.5</v>
          </cell>
        </row>
        <row r="35">
          <cell r="A35" t="str">
            <v>Natural Gas Composite</v>
          </cell>
          <cell r="C35">
            <v>1.59</v>
          </cell>
          <cell r="D35">
            <v>1.4075</v>
          </cell>
          <cell r="E35">
            <v>1.1936666666666664</v>
          </cell>
          <cell r="F35">
            <v>1.2030000000000001</v>
          </cell>
          <cell r="G35">
            <v>1.6641666666666666</v>
          </cell>
          <cell r="H35">
            <v>1.37</v>
          </cell>
          <cell r="I35">
            <v>1.1633333333333333</v>
          </cell>
          <cell r="J35">
            <v>1.4035</v>
          </cell>
          <cell r="K35">
            <v>1.7749999999999999</v>
          </cell>
          <cell r="L35">
            <v>2.1266666666666665</v>
          </cell>
          <cell r="M35">
            <v>1.62</v>
          </cell>
          <cell r="N35">
            <v>1.8166666666666664</v>
          </cell>
          <cell r="O35">
            <v>2.0233333333333334</v>
          </cell>
          <cell r="P35">
            <v>2.0366666666666666</v>
          </cell>
          <cell r="Q35">
            <v>1.99</v>
          </cell>
          <cell r="R35">
            <v>1.96</v>
          </cell>
          <cell r="S35">
            <v>2.16</v>
          </cell>
          <cell r="T35">
            <v>1.7433333333333334</v>
          </cell>
          <cell r="U35">
            <v>1.53</v>
          </cell>
          <cell r="V35">
            <v>1.45</v>
          </cell>
          <cell r="W35">
            <v>1.73</v>
          </cell>
          <cell r="X35">
            <v>1.32</v>
          </cell>
          <cell r="Y35">
            <v>1.41</v>
          </cell>
          <cell r="Z35">
            <v>1.36</v>
          </cell>
          <cell r="AA35">
            <v>1.81</v>
          </cell>
          <cell r="AB35">
            <v>1.47</v>
          </cell>
          <cell r="AC35">
            <v>2.7366999999999999</v>
          </cell>
          <cell r="AD35">
            <v>2.15</v>
          </cell>
          <cell r="AE35">
            <v>1.98</v>
          </cell>
          <cell r="AF35">
            <v>2.85</v>
          </cell>
          <cell r="AG35">
            <v>2.4291749999999999</v>
          </cell>
          <cell r="AH35">
            <v>2.5</v>
          </cell>
          <cell r="AI35">
            <v>1.99</v>
          </cell>
          <cell r="AJ35">
            <v>2.3199999999999998</v>
          </cell>
          <cell r="AK35">
            <v>2.7</v>
          </cell>
          <cell r="AL35">
            <v>2.3775000000000004</v>
          </cell>
          <cell r="AM35">
            <v>2.0499999999999998</v>
          </cell>
          <cell r="AN35">
            <v>2.12</v>
          </cell>
          <cell r="AO35">
            <v>1.9</v>
          </cell>
          <cell r="AP35">
            <v>1.8</v>
          </cell>
          <cell r="AQ35">
            <v>1.9675</v>
          </cell>
          <cell r="AR35">
            <v>1.68</v>
          </cell>
          <cell r="AS35">
            <v>2.08</v>
          </cell>
          <cell r="AT35">
            <v>2.4500000000000002</v>
          </cell>
          <cell r="AU35">
            <v>2.6</v>
          </cell>
          <cell r="AV35">
            <v>2.2025000000000001</v>
          </cell>
          <cell r="AW35">
            <v>2.2000000000000002</v>
          </cell>
        </row>
        <row r="37">
          <cell r="A37" t="str">
            <v>DAILY PRODUCTION</v>
          </cell>
          <cell r="C37">
            <v>1990</v>
          </cell>
          <cell r="D37" t="str">
            <v xml:space="preserve">1q   </v>
          </cell>
          <cell r="E37" t="str">
            <v xml:space="preserve">2q   </v>
          </cell>
          <cell r="F37" t="str">
            <v xml:space="preserve">3q   </v>
          </cell>
          <cell r="G37" t="str">
            <v xml:space="preserve">4q   </v>
          </cell>
          <cell r="H37" t="str">
            <v xml:space="preserve">1991  </v>
          </cell>
          <cell r="I37" t="str">
            <v xml:space="preserve">1q    </v>
          </cell>
          <cell r="J37" t="str">
            <v xml:space="preserve">2q     </v>
          </cell>
          <cell r="K37" t="str">
            <v xml:space="preserve">3q    </v>
          </cell>
          <cell r="L37" t="str">
            <v xml:space="preserve">4q    </v>
          </cell>
          <cell r="M37" t="str">
            <v xml:space="preserve">1992  </v>
          </cell>
          <cell r="N37" t="str">
            <v xml:space="preserve">1q   </v>
          </cell>
          <cell r="O37" t="str">
            <v xml:space="preserve">2q   </v>
          </cell>
          <cell r="P37" t="str">
            <v xml:space="preserve">3q   </v>
          </cell>
          <cell r="Q37" t="str">
            <v xml:space="preserve">4q   </v>
          </cell>
          <cell r="R37">
            <v>1993</v>
          </cell>
          <cell r="S37" t="str">
            <v xml:space="preserve">1q   </v>
          </cell>
          <cell r="T37" t="str">
            <v xml:space="preserve">2q   </v>
          </cell>
          <cell r="U37" t="str">
            <v xml:space="preserve">3q  </v>
          </cell>
          <cell r="V37" t="str">
            <v xml:space="preserve">4qe   </v>
          </cell>
          <cell r="W37">
            <v>1994</v>
          </cell>
          <cell r="X37" t="str">
            <v>1q</v>
          </cell>
          <cell r="Y37" t="str">
            <v>2q</v>
          </cell>
          <cell r="Z37" t="str">
            <v>3q</v>
          </cell>
          <cell r="AA37" t="str">
            <v>4q</v>
          </cell>
          <cell r="AB37">
            <v>1995</v>
          </cell>
          <cell r="AC37" t="str">
            <v>1q</v>
          </cell>
          <cell r="AD37" t="str">
            <v>2q</v>
          </cell>
          <cell r="AE37" t="str">
            <v>3q</v>
          </cell>
          <cell r="AF37" t="str">
            <v>4q</v>
          </cell>
          <cell r="AG37">
            <v>1996</v>
          </cell>
          <cell r="AH37" t="str">
            <v>1q</v>
          </cell>
          <cell r="AI37" t="str">
            <v>2q</v>
          </cell>
          <cell r="AJ37" t="str">
            <v>3q</v>
          </cell>
          <cell r="AK37" t="str">
            <v>4q</v>
          </cell>
          <cell r="AL37">
            <v>1997</v>
          </cell>
          <cell r="AM37" t="str">
            <v>1q</v>
          </cell>
          <cell r="AN37" t="str">
            <v>2q</v>
          </cell>
          <cell r="AO37" t="str">
            <v>3q</v>
          </cell>
          <cell r="AP37" t="str">
            <v>4q</v>
          </cell>
          <cell r="AQ37" t="str">
            <v>1998</v>
          </cell>
          <cell r="AR37" t="str">
            <v>1q</v>
          </cell>
          <cell r="AS37" t="str">
            <v>2q</v>
          </cell>
          <cell r="AT37" t="str">
            <v>3qe</v>
          </cell>
          <cell r="AU37" t="str">
            <v>4qe</v>
          </cell>
          <cell r="AV37" t="str">
            <v>1999E</v>
          </cell>
          <cell r="AW37" t="str">
            <v>2000E</v>
          </cell>
        </row>
        <row r="38">
          <cell r="A38" t="str">
            <v>Domestic Natural Gas (MMcf/d)</v>
          </cell>
          <cell r="C38">
            <v>411.91232876712331</v>
          </cell>
          <cell r="D38">
            <v>447.22222222222223</v>
          </cell>
          <cell r="E38">
            <v>325.83516483516485</v>
          </cell>
          <cell r="F38">
            <v>278.6521739130435</v>
          </cell>
          <cell r="G38">
            <v>459.78260869565213</v>
          </cell>
          <cell r="H38">
            <v>377.63561643835612</v>
          </cell>
          <cell r="I38">
            <v>435.16483516483515</v>
          </cell>
          <cell r="J38">
            <v>307.69230769230774</v>
          </cell>
          <cell r="K38">
            <v>350.00000000000006</v>
          </cell>
          <cell r="L38">
            <v>501.08695652173918</v>
          </cell>
          <cell r="M38">
            <v>398.63387978142077</v>
          </cell>
          <cell r="N38">
            <v>520.06666666666672</v>
          </cell>
          <cell r="O38">
            <v>381.91208791208788</v>
          </cell>
          <cell r="P38">
            <v>388.15217391304344</v>
          </cell>
          <cell r="Q38">
            <v>484.78260869565219</v>
          </cell>
          <cell r="R38">
            <v>443.47945205479454</v>
          </cell>
          <cell r="S38">
            <v>535.55555555555554</v>
          </cell>
          <cell r="T38">
            <v>472.05494505494505</v>
          </cell>
          <cell r="U38">
            <v>444.56521739130432</v>
          </cell>
          <cell r="V38">
            <v>475.00000000000006</v>
          </cell>
          <cell r="W38">
            <v>481.52602739726029</v>
          </cell>
          <cell r="X38">
            <v>458.88888888888886</v>
          </cell>
          <cell r="Y38">
            <v>478.02197802197804</v>
          </cell>
          <cell r="Z38">
            <v>460</v>
          </cell>
          <cell r="AA38">
            <v>483.695652173913</v>
          </cell>
          <cell r="AB38">
            <v>469.3150684931507</v>
          </cell>
          <cell r="AC38">
            <v>485.5555555555556</v>
          </cell>
          <cell r="AD38">
            <v>444</v>
          </cell>
          <cell r="AE38">
            <v>432.60869565217388</v>
          </cell>
          <cell r="AF38">
            <v>445.65217391304344</v>
          </cell>
          <cell r="AG38">
            <v>451.78082191780817</v>
          </cell>
          <cell r="AH38">
            <v>470</v>
          </cell>
          <cell r="AI38">
            <v>481.31868131868129</v>
          </cell>
          <cell r="AJ38">
            <v>494</v>
          </cell>
          <cell r="AK38">
            <v>513</v>
          </cell>
          <cell r="AL38">
            <v>489.70958904109591</v>
          </cell>
          <cell r="AM38">
            <v>489</v>
          </cell>
          <cell r="AN38">
            <v>463</v>
          </cell>
          <cell r="AO38">
            <v>497</v>
          </cell>
          <cell r="AP38">
            <v>487</v>
          </cell>
          <cell r="AQ38">
            <v>484.03013698630139</v>
          </cell>
          <cell r="AR38">
            <v>489</v>
          </cell>
          <cell r="AS38">
            <v>461</v>
          </cell>
          <cell r="AT38">
            <v>445</v>
          </cell>
          <cell r="AU38">
            <v>450</v>
          </cell>
          <cell r="AV38">
            <v>461.09863013698629</v>
          </cell>
          <cell r="AW38">
            <v>505</v>
          </cell>
        </row>
        <row r="39">
          <cell r="A39" t="str">
            <v xml:space="preserve">  Oil Production US (MBbls/d)</v>
          </cell>
          <cell r="C39">
            <v>12.6</v>
          </cell>
          <cell r="D39">
            <v>13.277777777777779</v>
          </cell>
          <cell r="E39">
            <v>12.428571428571429</v>
          </cell>
          <cell r="F39">
            <v>12.499999999999998</v>
          </cell>
          <cell r="G39">
            <v>11.771739130434783</v>
          </cell>
          <cell r="H39">
            <v>12.490410958904109</v>
          </cell>
          <cell r="I39">
            <v>11.769230769230768</v>
          </cell>
          <cell r="J39">
            <v>12.219780219780221</v>
          </cell>
          <cell r="K39">
            <v>11.413043478260869</v>
          </cell>
          <cell r="L39">
            <v>12.369565217391303</v>
          </cell>
          <cell r="M39">
            <v>11.942622950819672</v>
          </cell>
          <cell r="N39">
            <v>21.455555555555559</v>
          </cell>
          <cell r="O39">
            <v>20.912087912087912</v>
          </cell>
          <cell r="P39">
            <v>21.478260869565219</v>
          </cell>
          <cell r="Q39">
            <v>22.826086956521738</v>
          </cell>
          <cell r="R39">
            <v>21.671232876712331</v>
          </cell>
          <cell r="S39">
            <v>23.733333333333334</v>
          </cell>
          <cell r="T39">
            <v>23.285714285714288</v>
          </cell>
          <cell r="U39">
            <v>22.456521739130434</v>
          </cell>
          <cell r="V39">
            <v>21.543478260869563</v>
          </cell>
          <cell r="W39">
            <v>22.747945205479454</v>
          </cell>
          <cell r="X39">
            <v>20.422222222222224</v>
          </cell>
          <cell r="Y39">
            <v>21.274725274725274</v>
          </cell>
          <cell r="Z39">
            <v>20</v>
          </cell>
          <cell r="AA39">
            <v>20.010869565217391</v>
          </cell>
          <cell r="AB39">
            <v>20.424657534246577</v>
          </cell>
          <cell r="AC39">
            <v>18.899999999999999</v>
          </cell>
          <cell r="AD39">
            <v>18.35164835164835</v>
          </cell>
          <cell r="AE39">
            <v>17.510869565217391</v>
          </cell>
          <cell r="AF39">
            <v>18.673913043478258</v>
          </cell>
          <cell r="AG39">
            <v>18.359107740085999</v>
          </cell>
          <cell r="AH39">
            <v>22.24444444444444</v>
          </cell>
          <cell r="AI39">
            <v>24.714285714285715</v>
          </cell>
          <cell r="AJ39">
            <v>26</v>
          </cell>
          <cell r="AK39">
            <v>26</v>
          </cell>
          <cell r="AL39">
            <v>24.739682539682541</v>
          </cell>
          <cell r="AM39">
            <v>25</v>
          </cell>
          <cell r="AN39">
            <v>24.3</v>
          </cell>
          <cell r="AO39">
            <v>26.9</v>
          </cell>
          <cell r="AP39">
            <v>27</v>
          </cell>
          <cell r="AQ39">
            <v>25.799999999999997</v>
          </cell>
          <cell r="AR39">
            <v>26</v>
          </cell>
          <cell r="AS39">
            <v>24</v>
          </cell>
          <cell r="AT39">
            <v>21</v>
          </cell>
          <cell r="AU39">
            <v>21</v>
          </cell>
          <cell r="AV39">
            <v>23</v>
          </cell>
          <cell r="AW39">
            <v>33</v>
          </cell>
        </row>
        <row r="40">
          <cell r="A40" t="str">
            <v xml:space="preserve">  Oil Production Algeria (MBbls/d)</v>
          </cell>
          <cell r="AN40">
            <v>4.7</v>
          </cell>
          <cell r="AO40">
            <v>5.07</v>
          </cell>
          <cell r="AP40">
            <v>8</v>
          </cell>
          <cell r="AQ40">
            <v>5.9233333333333329</v>
          </cell>
          <cell r="AR40">
            <v>18</v>
          </cell>
          <cell r="AS40">
            <v>18</v>
          </cell>
          <cell r="AT40">
            <v>9</v>
          </cell>
          <cell r="AU40">
            <v>15</v>
          </cell>
          <cell r="AV40">
            <v>15</v>
          </cell>
          <cell r="AW40">
            <v>19.2</v>
          </cell>
        </row>
        <row r="41">
          <cell r="A41" t="str">
            <v>Total Oil Production (MBbls/d)</v>
          </cell>
          <cell r="C41">
            <v>12.6</v>
          </cell>
          <cell r="D41">
            <v>13.277777777777779</v>
          </cell>
          <cell r="E41">
            <v>12.428571428571429</v>
          </cell>
          <cell r="F41">
            <v>12.499999999999998</v>
          </cell>
          <cell r="G41">
            <v>11.771739130434783</v>
          </cell>
          <cell r="H41">
            <v>12.490410958904109</v>
          </cell>
          <cell r="I41">
            <v>11.769230769230768</v>
          </cell>
          <cell r="J41">
            <v>12.219780219780221</v>
          </cell>
          <cell r="K41">
            <v>11.413043478260869</v>
          </cell>
          <cell r="L41">
            <v>12.369565217391303</v>
          </cell>
          <cell r="M41">
            <v>11.942622950819672</v>
          </cell>
          <cell r="N41">
            <v>21.455555555555559</v>
          </cell>
          <cell r="O41">
            <v>20.912087912087912</v>
          </cell>
          <cell r="P41">
            <v>21.478260869565219</v>
          </cell>
          <cell r="Q41">
            <v>22.826086956521738</v>
          </cell>
          <cell r="R41">
            <v>21.671232876712331</v>
          </cell>
          <cell r="S41">
            <v>23.733333333333334</v>
          </cell>
          <cell r="T41">
            <v>23.285714285714288</v>
          </cell>
          <cell r="U41">
            <v>22.456521739130434</v>
          </cell>
          <cell r="V41">
            <v>21.543478260869563</v>
          </cell>
          <cell r="W41">
            <v>22.747945205479454</v>
          </cell>
          <cell r="X41">
            <v>20.422222222222224</v>
          </cell>
          <cell r="Y41">
            <v>21.274725274725274</v>
          </cell>
          <cell r="Z41">
            <v>20</v>
          </cell>
          <cell r="AA41">
            <v>20.010869565217391</v>
          </cell>
          <cell r="AB41">
            <v>20.424657534246577</v>
          </cell>
          <cell r="AC41">
            <v>18.899999999999999</v>
          </cell>
          <cell r="AD41">
            <v>18.35164835164835</v>
          </cell>
          <cell r="AE41">
            <v>17.510869565217391</v>
          </cell>
          <cell r="AF41">
            <v>18.673913043478258</v>
          </cell>
          <cell r="AG41">
            <v>18.359107740085999</v>
          </cell>
          <cell r="AH41">
            <v>22.24444444444444</v>
          </cell>
          <cell r="AI41">
            <v>24.714285714285715</v>
          </cell>
          <cell r="AJ41">
            <v>26</v>
          </cell>
          <cell r="AK41">
            <v>26</v>
          </cell>
          <cell r="AL41">
            <v>24.739682539682541</v>
          </cell>
          <cell r="AM41">
            <v>25</v>
          </cell>
          <cell r="AN41">
            <v>29</v>
          </cell>
          <cell r="AO41">
            <v>31.97</v>
          </cell>
          <cell r="AP41">
            <v>35</v>
          </cell>
          <cell r="AQ41">
            <v>31.723333333333329</v>
          </cell>
          <cell r="AR41">
            <v>44</v>
          </cell>
          <cell r="AS41">
            <v>42</v>
          </cell>
          <cell r="AT41">
            <v>30</v>
          </cell>
          <cell r="AU41">
            <v>36</v>
          </cell>
          <cell r="AV41">
            <v>38</v>
          </cell>
          <cell r="AW41">
            <v>52.2</v>
          </cell>
        </row>
        <row r="42">
          <cell r="A42" t="str">
            <v>Plant &amp; PL Condensate (MBbls/d)</v>
          </cell>
          <cell r="C42">
            <v>0.75068493150684934</v>
          </cell>
          <cell r="D42">
            <v>1.7</v>
          </cell>
          <cell r="E42">
            <v>0.5714285714285714</v>
          </cell>
          <cell r="F42">
            <v>0.73913043478260876</v>
          </cell>
          <cell r="G42">
            <v>1.4782608695652175</v>
          </cell>
          <cell r="H42">
            <v>1.1205479452054796</v>
          </cell>
          <cell r="I42">
            <v>0.94505494505494492</v>
          </cell>
          <cell r="J42">
            <v>0.30769230769230771</v>
          </cell>
          <cell r="K42">
            <v>0.5</v>
          </cell>
          <cell r="L42">
            <v>0.80434782608695654</v>
          </cell>
          <cell r="M42">
            <v>0.59562841530054644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A43" t="str">
            <v>Natural Gas Liquids (MBbls/d)</v>
          </cell>
          <cell r="C43">
            <v>4.1205479452054794</v>
          </cell>
          <cell r="D43">
            <v>4.7333333333333334</v>
          </cell>
          <cell r="E43">
            <v>3.6373626373626373</v>
          </cell>
          <cell r="F43">
            <v>5.4565217391304346</v>
          </cell>
          <cell r="G43">
            <v>7.5869565217391299</v>
          </cell>
          <cell r="H43">
            <v>5.3616438356164382</v>
          </cell>
          <cell r="I43">
            <v>6.0109890109890109</v>
          </cell>
          <cell r="J43">
            <v>4.8461538461538467</v>
          </cell>
          <cell r="K43">
            <v>5</v>
          </cell>
          <cell r="L43">
            <v>5.5</v>
          </cell>
          <cell r="M43">
            <v>5.9344262295081966</v>
          </cell>
          <cell r="N43">
            <v>8.9666666666666686</v>
          </cell>
          <cell r="O43">
            <v>4.8571428571428577</v>
          </cell>
          <cell r="P43">
            <v>5.6086956521739131</v>
          </cell>
          <cell r="Q43">
            <v>10.130434782608695</v>
          </cell>
          <cell r="R43">
            <v>7.3890410958904109</v>
          </cell>
          <cell r="S43">
            <v>7.2111111111111121</v>
          </cell>
          <cell r="T43">
            <v>7.0769230769230766</v>
          </cell>
          <cell r="U43">
            <v>6.8043478260869561</v>
          </cell>
          <cell r="V43">
            <v>11.75</v>
          </cell>
          <cell r="W43">
            <v>8.2191780821917799</v>
          </cell>
          <cell r="X43">
            <v>11.266666666666666</v>
          </cell>
          <cell r="Y43">
            <v>8.2857142857142847</v>
          </cell>
          <cell r="Z43">
            <v>7.1521739130434785</v>
          </cell>
          <cell r="AA43">
            <v>12.543478260869565</v>
          </cell>
          <cell r="AB43">
            <v>9.8082191780821919</v>
          </cell>
          <cell r="AC43">
            <v>10.977777777777778</v>
          </cell>
          <cell r="AD43">
            <v>9</v>
          </cell>
          <cell r="AE43">
            <v>7.7173913043478262</v>
          </cell>
          <cell r="AF43">
            <v>11.260869565217392</v>
          </cell>
          <cell r="AG43">
            <v>8.5</v>
          </cell>
          <cell r="AH43">
            <v>13.677777777777779</v>
          </cell>
          <cell r="AI43">
            <v>11</v>
          </cell>
          <cell r="AJ43">
            <v>16</v>
          </cell>
          <cell r="AK43">
            <v>19</v>
          </cell>
          <cell r="AL43">
            <v>14.936986301369862</v>
          </cell>
          <cell r="AM43">
            <v>19</v>
          </cell>
          <cell r="AN43">
            <v>17</v>
          </cell>
          <cell r="AO43">
            <v>18</v>
          </cell>
          <cell r="AP43">
            <v>17</v>
          </cell>
          <cell r="AQ43">
            <v>17.745205479452054</v>
          </cell>
          <cell r="AR43">
            <v>18</v>
          </cell>
          <cell r="AS43">
            <v>17.399999999999999</v>
          </cell>
          <cell r="AT43">
            <v>17.399999999999999</v>
          </cell>
          <cell r="AU43">
            <v>15.5</v>
          </cell>
          <cell r="AV43">
            <v>17.069041095890409</v>
          </cell>
          <cell r="AW43">
            <v>15</v>
          </cell>
        </row>
        <row r="45">
          <cell r="A45" t="str">
            <v>PERIOD PRODUCTION</v>
          </cell>
        </row>
        <row r="46">
          <cell r="A46" t="str">
            <v>Domestic Natural Gas (Bcf)</v>
          </cell>
          <cell r="C46">
            <v>150.34800000000001</v>
          </cell>
          <cell r="D46">
            <v>40.25</v>
          </cell>
          <cell r="E46">
            <v>29.651</v>
          </cell>
          <cell r="F46">
            <v>25.635999999999999</v>
          </cell>
          <cell r="G46">
            <v>42.3</v>
          </cell>
          <cell r="H46">
            <v>137.83699999999999</v>
          </cell>
          <cell r="I46">
            <v>39.6</v>
          </cell>
          <cell r="J46">
            <v>28</v>
          </cell>
          <cell r="K46">
            <v>32.200000000000003</v>
          </cell>
          <cell r="L46">
            <v>46.1</v>
          </cell>
          <cell r="M46">
            <v>145.9</v>
          </cell>
          <cell r="N46">
            <v>46.805999999999997</v>
          </cell>
          <cell r="O46">
            <v>34.753999999999998</v>
          </cell>
          <cell r="P46">
            <v>35.71</v>
          </cell>
          <cell r="Q46">
            <v>44.6</v>
          </cell>
          <cell r="R46">
            <v>161.87</v>
          </cell>
          <cell r="S46">
            <v>48.2</v>
          </cell>
          <cell r="T46">
            <v>42.957000000000001</v>
          </cell>
          <cell r="U46">
            <v>40.9</v>
          </cell>
          <cell r="V46">
            <v>43.7</v>
          </cell>
          <cell r="W46">
            <v>175.75700000000001</v>
          </cell>
          <cell r="X46">
            <v>41.3</v>
          </cell>
          <cell r="Y46">
            <v>43.5</v>
          </cell>
          <cell r="Z46">
            <v>42</v>
          </cell>
          <cell r="AA46">
            <v>44.5</v>
          </cell>
          <cell r="AB46">
            <v>171.3</v>
          </cell>
          <cell r="AC46">
            <v>43.7</v>
          </cell>
          <cell r="AD46">
            <v>40.4</v>
          </cell>
          <cell r="AE46">
            <v>39.799999999999997</v>
          </cell>
          <cell r="AF46">
            <v>41</v>
          </cell>
          <cell r="AG46">
            <v>164.89999999999998</v>
          </cell>
          <cell r="AH46">
            <v>42.3</v>
          </cell>
          <cell r="AI46">
            <v>43.8</v>
          </cell>
          <cell r="AJ46">
            <v>45.448</v>
          </cell>
          <cell r="AK46">
            <v>47.195999999999998</v>
          </cell>
          <cell r="AL46">
            <v>178.744</v>
          </cell>
          <cell r="AM46">
            <v>44.01</v>
          </cell>
          <cell r="AN46">
            <v>42.133000000000003</v>
          </cell>
          <cell r="AO46">
            <v>45.723999999999997</v>
          </cell>
          <cell r="AP46">
            <v>44.804000000000002</v>
          </cell>
          <cell r="AQ46">
            <v>176.67099999999999</v>
          </cell>
          <cell r="AR46">
            <v>44.01</v>
          </cell>
          <cell r="AS46">
            <v>41.951000000000001</v>
          </cell>
          <cell r="AT46">
            <v>40.94</v>
          </cell>
          <cell r="AU46">
            <v>41.4</v>
          </cell>
          <cell r="AV46">
            <v>168.30099999999999</v>
          </cell>
          <cell r="AW46">
            <v>184.32499999999999</v>
          </cell>
        </row>
        <row r="47">
          <cell r="A47" t="str">
            <v xml:space="preserve">  Oil Production - US (MMBbls)</v>
          </cell>
          <cell r="C47">
            <v>4.5990000000000002</v>
          </cell>
          <cell r="D47">
            <v>1.1950000000000001</v>
          </cell>
          <cell r="E47">
            <v>1.131</v>
          </cell>
          <cell r="F47">
            <v>1.1499999999999999</v>
          </cell>
          <cell r="G47">
            <v>1.083</v>
          </cell>
          <cell r="H47">
            <v>4.5590000000000002</v>
          </cell>
          <cell r="I47">
            <v>1.071</v>
          </cell>
          <cell r="J47">
            <v>1.1120000000000001</v>
          </cell>
          <cell r="K47">
            <v>1.05</v>
          </cell>
          <cell r="L47">
            <v>1.1379999999999999</v>
          </cell>
          <cell r="M47">
            <v>4.3709999999999996</v>
          </cell>
          <cell r="N47">
            <v>1.931</v>
          </cell>
          <cell r="O47">
            <v>1.903</v>
          </cell>
          <cell r="P47">
            <v>1.976</v>
          </cell>
          <cell r="Q47">
            <v>2.1</v>
          </cell>
          <cell r="R47">
            <v>7.91</v>
          </cell>
          <cell r="S47">
            <v>2.1360000000000001</v>
          </cell>
          <cell r="T47">
            <v>2.1190000000000002</v>
          </cell>
          <cell r="U47">
            <v>2.0659999999999998</v>
          </cell>
          <cell r="V47">
            <v>1.982</v>
          </cell>
          <cell r="W47">
            <v>8.3030000000000008</v>
          </cell>
          <cell r="X47">
            <v>1.8380000000000001</v>
          </cell>
          <cell r="Y47">
            <v>1.9359999999999999</v>
          </cell>
          <cell r="Z47">
            <v>1.84</v>
          </cell>
          <cell r="AA47">
            <v>1.841</v>
          </cell>
          <cell r="AB47">
            <v>7.4550000000000001</v>
          </cell>
          <cell r="AC47">
            <v>1.7010000000000001</v>
          </cell>
          <cell r="AD47">
            <v>1.67</v>
          </cell>
          <cell r="AE47">
            <v>1.611</v>
          </cell>
          <cell r="AF47">
            <v>1.718</v>
          </cell>
          <cell r="AG47">
            <v>6.7010743251313896</v>
          </cell>
          <cell r="AH47">
            <v>2.0019999999999998</v>
          </cell>
          <cell r="AI47">
            <v>2.2490000000000001</v>
          </cell>
          <cell r="AJ47">
            <v>2.3919999999999999</v>
          </cell>
          <cell r="AK47">
            <v>2.3919999999999999</v>
          </cell>
          <cell r="AL47">
            <v>9.029984126984127</v>
          </cell>
          <cell r="AM47">
            <v>2.25</v>
          </cell>
          <cell r="AN47">
            <v>2.2113</v>
          </cell>
          <cell r="AO47">
            <v>2.4747999999999997</v>
          </cell>
          <cell r="AP47">
            <v>2.484</v>
          </cell>
          <cell r="AQ47">
            <v>9.416999999999998</v>
          </cell>
          <cell r="AR47">
            <v>2.34</v>
          </cell>
          <cell r="AS47">
            <v>2.1840000000000002</v>
          </cell>
          <cell r="AT47">
            <v>1.9319999999999999</v>
          </cell>
          <cell r="AU47">
            <v>1.9319999999999999</v>
          </cell>
          <cell r="AV47">
            <v>8.3879999999999999</v>
          </cell>
          <cell r="AW47">
            <v>12.045</v>
          </cell>
        </row>
        <row r="48">
          <cell r="A48" t="str">
            <v xml:space="preserve">  Oil Production - Algeria (MMBbls)</v>
          </cell>
          <cell r="AN48">
            <v>0.42769999999999997</v>
          </cell>
          <cell r="AO48">
            <v>0.46644000000000008</v>
          </cell>
          <cell r="AP48">
            <v>0.73599999999999999</v>
          </cell>
          <cell r="AQ48">
            <v>2.1620166666666663</v>
          </cell>
          <cell r="AR48">
            <v>1.62</v>
          </cell>
          <cell r="AS48">
            <v>1.647</v>
          </cell>
          <cell r="AT48">
            <v>0.82799999999999996</v>
          </cell>
          <cell r="AU48">
            <v>1.38</v>
          </cell>
          <cell r="AV48">
            <v>5.4750000000000005</v>
          </cell>
          <cell r="AW48">
            <v>7.008</v>
          </cell>
        </row>
        <row r="49">
          <cell r="A49" t="str">
            <v>Oil (MMBbls)</v>
          </cell>
          <cell r="C49">
            <v>4.5990000000000002</v>
          </cell>
          <cell r="D49">
            <v>1.1950000000000001</v>
          </cell>
          <cell r="E49">
            <v>1.131</v>
          </cell>
          <cell r="F49">
            <v>1.1499999999999999</v>
          </cell>
          <cell r="G49">
            <v>1.083</v>
          </cell>
          <cell r="H49">
            <v>4.5590000000000002</v>
          </cell>
          <cell r="I49">
            <v>1.071</v>
          </cell>
          <cell r="J49">
            <v>1.1120000000000001</v>
          </cell>
          <cell r="K49">
            <v>1.05</v>
          </cell>
          <cell r="L49">
            <v>1.1379999999999999</v>
          </cell>
          <cell r="M49">
            <v>4.3709999999999996</v>
          </cell>
          <cell r="N49">
            <v>1.931</v>
          </cell>
          <cell r="O49">
            <v>1.903</v>
          </cell>
          <cell r="P49">
            <v>1.976</v>
          </cell>
          <cell r="Q49">
            <v>2.1</v>
          </cell>
          <cell r="R49">
            <v>7.91</v>
          </cell>
          <cell r="S49">
            <v>2.1360000000000001</v>
          </cell>
          <cell r="T49">
            <v>2.1190000000000002</v>
          </cell>
          <cell r="U49">
            <v>2.0659999999999998</v>
          </cell>
          <cell r="V49">
            <v>1.982</v>
          </cell>
          <cell r="W49">
            <v>8.3030000000000008</v>
          </cell>
          <cell r="X49">
            <v>1.8380000000000001</v>
          </cell>
          <cell r="Y49">
            <v>1.9359999999999999</v>
          </cell>
          <cell r="Z49">
            <v>1.84</v>
          </cell>
          <cell r="AA49">
            <v>1.841</v>
          </cell>
          <cell r="AB49">
            <v>7.4550000000000001</v>
          </cell>
          <cell r="AC49">
            <v>1.7010000000000001</v>
          </cell>
          <cell r="AD49">
            <v>1.67</v>
          </cell>
          <cell r="AE49">
            <v>1.611</v>
          </cell>
          <cell r="AF49">
            <v>1.718</v>
          </cell>
          <cell r="AG49">
            <v>6.7010743251313896</v>
          </cell>
          <cell r="AH49">
            <v>2.0019999999999998</v>
          </cell>
          <cell r="AI49">
            <v>2.2490000000000001</v>
          </cell>
          <cell r="AJ49">
            <v>2.3919999999999999</v>
          </cell>
          <cell r="AK49">
            <v>2.3919999999999999</v>
          </cell>
          <cell r="AL49">
            <v>9.0349999999999984</v>
          </cell>
          <cell r="AM49">
            <v>2.25</v>
          </cell>
          <cell r="AN49">
            <v>2.6390000000000002</v>
          </cell>
          <cell r="AO49">
            <v>2.9412399999999996</v>
          </cell>
          <cell r="AP49">
            <v>3.2199999999999998</v>
          </cell>
          <cell r="AQ49">
            <v>11.050239999999999</v>
          </cell>
          <cell r="AR49">
            <v>3.96</v>
          </cell>
          <cell r="AS49">
            <v>3.8310000000000004</v>
          </cell>
          <cell r="AT49">
            <v>2.76</v>
          </cell>
          <cell r="AU49">
            <v>3.3119999999999998</v>
          </cell>
          <cell r="AV49">
            <v>13.863</v>
          </cell>
          <cell r="AW49">
            <v>19.053000000000001</v>
          </cell>
        </row>
        <row r="50">
          <cell r="A50" t="str">
            <v>Plant &amp; PL Condensate (MMBbls)</v>
          </cell>
          <cell r="C50">
            <v>0.27400000000000002</v>
          </cell>
          <cell r="D50">
            <v>0.153</v>
          </cell>
          <cell r="E50">
            <v>5.1999999999999998E-2</v>
          </cell>
          <cell r="F50">
            <v>6.8000000000000005E-2</v>
          </cell>
          <cell r="G50">
            <v>0.13600000000000001</v>
          </cell>
          <cell r="H50">
            <v>0.40900000000000003</v>
          </cell>
          <cell r="I50">
            <v>8.5999999999999993E-2</v>
          </cell>
          <cell r="J50">
            <v>2.8000000000000001E-2</v>
          </cell>
          <cell r="K50">
            <v>0.03</v>
          </cell>
          <cell r="L50">
            <v>7.3999999999999996E-2</v>
          </cell>
          <cell r="M50">
            <v>0.21799999999999997</v>
          </cell>
        </row>
        <row r="51">
          <cell r="A51" t="str">
            <v>Natural Gas Liquids (MMBbls)</v>
          </cell>
          <cell r="C51">
            <v>1.504</v>
          </cell>
          <cell r="D51">
            <v>0.42599999999999999</v>
          </cell>
          <cell r="E51">
            <v>0.33100000000000002</v>
          </cell>
          <cell r="F51">
            <v>0.502</v>
          </cell>
          <cell r="G51">
            <v>0.69799999999999995</v>
          </cell>
          <cell r="H51">
            <v>1.9569999999999999</v>
          </cell>
          <cell r="I51">
            <v>0.54700000000000004</v>
          </cell>
          <cell r="J51">
            <v>0.441</v>
          </cell>
          <cell r="K51">
            <v>0.32</v>
          </cell>
          <cell r="L51">
            <v>0.86399999999999999</v>
          </cell>
          <cell r="M51">
            <v>2.1720000000000002</v>
          </cell>
          <cell r="N51">
            <v>0.80700000000000005</v>
          </cell>
          <cell r="O51">
            <v>0.442</v>
          </cell>
          <cell r="P51">
            <v>0.51600000000000001</v>
          </cell>
          <cell r="Q51">
            <v>0.93200000000000005</v>
          </cell>
          <cell r="R51">
            <v>2.6970000000000001</v>
          </cell>
          <cell r="S51">
            <v>0.64900000000000002</v>
          </cell>
          <cell r="T51">
            <v>0.64400000000000002</v>
          </cell>
          <cell r="U51">
            <v>0.626</v>
          </cell>
          <cell r="V51">
            <v>1.081</v>
          </cell>
          <cell r="W51">
            <v>3</v>
          </cell>
          <cell r="X51">
            <v>1.014</v>
          </cell>
          <cell r="Y51">
            <v>0.754</v>
          </cell>
          <cell r="Z51">
            <v>0.65800000000000003</v>
          </cell>
          <cell r="AA51">
            <v>1.1539999999999999</v>
          </cell>
          <cell r="AB51">
            <v>3.58</v>
          </cell>
          <cell r="AC51">
            <v>0.98799999999999999</v>
          </cell>
          <cell r="AD51">
            <v>0.77900000000000003</v>
          </cell>
          <cell r="AE51">
            <v>0.71</v>
          </cell>
          <cell r="AF51">
            <v>1.036</v>
          </cell>
          <cell r="AG51">
            <v>3.5129999999999999</v>
          </cell>
          <cell r="AH51">
            <v>1.2310000000000001</v>
          </cell>
          <cell r="AI51">
            <v>1.0009999999999999</v>
          </cell>
          <cell r="AJ51">
            <v>1.472</v>
          </cell>
          <cell r="AK51">
            <v>1.748</v>
          </cell>
          <cell r="AL51">
            <v>5.452</v>
          </cell>
          <cell r="AM51">
            <v>1.71</v>
          </cell>
          <cell r="AN51">
            <v>1.5469999999999999</v>
          </cell>
          <cell r="AO51">
            <v>1.6559999999999999</v>
          </cell>
          <cell r="AP51">
            <v>1.5640000000000001</v>
          </cell>
          <cell r="AQ51">
            <v>6.4769999999999994</v>
          </cell>
          <cell r="AR51">
            <v>1.62</v>
          </cell>
          <cell r="AS51">
            <v>1.5833999999999999</v>
          </cell>
          <cell r="AT51">
            <v>1.6008</v>
          </cell>
          <cell r="AU51">
            <v>1.4259999999999999</v>
          </cell>
          <cell r="AV51">
            <v>6.2302</v>
          </cell>
          <cell r="AW51">
            <v>5.4749999999999996</v>
          </cell>
        </row>
        <row r="53">
          <cell r="A53" t="str">
            <v>PERIOD ENERGY EQUIVALENTS</v>
          </cell>
        </row>
        <row r="54">
          <cell r="A54" t="str">
            <v>Mcfe</v>
          </cell>
          <cell r="C54">
            <v>184.97240000000002</v>
          </cell>
          <cell r="D54">
            <v>49.773200000000003</v>
          </cell>
          <cell r="E54">
            <v>37.944400000000002</v>
          </cell>
          <cell r="F54">
            <v>34.770000000000003</v>
          </cell>
          <cell r="G54">
            <v>52.103199999999994</v>
          </cell>
          <cell r="H54">
            <v>174.59079999999997</v>
          </cell>
          <cell r="I54">
            <v>48.517400000000002</v>
          </cell>
          <cell r="J54">
            <v>36.482199999999999</v>
          </cell>
          <cell r="K54">
            <v>39.86</v>
          </cell>
          <cell r="L54">
            <v>56.566399999999994</v>
          </cell>
          <cell r="M54">
            <v>181.42600000000002</v>
          </cell>
          <cell r="N54">
            <v>61.458599999999997</v>
          </cell>
          <cell r="O54">
            <v>47.851599999999998</v>
          </cell>
          <cell r="P54">
            <v>49.526800000000001</v>
          </cell>
          <cell r="Q54">
            <v>60.741600000000005</v>
          </cell>
          <cell r="R54">
            <v>219.57860000000002</v>
          </cell>
          <cell r="S54">
            <v>63.482200000000006</v>
          </cell>
          <cell r="T54">
            <v>58.118200000000009</v>
          </cell>
          <cell r="U54">
            <v>55.674799999999998</v>
          </cell>
          <cell r="V54">
            <v>59.699799999999996</v>
          </cell>
          <cell r="W54">
            <v>236.97500000000002</v>
          </cell>
          <cell r="X54">
            <v>56.181199999999997</v>
          </cell>
          <cell r="Y54">
            <v>57.981200000000001</v>
          </cell>
          <cell r="Z54">
            <v>55.540399999999998</v>
          </cell>
          <cell r="AA54">
            <v>59.931199999999997</v>
          </cell>
          <cell r="AB54">
            <v>229.63400000000001</v>
          </cell>
          <cell r="AC54">
            <v>57.660400000000003</v>
          </cell>
          <cell r="AD54">
            <v>53.380200000000002</v>
          </cell>
          <cell r="AE54">
            <v>52.163999999999994</v>
          </cell>
          <cell r="AF54">
            <v>55.244799999999998</v>
          </cell>
          <cell r="AG54">
            <v>218.45584595078833</v>
          </cell>
          <cell r="AH54">
            <v>58.989799999999995</v>
          </cell>
          <cell r="AI54">
            <v>61.097799999999999</v>
          </cell>
          <cell r="AJ54">
            <v>65.393599999999992</v>
          </cell>
          <cell r="AK54">
            <v>68.190399999999997</v>
          </cell>
          <cell r="AL54">
            <v>253.67160000000001</v>
          </cell>
          <cell r="AM54">
            <v>64.007999999999996</v>
          </cell>
          <cell r="AN54">
            <v>63.845600000000005</v>
          </cell>
          <cell r="AO54">
            <v>69.664239999999992</v>
          </cell>
          <cell r="AP54">
            <v>70.0672</v>
          </cell>
          <cell r="AQ54">
            <v>267.58503999999999</v>
          </cell>
          <cell r="AR54">
            <v>73.926000000000002</v>
          </cell>
          <cell r="AS54">
            <v>70.953920000000011</v>
          </cell>
          <cell r="AT54">
            <v>63.583039999999997</v>
          </cell>
          <cell r="AU54">
            <v>66.690799999999996</v>
          </cell>
          <cell r="AV54">
            <v>275.15375999999998</v>
          </cell>
          <cell r="AW54">
            <v>319.44800000000004</v>
          </cell>
        </row>
        <row r="55">
          <cell r="A55" t="str">
            <v>BOE</v>
          </cell>
          <cell r="C55">
            <v>30.878520000000005</v>
          </cell>
          <cell r="D55">
            <v>8.3247133333333334</v>
          </cell>
          <cell r="E55">
            <v>6.3333633333333328</v>
          </cell>
          <cell r="F55">
            <v>5.8069266666666657</v>
          </cell>
          <cell r="G55">
            <v>8.7087399999999988</v>
          </cell>
          <cell r="H55">
            <v>29.173743333333331</v>
          </cell>
          <cell r="I55">
            <v>8.1016100000000009</v>
          </cell>
          <cell r="J55">
            <v>6.0844966666666664</v>
          </cell>
          <cell r="K55">
            <v>6.6482666666666672</v>
          </cell>
          <cell r="L55">
            <v>9.4396533333333341</v>
          </cell>
          <cell r="M55">
            <v>30.274026666666664</v>
          </cell>
          <cell r="N55">
            <v>10.240409999999999</v>
          </cell>
          <cell r="O55">
            <v>7.9737933333333322</v>
          </cell>
          <cell r="P55">
            <v>8.2527466666666669</v>
          </cell>
          <cell r="Q55">
            <v>10.120493333333334</v>
          </cell>
          <cell r="R55">
            <v>36.587443333333333</v>
          </cell>
          <cell r="S55">
            <v>10.578203333333335</v>
          </cell>
          <cell r="T55">
            <v>9.6842200000000016</v>
          </cell>
          <cell r="U55">
            <v>9.2770466666666653</v>
          </cell>
          <cell r="V55">
            <v>9.9463633333333341</v>
          </cell>
          <cell r="W55">
            <v>39.485833333333332</v>
          </cell>
          <cell r="X55">
            <v>9.3601533333333347</v>
          </cell>
          <cell r="Y55">
            <v>9.6610200000000006</v>
          </cell>
          <cell r="Z55">
            <v>9.2545400000000004</v>
          </cell>
          <cell r="AA55">
            <v>9.9846866666666667</v>
          </cell>
          <cell r="AB55">
            <v>38.260400000000004</v>
          </cell>
          <cell r="AC55">
            <v>9.6067733333333329</v>
          </cell>
          <cell r="AD55">
            <v>8.8941033333333319</v>
          </cell>
          <cell r="AE55">
            <v>8.6916333333333338</v>
          </cell>
          <cell r="AF55">
            <v>9.2040133333333323</v>
          </cell>
          <cell r="AG55">
            <v>36.397597658464719</v>
          </cell>
          <cell r="AH55">
            <v>9.8275299999999994</v>
          </cell>
          <cell r="AI55">
            <v>10.17963</v>
          </cell>
          <cell r="AJ55">
            <v>10.894026666666667</v>
          </cell>
          <cell r="AK55">
            <v>11.35924</v>
          </cell>
          <cell r="AL55">
            <v>42.26042666666666</v>
          </cell>
          <cell r="AM55">
            <v>10.6623</v>
          </cell>
          <cell r="AN55">
            <v>10.635776666666667</v>
          </cell>
          <cell r="AO55">
            <v>11.605186666666665</v>
          </cell>
          <cell r="AP55">
            <v>11.672653333333333</v>
          </cell>
          <cell r="AQ55">
            <v>44.575916666666664</v>
          </cell>
          <cell r="AR55">
            <v>12.3156</v>
          </cell>
          <cell r="AS55">
            <v>11.820375333333333</v>
          </cell>
          <cell r="AT55">
            <v>10.591837333333332</v>
          </cell>
          <cell r="AU55">
            <v>11.110379999999999</v>
          </cell>
          <cell r="AV55">
            <v>45.838192666666671</v>
          </cell>
          <cell r="AW55">
            <v>53.223083333333328</v>
          </cell>
        </row>
        <row r="57">
          <cell r="A57" t="str">
            <v>COMMODITY SALES PRICE</v>
          </cell>
        </row>
        <row r="58">
          <cell r="A58" t="str">
            <v>Domestic Natural Gas ($/Mcf)</v>
          </cell>
          <cell r="C58">
            <v>1.63</v>
          </cell>
          <cell r="D58">
            <v>1.56</v>
          </cell>
          <cell r="E58">
            <v>1.3</v>
          </cell>
          <cell r="F58">
            <v>1.28</v>
          </cell>
          <cell r="G58">
            <v>1.76</v>
          </cell>
          <cell r="H58">
            <v>1.5141242001102784</v>
          </cell>
          <cell r="I58">
            <v>1.37</v>
          </cell>
          <cell r="J58">
            <v>1.4609999999999996</v>
          </cell>
          <cell r="K58">
            <v>1.7850000000000001</v>
          </cell>
          <cell r="L58">
            <v>2.1744999999999997</v>
          </cell>
          <cell r="M58">
            <v>1.7309604204892317</v>
          </cell>
          <cell r="N58">
            <v>1.7324999999999995</v>
          </cell>
          <cell r="O58">
            <v>2.0474999999999999</v>
          </cell>
          <cell r="P58">
            <v>1.9350000000000003</v>
          </cell>
          <cell r="Q58">
            <v>2.0499999999999994</v>
          </cell>
          <cell r="R58">
            <v>1.9323664763188924</v>
          </cell>
          <cell r="S58">
            <v>2.028</v>
          </cell>
          <cell r="T58">
            <v>1.736</v>
          </cell>
          <cell r="U58">
            <v>1.5920000000000003</v>
          </cell>
          <cell r="V58">
            <v>1.468</v>
          </cell>
          <cell r="W58">
            <v>1.7161918421226738</v>
          </cell>
          <cell r="X58">
            <v>1.2999999999999998</v>
          </cell>
          <cell r="Y58">
            <v>1.4560000000000002</v>
          </cell>
          <cell r="Z58">
            <v>1.257295604914934</v>
          </cell>
          <cell r="AA58">
            <v>1.6390000000000002</v>
          </cell>
          <cell r="AB58">
            <v>1.4195485065176157</v>
          </cell>
          <cell r="AC58">
            <v>1.9559999999999997</v>
          </cell>
          <cell r="AD58">
            <v>2.0367983367983364</v>
          </cell>
          <cell r="AE58">
            <v>1.9469999999999998</v>
          </cell>
          <cell r="AF58">
            <v>2.5590000000000002</v>
          </cell>
          <cell r="AG58">
            <v>2.1236751967173104</v>
          </cell>
          <cell r="AH58">
            <v>2.6562000000000001</v>
          </cell>
          <cell r="AI58">
            <v>1.8480000000000001</v>
          </cell>
          <cell r="AJ58">
            <v>2.0189999999999997</v>
          </cell>
          <cell r="AK58">
            <v>2.6670000000000003</v>
          </cell>
          <cell r="AL58">
            <v>2.2989356047239022</v>
          </cell>
          <cell r="AM58">
            <v>2.0149999999999997</v>
          </cell>
          <cell r="AN58">
            <v>1.9790000000000001</v>
          </cell>
          <cell r="AO58">
            <v>1.8214999999999997</v>
          </cell>
          <cell r="AP58">
            <v>1.8800000000000001</v>
          </cell>
          <cell r="AQ58">
            <v>1.9220855601655054</v>
          </cell>
          <cell r="AR58">
            <v>1.5919999999999999</v>
          </cell>
          <cell r="AS58">
            <v>1.952</v>
          </cell>
          <cell r="AT58">
            <v>2.2850000000000001</v>
          </cell>
          <cell r="AU58">
            <v>2.4200000000000004</v>
          </cell>
          <cell r="AV58">
            <v>2.0539876293070156</v>
          </cell>
          <cell r="AW58">
            <v>2.1949999999999998</v>
          </cell>
        </row>
        <row r="59">
          <cell r="A59" t="str">
            <v xml:space="preserve">  Oil Price - U.S. ($/Bbl)</v>
          </cell>
          <cell r="C59">
            <v>23.27</v>
          </cell>
          <cell r="D59">
            <v>20.36</v>
          </cell>
          <cell r="E59">
            <v>18.77</v>
          </cell>
          <cell r="F59">
            <v>19.59</v>
          </cell>
          <cell r="G59">
            <v>19.989999999999998</v>
          </cell>
          <cell r="H59">
            <v>19.677499999999998</v>
          </cell>
          <cell r="I59">
            <v>17</v>
          </cell>
          <cell r="J59">
            <v>18.87</v>
          </cell>
          <cell r="K59">
            <v>19</v>
          </cell>
          <cell r="L59">
            <v>18.489999999999998</v>
          </cell>
          <cell r="M59">
            <v>18.34</v>
          </cell>
          <cell r="N59">
            <v>17.670000000000002</v>
          </cell>
          <cell r="O59">
            <v>17.739999999999998</v>
          </cell>
          <cell r="P59">
            <v>15.81</v>
          </cell>
          <cell r="Q59">
            <v>14.44</v>
          </cell>
          <cell r="R59">
            <v>16.36</v>
          </cell>
          <cell r="S59">
            <v>12.36</v>
          </cell>
          <cell r="T59">
            <v>15.66</v>
          </cell>
          <cell r="U59">
            <v>16.55</v>
          </cell>
          <cell r="V59">
            <v>15.61</v>
          </cell>
          <cell r="W59">
            <v>15.02</v>
          </cell>
          <cell r="X59">
            <v>16.48</v>
          </cell>
          <cell r="Y59">
            <v>17.440000000000001</v>
          </cell>
          <cell r="Z59">
            <v>15.94</v>
          </cell>
          <cell r="AA59">
            <v>16.190000000000001</v>
          </cell>
          <cell r="AB59">
            <v>16.52</v>
          </cell>
          <cell r="AC59">
            <v>17.64</v>
          </cell>
          <cell r="AD59">
            <v>19.829999999999998</v>
          </cell>
          <cell r="AE59">
            <v>20.67</v>
          </cell>
          <cell r="AF59">
            <v>22.71</v>
          </cell>
          <cell r="AG59">
            <v>20.212499999999999</v>
          </cell>
          <cell r="AH59">
            <v>20.58</v>
          </cell>
          <cell r="AI59">
            <v>17.48</v>
          </cell>
          <cell r="AJ59">
            <v>17.059999999999999</v>
          </cell>
          <cell r="AK59">
            <v>17.399999999999999</v>
          </cell>
          <cell r="AL59">
            <v>18.130000000000003</v>
          </cell>
          <cell r="AM59">
            <v>13.02</v>
          </cell>
          <cell r="AN59">
            <v>11.5</v>
          </cell>
          <cell r="AO59">
            <v>11.17</v>
          </cell>
          <cell r="AP59">
            <v>10.6</v>
          </cell>
          <cell r="AQ59">
            <v>11.5725</v>
          </cell>
          <cell r="AR59">
            <v>9.92</v>
          </cell>
          <cell r="AS59">
            <v>14.65</v>
          </cell>
          <cell r="AT59">
            <v>18</v>
          </cell>
          <cell r="AU59">
            <v>19.25</v>
          </cell>
          <cell r="AV59">
            <v>15.127934782608696</v>
          </cell>
          <cell r="AW59">
            <v>17.5</v>
          </cell>
        </row>
        <row r="60">
          <cell r="A60" t="str">
            <v xml:space="preserve">  Oil Price - Algeria ($/Bbl)</v>
          </cell>
          <cell r="AN60">
            <v>12.25</v>
          </cell>
          <cell r="AO60">
            <v>13</v>
          </cell>
          <cell r="AP60">
            <v>11.37</v>
          </cell>
          <cell r="AQ60">
            <v>12.206666666666665</v>
          </cell>
          <cell r="AR60">
            <v>11.57</v>
          </cell>
          <cell r="AS60">
            <v>15.38</v>
          </cell>
          <cell r="AT60">
            <v>21</v>
          </cell>
          <cell r="AU60">
            <v>21.25</v>
          </cell>
          <cell r="AV60">
            <v>16.547499999999999</v>
          </cell>
          <cell r="AW60">
            <v>17</v>
          </cell>
        </row>
        <row r="61">
          <cell r="A61" t="str">
            <v xml:space="preserve">  Blended</v>
          </cell>
          <cell r="C61">
            <v>23.27</v>
          </cell>
          <cell r="D61">
            <v>20.36</v>
          </cell>
          <cell r="E61">
            <v>18.77</v>
          </cell>
          <cell r="F61">
            <v>19.59</v>
          </cell>
          <cell r="G61">
            <v>19.989999999999998</v>
          </cell>
          <cell r="H61">
            <v>19.677499999999998</v>
          </cell>
          <cell r="I61">
            <v>17</v>
          </cell>
          <cell r="J61">
            <v>18.87</v>
          </cell>
          <cell r="K61">
            <v>19</v>
          </cell>
          <cell r="L61">
            <v>18.489999999999998</v>
          </cell>
          <cell r="M61">
            <v>18.34</v>
          </cell>
          <cell r="N61">
            <v>17.670000000000002</v>
          </cell>
          <cell r="O61">
            <v>17.739999999999998</v>
          </cell>
          <cell r="P61">
            <v>15.81</v>
          </cell>
          <cell r="Q61">
            <v>14.44</v>
          </cell>
          <cell r="R61">
            <v>16.36</v>
          </cell>
          <cell r="S61">
            <v>12.36</v>
          </cell>
          <cell r="T61">
            <v>15.66</v>
          </cell>
          <cell r="U61">
            <v>16.55</v>
          </cell>
          <cell r="V61">
            <v>15.61</v>
          </cell>
          <cell r="W61">
            <v>15.02</v>
          </cell>
          <cell r="X61">
            <v>16.48</v>
          </cell>
          <cell r="Y61">
            <v>17.440000000000001</v>
          </cell>
          <cell r="Z61">
            <v>15.940000000000001</v>
          </cell>
          <cell r="AA61">
            <v>16.190000000000001</v>
          </cell>
          <cell r="AB61">
            <v>16.52</v>
          </cell>
          <cell r="AC61">
            <v>17.64</v>
          </cell>
          <cell r="AD61">
            <v>19.829999999999998</v>
          </cell>
          <cell r="AE61">
            <v>20.67</v>
          </cell>
          <cell r="AF61">
            <v>22.71</v>
          </cell>
          <cell r="AG61">
            <v>20.212499999999999</v>
          </cell>
          <cell r="AH61">
            <v>20.58</v>
          </cell>
          <cell r="AI61">
            <v>17.48</v>
          </cell>
          <cell r="AJ61">
            <v>17.059999999999999</v>
          </cell>
          <cell r="AK61">
            <v>17.399999999999999</v>
          </cell>
          <cell r="AL61">
            <v>18.130000000000003</v>
          </cell>
          <cell r="AM61">
            <v>13.02</v>
          </cell>
          <cell r="AN61">
            <v>11.62155172413793</v>
          </cell>
          <cell r="AO61">
            <v>11.460212699405691</v>
          </cell>
          <cell r="AP61">
            <v>10.776</v>
          </cell>
          <cell r="AQ61">
            <v>11.690910651115548</v>
          </cell>
          <cell r="AR61">
            <v>10.595000000000001</v>
          </cell>
          <cell r="AS61">
            <v>14.962857142857144</v>
          </cell>
          <cell r="AT61">
            <v>18.899999999999999</v>
          </cell>
          <cell r="AU61">
            <v>20.083333333333332</v>
          </cell>
          <cell r="AV61">
            <v>15.688289473684209</v>
          </cell>
          <cell r="AW61">
            <v>17.316091954022987</v>
          </cell>
        </row>
        <row r="62">
          <cell r="A62" t="str">
            <v>Plant and Plant Condensate ($/Bbl)</v>
          </cell>
          <cell r="C62">
            <v>22.8</v>
          </cell>
          <cell r="D62">
            <v>19.32</v>
          </cell>
          <cell r="E62">
            <v>18.239999999999998</v>
          </cell>
          <cell r="F62">
            <v>18.87</v>
          </cell>
          <cell r="G62">
            <v>18.600000000000001</v>
          </cell>
          <cell r="H62">
            <v>18.7575</v>
          </cell>
          <cell r="I62">
            <v>16.41</v>
          </cell>
          <cell r="J62">
            <v>16.5</v>
          </cell>
          <cell r="K62">
            <v>17.25</v>
          </cell>
          <cell r="L62">
            <v>18.11</v>
          </cell>
          <cell r="M62">
            <v>17.067499999999999</v>
          </cell>
        </row>
        <row r="63">
          <cell r="A63" t="str">
            <v>Natural Gas Liquids ($/Bbl)</v>
          </cell>
          <cell r="C63">
            <v>16.38</v>
          </cell>
          <cell r="D63">
            <v>16.38</v>
          </cell>
          <cell r="E63">
            <v>13.44</v>
          </cell>
          <cell r="F63">
            <v>13.02</v>
          </cell>
          <cell r="G63">
            <v>13.44</v>
          </cell>
          <cell r="H63">
            <v>14.07</v>
          </cell>
          <cell r="I63">
            <v>11.760000000000002</v>
          </cell>
          <cell r="J63">
            <v>11</v>
          </cell>
          <cell r="K63">
            <v>11</v>
          </cell>
          <cell r="L63">
            <v>14.280000000000001</v>
          </cell>
          <cell r="M63">
            <v>12.010000000000002</v>
          </cell>
          <cell r="N63">
            <v>14.280000000000001</v>
          </cell>
          <cell r="O63">
            <v>13.02</v>
          </cell>
          <cell r="P63">
            <v>13.02</v>
          </cell>
          <cell r="Q63">
            <v>10.5</v>
          </cell>
          <cell r="R63">
            <v>12.705</v>
          </cell>
          <cell r="S63">
            <v>9.66</v>
          </cell>
          <cell r="T63">
            <v>12.6</v>
          </cell>
          <cell r="U63">
            <v>13.860000000000001</v>
          </cell>
          <cell r="V63">
            <v>12.18</v>
          </cell>
          <cell r="W63">
            <v>12.074999999999999</v>
          </cell>
          <cell r="X63">
            <v>13.02</v>
          </cell>
          <cell r="Y63">
            <v>12.6</v>
          </cell>
          <cell r="Z63">
            <v>12.62</v>
          </cell>
          <cell r="AA63">
            <v>13.69</v>
          </cell>
          <cell r="AB63">
            <v>12.982499999999998</v>
          </cell>
          <cell r="AC63">
            <v>14.280000000000001</v>
          </cell>
          <cell r="AD63">
            <v>14.280000000000001</v>
          </cell>
          <cell r="AE63">
            <v>15.32</v>
          </cell>
          <cell r="AF63">
            <v>22.42</v>
          </cell>
          <cell r="AG63">
            <v>16.575000000000003</v>
          </cell>
          <cell r="AH63">
            <v>15.65</v>
          </cell>
          <cell r="AI63">
            <v>13.45</v>
          </cell>
          <cell r="AJ63">
            <v>14.65</v>
          </cell>
          <cell r="AK63">
            <v>14.62</v>
          </cell>
          <cell r="AL63">
            <v>14.504000000000003</v>
          </cell>
          <cell r="AM63">
            <v>10.741499999999998</v>
          </cell>
          <cell r="AN63">
            <v>10.9</v>
          </cell>
          <cell r="AO63">
            <v>9.4546754770096939</v>
          </cell>
          <cell r="AP63">
            <v>9.14</v>
          </cell>
          <cell r="AQ63">
            <v>10.059043869252424</v>
          </cell>
          <cell r="AR63">
            <v>8.6</v>
          </cell>
          <cell r="AS63">
            <v>11.91</v>
          </cell>
          <cell r="AT63">
            <v>15.12</v>
          </cell>
          <cell r="AU63">
            <v>16.46833333333333</v>
          </cell>
          <cell r="AV63">
            <v>12.889914592484137</v>
          </cell>
          <cell r="AW63">
            <v>13.85287356321839</v>
          </cell>
        </row>
        <row r="65">
          <cell r="A65" t="str">
            <v>Anadarko Petroleum Corporation</v>
          </cell>
        </row>
        <row r="66">
          <cell r="A66" t="str">
            <v>Revenue Worksheet - Page 2</v>
          </cell>
        </row>
        <row r="68">
          <cell r="A68" t="str">
            <v>AVERAGE DAILY SALES ($000)</v>
          </cell>
          <cell r="M68" t="str">
            <v xml:space="preserve">1992  </v>
          </cell>
          <cell r="N68" t="str">
            <v xml:space="preserve">1q   </v>
          </cell>
          <cell r="O68" t="str">
            <v xml:space="preserve">2q   </v>
          </cell>
          <cell r="P68" t="str">
            <v xml:space="preserve">3q   </v>
          </cell>
          <cell r="Q68" t="str">
            <v xml:space="preserve">4q   </v>
          </cell>
          <cell r="R68">
            <v>1993</v>
          </cell>
          <cell r="S68" t="str">
            <v xml:space="preserve">1q   </v>
          </cell>
          <cell r="T68" t="str">
            <v xml:space="preserve">2q   </v>
          </cell>
          <cell r="U68" t="str">
            <v xml:space="preserve">3q  </v>
          </cell>
          <cell r="V68" t="str">
            <v xml:space="preserve">4qe   </v>
          </cell>
          <cell r="W68">
            <v>1994</v>
          </cell>
          <cell r="X68" t="str">
            <v>1q</v>
          </cell>
          <cell r="Y68" t="str">
            <v>2q</v>
          </cell>
          <cell r="Z68" t="str">
            <v>3q</v>
          </cell>
          <cell r="AA68" t="str">
            <v>4q</v>
          </cell>
          <cell r="AB68">
            <v>1995</v>
          </cell>
          <cell r="AC68" t="str">
            <v>1q</v>
          </cell>
          <cell r="AD68" t="str">
            <v>2q</v>
          </cell>
          <cell r="AE68" t="str">
            <v>3q</v>
          </cell>
          <cell r="AF68" t="str">
            <v>4q</v>
          </cell>
          <cell r="AG68">
            <v>1996</v>
          </cell>
          <cell r="AH68" t="str">
            <v>1q</v>
          </cell>
          <cell r="AI68" t="str">
            <v>2q</v>
          </cell>
          <cell r="AJ68" t="str">
            <v>3q</v>
          </cell>
          <cell r="AK68" t="str">
            <v>4q</v>
          </cell>
          <cell r="AL68">
            <v>1997</v>
          </cell>
          <cell r="AM68" t="str">
            <v>1q</v>
          </cell>
          <cell r="AN68" t="str">
            <v>2q</v>
          </cell>
          <cell r="AO68" t="str">
            <v>3q</v>
          </cell>
          <cell r="AP68" t="str">
            <v>4q</v>
          </cell>
          <cell r="AQ68" t="str">
            <v>1998</v>
          </cell>
          <cell r="AR68" t="str">
            <v>1q</v>
          </cell>
          <cell r="AS68" t="str">
            <v>2q</v>
          </cell>
          <cell r="AT68" t="str">
            <v>3qe</v>
          </cell>
          <cell r="AU68" t="str">
            <v>4qe</v>
          </cell>
          <cell r="AV68" t="str">
            <v>1999E</v>
          </cell>
          <cell r="AW68" t="str">
            <v>2000E</v>
          </cell>
        </row>
        <row r="69">
          <cell r="A69" t="str">
            <v>Domestic Gas Sales</v>
          </cell>
          <cell r="C69" t="e">
            <v>#REF!</v>
          </cell>
          <cell r="D69">
            <v>697.66666666666674</v>
          </cell>
          <cell r="E69">
            <v>423.58571428571435</v>
          </cell>
          <cell r="F69">
            <v>356.67478260869564</v>
          </cell>
          <cell r="G69">
            <v>809.2217391304348</v>
          </cell>
          <cell r="H69">
            <v>571.78722567287787</v>
          </cell>
          <cell r="I69">
            <v>596.17582417582423</v>
          </cell>
          <cell r="J69">
            <v>449.53846153846149</v>
          </cell>
          <cell r="K69">
            <v>624.75000000000011</v>
          </cell>
          <cell r="L69">
            <v>1089.6135869565217</v>
          </cell>
          <cell r="M69">
            <v>690.01946816770192</v>
          </cell>
          <cell r="N69">
            <v>901.01549999999986</v>
          </cell>
          <cell r="O69">
            <v>781.96499999999992</v>
          </cell>
          <cell r="P69">
            <v>751.07445652173919</v>
          </cell>
          <cell r="Q69">
            <v>993.80434782608677</v>
          </cell>
          <cell r="R69">
            <v>856.96482608695646</v>
          </cell>
          <cell r="S69">
            <v>1086.1066666666666</v>
          </cell>
          <cell r="T69">
            <v>819.4873846153846</v>
          </cell>
          <cell r="U69">
            <v>707.74782608695659</v>
          </cell>
          <cell r="V69">
            <v>697.30000000000007</v>
          </cell>
          <cell r="W69">
            <v>826.39103998891721</v>
          </cell>
          <cell r="X69">
            <v>596.55555555555543</v>
          </cell>
          <cell r="Y69">
            <v>696.00000000000011</v>
          </cell>
          <cell r="Z69">
            <v>578.35597826086962</v>
          </cell>
          <cell r="AA69">
            <v>792.7771739130435</v>
          </cell>
          <cell r="AB69">
            <v>666.21550456566456</v>
          </cell>
          <cell r="AC69">
            <v>949.74666666666667</v>
          </cell>
          <cell r="AD69">
            <v>904.33846153846139</v>
          </cell>
          <cell r="AE69">
            <v>842.28913043478246</v>
          </cell>
          <cell r="AF69">
            <v>1140.4239130434783</v>
          </cell>
          <cell r="AG69">
            <v>959.43572585940944</v>
          </cell>
          <cell r="AH69">
            <v>1248.414</v>
          </cell>
          <cell r="AI69">
            <v>889.47692307692307</v>
          </cell>
          <cell r="AJ69">
            <v>997.38599999999985</v>
          </cell>
          <cell r="AK69">
            <v>1368.171</v>
          </cell>
          <cell r="AL69">
            <v>1125.8108102212855</v>
          </cell>
          <cell r="AM69">
            <v>985.33499999999992</v>
          </cell>
          <cell r="AN69">
            <v>916.27700000000004</v>
          </cell>
          <cell r="AO69">
            <v>905.28549999999984</v>
          </cell>
          <cell r="AP69">
            <v>915.56000000000006</v>
          </cell>
          <cell r="AQ69">
            <v>930.34733698630134</v>
          </cell>
          <cell r="AR69">
            <v>778.48799999999994</v>
          </cell>
          <cell r="AS69">
            <v>899.87199999999996</v>
          </cell>
          <cell r="AT69">
            <v>1016.825</v>
          </cell>
          <cell r="AU69">
            <v>1089.0000000000002</v>
          </cell>
          <cell r="AV69">
            <v>947.09088219178079</v>
          </cell>
          <cell r="AW69">
            <v>1108.4749999999999</v>
          </cell>
        </row>
        <row r="70">
          <cell r="A70" t="str">
            <v xml:space="preserve">  Oil Sales - US</v>
          </cell>
          <cell r="C70">
            <v>293.202</v>
          </cell>
          <cell r="D70">
            <v>270.33555555555557</v>
          </cell>
          <cell r="E70">
            <v>233.28428571428572</v>
          </cell>
          <cell r="F70">
            <v>244.87499999999997</v>
          </cell>
          <cell r="G70">
            <v>235.3170652173913</v>
          </cell>
          <cell r="H70">
            <v>245.78006164383558</v>
          </cell>
          <cell r="I70">
            <v>200.07692307692307</v>
          </cell>
          <cell r="J70">
            <v>230.58725274725279</v>
          </cell>
          <cell r="K70">
            <v>216.8478260869565</v>
          </cell>
          <cell r="L70">
            <v>228.71326086956518</v>
          </cell>
          <cell r="M70">
            <v>219.02770491803278</v>
          </cell>
          <cell r="N70">
            <v>379.11966666666677</v>
          </cell>
          <cell r="O70">
            <v>370.98043956043955</v>
          </cell>
          <cell r="P70">
            <v>339.57130434782613</v>
          </cell>
          <cell r="Q70">
            <v>329.60869565217388</v>
          </cell>
          <cell r="R70">
            <v>354.5413698630137</v>
          </cell>
          <cell r="S70">
            <v>293.34399999999999</v>
          </cell>
          <cell r="T70">
            <v>364.65428571428578</v>
          </cell>
          <cell r="U70">
            <v>371.65543478260867</v>
          </cell>
          <cell r="V70">
            <v>336.29369565217388</v>
          </cell>
          <cell r="W70">
            <v>341.67413698630139</v>
          </cell>
          <cell r="X70">
            <v>336.55822222222224</v>
          </cell>
          <cell r="Y70">
            <v>371.03120879120883</v>
          </cell>
          <cell r="Z70">
            <v>318.8</v>
          </cell>
          <cell r="AA70">
            <v>323.97597826086957</v>
          </cell>
          <cell r="AB70">
            <v>337.41534246575344</v>
          </cell>
          <cell r="AC70">
            <v>333.39599999999996</v>
          </cell>
          <cell r="AD70">
            <v>363.91318681318677</v>
          </cell>
          <cell r="AE70">
            <v>361.94967391304351</v>
          </cell>
          <cell r="AF70">
            <v>424.08456521739123</v>
          </cell>
          <cell r="AG70">
            <v>371.08346519648825</v>
          </cell>
          <cell r="AH70">
            <v>457.79066666666654</v>
          </cell>
          <cell r="AI70">
            <v>432.0057142857143</v>
          </cell>
          <cell r="AJ70">
            <v>443.55999999999995</v>
          </cell>
          <cell r="AK70">
            <v>452.4</v>
          </cell>
          <cell r="AL70">
            <v>448.53044444444453</v>
          </cell>
          <cell r="AM70">
            <v>325.5</v>
          </cell>
          <cell r="AN70">
            <v>279.45</v>
          </cell>
          <cell r="AO70">
            <v>300.47299999999996</v>
          </cell>
          <cell r="AP70">
            <v>286.2</v>
          </cell>
          <cell r="AQ70">
            <v>298.57049999999998</v>
          </cell>
          <cell r="AR70">
            <v>257.92</v>
          </cell>
          <cell r="AS70">
            <v>351.6</v>
          </cell>
          <cell r="AT70">
            <v>378</v>
          </cell>
          <cell r="AU70">
            <v>404.25</v>
          </cell>
          <cell r="AV70">
            <v>347.9425</v>
          </cell>
          <cell r="AW70">
            <v>577.5</v>
          </cell>
        </row>
        <row r="71">
          <cell r="A71" t="str">
            <v xml:space="preserve">  Oil Sales -  Algeria</v>
          </cell>
          <cell r="AN71">
            <v>57.575000000000003</v>
          </cell>
          <cell r="AO71">
            <v>65.91</v>
          </cell>
          <cell r="AP71">
            <v>90.96</v>
          </cell>
          <cell r="AQ71">
            <v>72.304155555555539</v>
          </cell>
          <cell r="AR71">
            <v>208.26</v>
          </cell>
          <cell r="AS71">
            <v>276.84000000000003</v>
          </cell>
          <cell r="AT71">
            <v>189</v>
          </cell>
          <cell r="AU71">
            <v>318.75</v>
          </cell>
          <cell r="AV71">
            <v>248.21249999999998</v>
          </cell>
          <cell r="AW71">
            <v>326.39999999999998</v>
          </cell>
        </row>
        <row r="72">
          <cell r="A72" t="str">
            <v xml:space="preserve">Total Oil Sales </v>
          </cell>
          <cell r="C72">
            <v>293.202</v>
          </cell>
          <cell r="D72">
            <v>270.33555555555557</v>
          </cell>
          <cell r="E72">
            <v>233.28428571428572</v>
          </cell>
          <cell r="F72">
            <v>244.87499999999997</v>
          </cell>
          <cell r="G72">
            <v>235.3170652173913</v>
          </cell>
          <cell r="H72">
            <v>245.78006164383558</v>
          </cell>
          <cell r="I72">
            <v>200.07692307692307</v>
          </cell>
          <cell r="J72">
            <v>230.58725274725279</v>
          </cell>
          <cell r="K72">
            <v>216.8478260869565</v>
          </cell>
          <cell r="L72">
            <v>228.71326086956518</v>
          </cell>
          <cell r="M72">
            <v>219.02770491803278</v>
          </cell>
          <cell r="N72">
            <v>379.11966666666677</v>
          </cell>
          <cell r="O72">
            <v>370.98043956043955</v>
          </cell>
          <cell r="P72">
            <v>339.57130434782613</v>
          </cell>
          <cell r="Q72">
            <v>329.60869565217388</v>
          </cell>
          <cell r="R72">
            <v>354.5413698630137</v>
          </cell>
          <cell r="S72">
            <v>293.34399999999999</v>
          </cell>
          <cell r="T72">
            <v>364.65428571428578</v>
          </cell>
          <cell r="U72">
            <v>371.65543478260867</v>
          </cell>
          <cell r="V72">
            <v>336.29369565217388</v>
          </cell>
          <cell r="W72">
            <v>341.67413698630139</v>
          </cell>
          <cell r="X72">
            <v>336.55822222222224</v>
          </cell>
          <cell r="Y72">
            <v>371.03120879120883</v>
          </cell>
          <cell r="Z72">
            <v>318.8</v>
          </cell>
          <cell r="AA72">
            <v>323.97597826086957</v>
          </cell>
          <cell r="AB72">
            <v>337.41534246575344</v>
          </cell>
          <cell r="AC72">
            <v>333.39599999999996</v>
          </cell>
          <cell r="AD72">
            <v>363.91318681318677</v>
          </cell>
          <cell r="AE72">
            <v>361.94967391304351</v>
          </cell>
          <cell r="AF72">
            <v>424.08456521739123</v>
          </cell>
          <cell r="AG72">
            <v>371.08346519648825</v>
          </cell>
          <cell r="AH72">
            <v>457.79066666666654</v>
          </cell>
          <cell r="AI72">
            <v>432.0057142857143</v>
          </cell>
          <cell r="AJ72">
            <v>443.55999999999995</v>
          </cell>
          <cell r="AK72">
            <v>452.4</v>
          </cell>
          <cell r="AL72">
            <v>448.53044444444453</v>
          </cell>
          <cell r="AM72">
            <v>325.5</v>
          </cell>
          <cell r="AN72">
            <v>337.02499999999998</v>
          </cell>
          <cell r="AO72">
            <v>366.38299999999992</v>
          </cell>
          <cell r="AP72">
            <v>377.15999999999997</v>
          </cell>
          <cell r="AQ72">
            <v>370.87465555555553</v>
          </cell>
          <cell r="AR72">
            <v>466.18</v>
          </cell>
          <cell r="AS72">
            <v>628.44000000000005</v>
          </cell>
          <cell r="AT72">
            <v>567</v>
          </cell>
          <cell r="AU72">
            <v>723</v>
          </cell>
          <cell r="AV72">
            <v>596.15499999999997</v>
          </cell>
          <cell r="AW72">
            <v>903.9</v>
          </cell>
        </row>
        <row r="73">
          <cell r="A73" t="str">
            <v xml:space="preserve">Plant $ Plant Condensate </v>
          </cell>
          <cell r="C73">
            <v>17.115616438356167</v>
          </cell>
          <cell r="H73">
            <v>21.018678082191784</v>
          </cell>
          <cell r="M73">
            <v>10.165887978142075</v>
          </cell>
        </row>
        <row r="74">
          <cell r="A74" t="str">
            <v>Natural Gas Liquids</v>
          </cell>
          <cell r="C74">
            <v>67.494575342465751</v>
          </cell>
          <cell r="D74">
            <v>77.531999999999996</v>
          </cell>
          <cell r="E74">
            <v>48.886153846153846</v>
          </cell>
          <cell r="F74">
            <v>71.043913043478256</v>
          </cell>
          <cell r="G74">
            <v>101.96869565217391</v>
          </cell>
          <cell r="H74">
            <v>75.438328767123281</v>
          </cell>
          <cell r="I74">
            <v>70.689230769230775</v>
          </cell>
          <cell r="J74">
            <v>53.307692307692314</v>
          </cell>
          <cell r="K74">
            <v>55</v>
          </cell>
          <cell r="L74">
            <v>78.540000000000006</v>
          </cell>
          <cell r="M74">
            <v>71.272459016393455</v>
          </cell>
          <cell r="N74">
            <v>128.04400000000004</v>
          </cell>
          <cell r="O74">
            <v>63.24</v>
          </cell>
          <cell r="P74">
            <v>73.025217391304352</v>
          </cell>
          <cell r="Q74">
            <v>106.3695652173913</v>
          </cell>
          <cell r="R74">
            <v>93.877767123287668</v>
          </cell>
          <cell r="S74">
            <v>69.65933333333335</v>
          </cell>
          <cell r="T74">
            <v>89.169230769230765</v>
          </cell>
          <cell r="U74">
            <v>94.308260869565217</v>
          </cell>
          <cell r="V74">
            <v>143.11500000000001</v>
          </cell>
          <cell r="W74">
            <v>99.246575342465732</v>
          </cell>
          <cell r="X74">
            <v>146.69199999999998</v>
          </cell>
          <cell r="Y74">
            <v>104.39999999999998</v>
          </cell>
          <cell r="Z74">
            <v>90.260434782608698</v>
          </cell>
          <cell r="AA74">
            <v>171.72021739130435</v>
          </cell>
          <cell r="AB74">
            <v>127.33520547945204</v>
          </cell>
          <cell r="AC74">
            <v>156.76266666666669</v>
          </cell>
          <cell r="AD74">
            <v>128.52000000000001</v>
          </cell>
          <cell r="AE74">
            <v>118.2304347826087</v>
          </cell>
          <cell r="AF74">
            <v>252.46869565217395</v>
          </cell>
          <cell r="AG74">
            <v>140.88750000000002</v>
          </cell>
          <cell r="AH74">
            <v>214.05722222222224</v>
          </cell>
          <cell r="AI74">
            <v>147.94999999999999</v>
          </cell>
          <cell r="AJ74">
            <v>234.4</v>
          </cell>
          <cell r="AK74">
            <v>277.77999999999997</v>
          </cell>
          <cell r="AL74">
            <v>216.64604931506852</v>
          </cell>
          <cell r="AM74">
            <v>204.08849999999998</v>
          </cell>
          <cell r="AN74">
            <v>185.3</v>
          </cell>
          <cell r="AO74">
            <v>170.18415858617448</v>
          </cell>
          <cell r="AP74">
            <v>155.38</v>
          </cell>
          <cell r="AQ74">
            <v>178.49980038670671</v>
          </cell>
          <cell r="AR74">
            <v>154.79999999999998</v>
          </cell>
          <cell r="AS74">
            <v>207.23399999999998</v>
          </cell>
          <cell r="AT74">
            <v>263.08799999999997</v>
          </cell>
          <cell r="AU74">
            <v>255.25916666666663</v>
          </cell>
          <cell r="AV74">
            <v>220.0184819016292</v>
          </cell>
          <cell r="AW74">
            <v>207.79310344827584</v>
          </cell>
        </row>
        <row r="75">
          <cell r="A75" t="str">
            <v>Total Daily Revenue (All Sources)</v>
          </cell>
          <cell r="C75" t="e">
            <v>#REF!</v>
          </cell>
          <cell r="D75">
            <v>1045.5342222222223</v>
          </cell>
          <cell r="E75">
            <v>705.75615384615401</v>
          </cell>
          <cell r="F75">
            <v>672.59369565217389</v>
          </cell>
          <cell r="G75">
            <v>1146.5074999999999</v>
          </cell>
          <cell r="H75">
            <v>914.02429416602843</v>
          </cell>
          <cell r="I75">
            <v>866.94197802197812</v>
          </cell>
          <cell r="J75">
            <v>733.43340659340652</v>
          </cell>
          <cell r="K75">
            <v>896.59782608695662</v>
          </cell>
          <cell r="L75">
            <v>1396.8668478260868</v>
          </cell>
          <cell r="M75">
            <v>990.48552008027025</v>
          </cell>
          <cell r="N75">
            <v>1408.1791666666668</v>
          </cell>
          <cell r="O75">
            <v>1216.1854395604394</v>
          </cell>
          <cell r="P75">
            <v>1163.6709782608696</v>
          </cell>
          <cell r="Q75">
            <v>1429.7826086956518</v>
          </cell>
          <cell r="R75">
            <v>1305.3839630732577</v>
          </cell>
          <cell r="S75">
            <v>1449.11</v>
          </cell>
          <cell r="T75">
            <v>1273.3109010989012</v>
          </cell>
          <cell r="U75">
            <v>1173.7115217391304</v>
          </cell>
          <cell r="V75">
            <v>1176.7086956521739</v>
          </cell>
          <cell r="W75">
            <v>1267.3117523176843</v>
          </cell>
          <cell r="X75">
            <v>1079.8057777777776</v>
          </cell>
          <cell r="Y75">
            <v>1171.431208791209</v>
          </cell>
          <cell r="Z75">
            <v>987.41641304347843</v>
          </cell>
          <cell r="AA75">
            <v>1288.4733695652176</v>
          </cell>
          <cell r="AB75">
            <v>1130.96605251087</v>
          </cell>
          <cell r="AC75">
            <v>1439.9053333333334</v>
          </cell>
          <cell r="AD75">
            <v>1396.7716483516481</v>
          </cell>
          <cell r="AE75">
            <v>1322.4692391304345</v>
          </cell>
          <cell r="AF75">
            <v>1816.9771739130433</v>
          </cell>
          <cell r="AG75">
            <v>1471.4066910558977</v>
          </cell>
          <cell r="AH75">
            <v>1920.2618888888887</v>
          </cell>
          <cell r="AI75">
            <v>1469.4326373626375</v>
          </cell>
          <cell r="AJ75">
            <v>1675.346</v>
          </cell>
          <cell r="AK75">
            <v>2098.3509999999997</v>
          </cell>
          <cell r="AL75">
            <v>1790.9873039807985</v>
          </cell>
          <cell r="AM75">
            <v>1514.9235000000001</v>
          </cell>
          <cell r="AN75">
            <v>1438.6020000000001</v>
          </cell>
          <cell r="AO75">
            <v>1441.8526585861741</v>
          </cell>
          <cell r="AP75">
            <v>1448.1</v>
          </cell>
          <cell r="AQ75">
            <v>1479.7217929285637</v>
          </cell>
          <cell r="AR75">
            <v>1399.4679999999998</v>
          </cell>
          <cell r="AS75">
            <v>1735.5459999999998</v>
          </cell>
          <cell r="AT75">
            <v>1846.913</v>
          </cell>
          <cell r="AU75">
            <v>2067.2591666666667</v>
          </cell>
          <cell r="AV75">
            <v>1763.26436409341</v>
          </cell>
          <cell r="AW75">
            <v>2220.1681034482758</v>
          </cell>
        </row>
        <row r="76">
          <cell r="A76" t="str">
            <v>PERIOD SALES (Millions)</v>
          </cell>
          <cell r="M76">
            <v>1992</v>
          </cell>
          <cell r="N76" t="str">
            <v>1Q93</v>
          </cell>
          <cell r="O76" t="str">
            <v>2Q93</v>
          </cell>
          <cell r="P76" t="str">
            <v>3Q93</v>
          </cell>
          <cell r="Q76" t="str">
            <v>4Q93</v>
          </cell>
          <cell r="R76">
            <v>1993</v>
          </cell>
          <cell r="S76" t="str">
            <v>1Q94</v>
          </cell>
          <cell r="T76" t="str">
            <v>2Q94</v>
          </cell>
          <cell r="U76" t="str">
            <v>3Q94</v>
          </cell>
          <cell r="V76" t="str">
            <v>4Q94</v>
          </cell>
          <cell r="W76">
            <v>1994</v>
          </cell>
          <cell r="X76" t="str">
            <v>1q</v>
          </cell>
          <cell r="Y76" t="str">
            <v>2q</v>
          </cell>
          <cell r="Z76" t="str">
            <v>3q</v>
          </cell>
          <cell r="AA76" t="str">
            <v>4q</v>
          </cell>
          <cell r="AB76">
            <v>1995</v>
          </cell>
          <cell r="AC76" t="str">
            <v>1q</v>
          </cell>
          <cell r="AD76" t="str">
            <v>2q</v>
          </cell>
          <cell r="AE76" t="str">
            <v>3q</v>
          </cell>
          <cell r="AF76" t="str">
            <v>4q</v>
          </cell>
          <cell r="AG76" t="str">
            <v>1996</v>
          </cell>
          <cell r="AH76" t="str">
            <v>1q</v>
          </cell>
          <cell r="AI76" t="str">
            <v>2q</v>
          </cell>
          <cell r="AJ76" t="str">
            <v>3q</v>
          </cell>
          <cell r="AK76" t="str">
            <v>4q</v>
          </cell>
          <cell r="AL76" t="str">
            <v>1997</v>
          </cell>
          <cell r="AM76" t="str">
            <v>1q</v>
          </cell>
          <cell r="AN76" t="str">
            <v>2q</v>
          </cell>
          <cell r="AO76" t="str">
            <v>3q</v>
          </cell>
          <cell r="AP76" t="str">
            <v>4q</v>
          </cell>
          <cell r="AQ76" t="str">
            <v>1998</v>
          </cell>
          <cell r="AR76" t="str">
            <v>1q</v>
          </cell>
          <cell r="AS76" t="str">
            <v>2q</v>
          </cell>
          <cell r="AT76" t="str">
            <v>3qe</v>
          </cell>
          <cell r="AU76" t="str">
            <v>4qe</v>
          </cell>
          <cell r="AV76" t="str">
            <v>1999E</v>
          </cell>
          <cell r="AW76" t="str">
            <v>2000E</v>
          </cell>
        </row>
        <row r="77">
          <cell r="A77" t="str">
            <v>Period Natural Gas Sales</v>
          </cell>
          <cell r="C77">
            <v>245.06724</v>
          </cell>
          <cell r="D77">
            <v>62.79</v>
          </cell>
          <cell r="E77">
            <v>38.546300000000002</v>
          </cell>
          <cell r="F77">
            <v>32.814079999999997</v>
          </cell>
          <cell r="G77">
            <v>74.447999999999993</v>
          </cell>
          <cell r="H77">
            <v>208.70233737060042</v>
          </cell>
          <cell r="I77">
            <v>54.252000000000002</v>
          </cell>
          <cell r="J77">
            <v>40.908000000000001</v>
          </cell>
          <cell r="K77">
            <v>57.477000000000011</v>
          </cell>
          <cell r="L77">
            <v>100.24445</v>
          </cell>
          <cell r="M77">
            <v>252.88145</v>
          </cell>
          <cell r="N77">
            <v>81.091394999999991</v>
          </cell>
          <cell r="O77">
            <v>71.15881499999999</v>
          </cell>
          <cell r="P77">
            <v>69.098849999999999</v>
          </cell>
          <cell r="Q77">
            <v>91.43</v>
          </cell>
          <cell r="R77">
            <v>312.77905999999996</v>
          </cell>
          <cell r="S77">
            <v>97.749600000000001</v>
          </cell>
          <cell r="T77">
            <v>74.573352</v>
          </cell>
          <cell r="U77">
            <v>65.112799999999993</v>
          </cell>
          <cell r="V77">
            <v>64.151600000000002</v>
          </cell>
          <cell r="W77">
            <v>301.58735200000001</v>
          </cell>
          <cell r="X77">
            <v>53.69</v>
          </cell>
          <cell r="Y77">
            <v>63.336000000000006</v>
          </cell>
          <cell r="Z77">
            <v>53.208750000000002</v>
          </cell>
          <cell r="AA77">
            <v>72.935500000000005</v>
          </cell>
          <cell r="AB77">
            <v>243.17025000000001</v>
          </cell>
          <cell r="AC77">
            <v>85.477199999999996</v>
          </cell>
          <cell r="AD77">
            <v>82.294799999999981</v>
          </cell>
          <cell r="AE77">
            <v>77.490599999999986</v>
          </cell>
          <cell r="AF77">
            <v>104.919</v>
          </cell>
          <cell r="AG77">
            <v>350.1816</v>
          </cell>
          <cell r="AH77">
            <v>112.35726</v>
          </cell>
          <cell r="AI77">
            <v>80.942399999999992</v>
          </cell>
          <cell r="AJ77">
            <v>91.759512000000001</v>
          </cell>
          <cell r="AK77">
            <v>125.87173199999999</v>
          </cell>
          <cell r="AL77">
            <v>410.93090399999994</v>
          </cell>
          <cell r="AM77">
            <v>88.680149999999998</v>
          </cell>
          <cell r="AN77">
            <v>83.381207000000003</v>
          </cell>
          <cell r="AO77">
            <v>83.286265999999998</v>
          </cell>
          <cell r="AP77">
            <v>84.231520000000003</v>
          </cell>
          <cell r="AQ77">
            <v>339.57914299999999</v>
          </cell>
          <cell r="AR77">
            <v>70.063919999999996</v>
          </cell>
          <cell r="AS77">
            <v>81.888351999999998</v>
          </cell>
          <cell r="AT77">
            <v>93.547899999999998</v>
          </cell>
          <cell r="AU77">
            <v>100.188</v>
          </cell>
          <cell r="AV77">
            <v>345.68817200000001</v>
          </cell>
          <cell r="AW77">
            <v>404.59337500000004</v>
          </cell>
        </row>
        <row r="78">
          <cell r="A78" t="str">
            <v xml:space="preserve">  US Oil Sales</v>
          </cell>
          <cell r="C78">
            <v>107.01872999999999</v>
          </cell>
          <cell r="D78">
            <v>24.330200000000001</v>
          </cell>
          <cell r="E78">
            <v>21.228870000000001</v>
          </cell>
          <cell r="F78">
            <v>22.528499999999998</v>
          </cell>
          <cell r="G78">
            <v>21.649169999999998</v>
          </cell>
          <cell r="H78">
            <v>89.709722499999984</v>
          </cell>
          <cell r="I78">
            <v>18.207000000000001</v>
          </cell>
          <cell r="J78">
            <v>20.983440000000002</v>
          </cell>
          <cell r="K78">
            <v>19.95</v>
          </cell>
          <cell r="L78">
            <v>21.041619999999995</v>
          </cell>
          <cell r="M78">
            <v>80.164140000000003</v>
          </cell>
          <cell r="N78">
            <v>34.120770000000014</v>
          </cell>
          <cell r="O78">
            <v>33.759219999999999</v>
          </cell>
          <cell r="P78">
            <v>31.240560000000006</v>
          </cell>
          <cell r="Q78">
            <v>30.323999999999998</v>
          </cell>
          <cell r="R78">
            <v>129.4076</v>
          </cell>
          <cell r="S78">
            <v>26.400959999999998</v>
          </cell>
          <cell r="T78">
            <v>33.183540000000008</v>
          </cell>
          <cell r="U78">
            <v>34.192299999999996</v>
          </cell>
          <cell r="V78">
            <v>30.939019999999996</v>
          </cell>
          <cell r="W78">
            <v>124.71106000000002</v>
          </cell>
          <cell r="X78">
            <v>30.290240000000001</v>
          </cell>
          <cell r="Y78">
            <v>33.763840000000002</v>
          </cell>
          <cell r="Z78">
            <v>29.329600000000003</v>
          </cell>
          <cell r="AA78">
            <v>29.805790000000002</v>
          </cell>
          <cell r="AB78">
            <v>123.15660000000001</v>
          </cell>
          <cell r="AC78">
            <v>30.005639999999996</v>
          </cell>
          <cell r="AD78">
            <v>33.116099999999996</v>
          </cell>
          <cell r="AE78">
            <v>33.299370000000003</v>
          </cell>
          <cell r="AF78">
            <v>39.015779999999992</v>
          </cell>
          <cell r="AG78">
            <v>135.4454647967182</v>
          </cell>
          <cell r="AH78">
            <v>41.201159999999987</v>
          </cell>
          <cell r="AI78">
            <v>39.312520000000006</v>
          </cell>
          <cell r="AJ78">
            <v>40.807519999999997</v>
          </cell>
          <cell r="AK78">
            <v>41.620799999999996</v>
          </cell>
          <cell r="AL78">
            <v>163.71361222222225</v>
          </cell>
          <cell r="AM78">
            <v>29.295000000000002</v>
          </cell>
          <cell r="AN78">
            <v>25.429950000000002</v>
          </cell>
          <cell r="AO78">
            <v>27.643515999999995</v>
          </cell>
          <cell r="AP78">
            <v>26.330399999999997</v>
          </cell>
          <cell r="AQ78">
            <v>108.9782325</v>
          </cell>
          <cell r="AR78">
            <v>23.212800000000001</v>
          </cell>
          <cell r="AS78">
            <v>31.995600000000003</v>
          </cell>
          <cell r="AT78">
            <v>34.776000000000003</v>
          </cell>
          <cell r="AU78">
            <v>37.191000000000003</v>
          </cell>
          <cell r="AV78">
            <v>126.99901249999999</v>
          </cell>
          <cell r="AW78">
            <v>210.78749999999999</v>
          </cell>
        </row>
        <row r="79">
          <cell r="A79" t="str">
            <v xml:space="preserve">  Algerian Oil Sales</v>
          </cell>
          <cell r="AN79">
            <v>5.239325</v>
          </cell>
          <cell r="AO79">
            <v>6.0637199999999991</v>
          </cell>
          <cell r="AP79">
            <v>8.3683199999999989</v>
          </cell>
          <cell r="AQ79">
            <v>26.391016777777772</v>
          </cell>
          <cell r="AR79">
            <v>18.743399999999998</v>
          </cell>
          <cell r="AS79">
            <v>25.192440000000001</v>
          </cell>
          <cell r="AT79">
            <v>17.388000000000002</v>
          </cell>
          <cell r="AU79">
            <v>29.324999999999999</v>
          </cell>
          <cell r="AV79">
            <v>90.597562499999981</v>
          </cell>
          <cell r="AW79">
            <v>119.13599999999998</v>
          </cell>
        </row>
        <row r="80">
          <cell r="A80" t="str">
            <v xml:space="preserve">Total Oil Sales </v>
          </cell>
          <cell r="C80">
            <v>107.01872999999999</v>
          </cell>
          <cell r="D80">
            <v>24.330200000000001</v>
          </cell>
          <cell r="E80">
            <v>21.228870000000001</v>
          </cell>
          <cell r="F80">
            <v>22.528499999999998</v>
          </cell>
          <cell r="G80">
            <v>21.649169999999998</v>
          </cell>
          <cell r="H80">
            <v>89.709722499999984</v>
          </cell>
          <cell r="I80">
            <v>18.207000000000001</v>
          </cell>
          <cell r="J80">
            <v>20.983440000000002</v>
          </cell>
          <cell r="K80">
            <v>19.95</v>
          </cell>
          <cell r="L80">
            <v>21.041619999999995</v>
          </cell>
          <cell r="M80">
            <v>80.182059999999993</v>
          </cell>
          <cell r="N80">
            <v>34.120770000000014</v>
          </cell>
          <cell r="O80">
            <v>33.759219999999999</v>
          </cell>
          <cell r="P80">
            <v>31.240560000000006</v>
          </cell>
          <cell r="Q80">
            <v>30.323999999999998</v>
          </cell>
          <cell r="R80">
            <v>129.4076</v>
          </cell>
          <cell r="S80">
            <v>26.400959999999998</v>
          </cell>
          <cell r="T80">
            <v>33.183540000000008</v>
          </cell>
          <cell r="U80">
            <v>34.192299999999996</v>
          </cell>
          <cell r="V80">
            <v>30.939019999999996</v>
          </cell>
          <cell r="W80">
            <v>124.71106000000002</v>
          </cell>
          <cell r="X80">
            <v>30.290240000000001</v>
          </cell>
          <cell r="Y80">
            <v>33.763840000000002</v>
          </cell>
          <cell r="Z80">
            <v>29.329600000000003</v>
          </cell>
          <cell r="AA80">
            <v>29.805790000000002</v>
          </cell>
          <cell r="AB80">
            <v>123.15660000000001</v>
          </cell>
          <cell r="AC80">
            <v>30.005639999999996</v>
          </cell>
          <cell r="AD80">
            <v>33.116099999999996</v>
          </cell>
          <cell r="AE80">
            <v>33.299370000000003</v>
          </cell>
          <cell r="AF80">
            <v>39.015779999999992</v>
          </cell>
          <cell r="AG80">
            <v>135.4454647967182</v>
          </cell>
          <cell r="AH80">
            <v>41.201159999999987</v>
          </cell>
          <cell r="AI80">
            <v>39.312520000000006</v>
          </cell>
          <cell r="AJ80">
            <v>40.807519999999997</v>
          </cell>
          <cell r="AK80">
            <v>41.620799999999996</v>
          </cell>
          <cell r="AL80">
            <v>163.71361222222225</v>
          </cell>
          <cell r="AM80">
            <v>29.295000000000002</v>
          </cell>
          <cell r="AN80">
            <v>30.669275000000003</v>
          </cell>
          <cell r="AO80">
            <v>33.707235999999995</v>
          </cell>
          <cell r="AP80">
            <v>34.698719999999994</v>
          </cell>
          <cell r="AQ80">
            <v>135.36924927777778</v>
          </cell>
          <cell r="AR80">
            <v>41.956199999999995</v>
          </cell>
          <cell r="AS80">
            <v>57.188040000000001</v>
          </cell>
          <cell r="AT80">
            <v>52.164000000000001</v>
          </cell>
          <cell r="AU80">
            <v>66.516000000000005</v>
          </cell>
          <cell r="AV80">
            <v>217.59657499999997</v>
          </cell>
          <cell r="AW80">
            <v>329.92349999999999</v>
          </cell>
        </row>
        <row r="81">
          <cell r="A81" t="str">
            <v xml:space="preserve">Plant $ Plant Condensate </v>
          </cell>
          <cell r="C81">
            <v>6.2472000000000003</v>
          </cell>
          <cell r="D81">
            <v>2.9559600000000001</v>
          </cell>
          <cell r="E81">
            <v>0.94847999999999988</v>
          </cell>
          <cell r="F81">
            <v>1.2831600000000001</v>
          </cell>
          <cell r="G81">
            <v>2.5296000000000003</v>
          </cell>
          <cell r="H81">
            <v>7.6718175000000004</v>
          </cell>
          <cell r="I81">
            <v>1.41126</v>
          </cell>
          <cell r="J81">
            <v>0.46200000000000002</v>
          </cell>
          <cell r="K81">
            <v>0.51749999999999996</v>
          </cell>
          <cell r="L81">
            <v>1.3401399999999999</v>
          </cell>
          <cell r="M81">
            <v>3.7207149999999993</v>
          </cell>
          <cell r="N81" t="str">
            <v xml:space="preserve">  Consolidated W/Crude in 93</v>
          </cell>
        </row>
        <row r="82">
          <cell r="A82" t="str">
            <v>Natural Gas Liquids</v>
          </cell>
          <cell r="C82">
            <v>24.63552</v>
          </cell>
          <cell r="D82">
            <v>6.977879999999999</v>
          </cell>
          <cell r="E82">
            <v>4.4486400000000001</v>
          </cell>
          <cell r="F82">
            <v>6.5360399999999998</v>
          </cell>
          <cell r="G82">
            <v>9.3811199999999992</v>
          </cell>
          <cell r="H82">
            <v>27.534989999999997</v>
          </cell>
          <cell r="I82">
            <v>6.4327200000000015</v>
          </cell>
          <cell r="J82">
            <v>4.851</v>
          </cell>
          <cell r="K82">
            <v>3.52</v>
          </cell>
          <cell r="L82">
            <v>12.33792</v>
          </cell>
          <cell r="M82">
            <v>27.141640000000002</v>
          </cell>
          <cell r="N82">
            <v>11.523960000000002</v>
          </cell>
          <cell r="O82">
            <v>5.7548399999999997</v>
          </cell>
          <cell r="P82">
            <v>6.7183200000000003</v>
          </cell>
          <cell r="Q82">
            <v>9.7860000000000014</v>
          </cell>
          <cell r="R82">
            <v>33.783120000000004</v>
          </cell>
          <cell r="S82">
            <v>6.2693400000000006</v>
          </cell>
          <cell r="T82">
            <v>8.1143999999999998</v>
          </cell>
          <cell r="U82">
            <v>8.6763600000000007</v>
          </cell>
          <cell r="V82">
            <v>13.16658</v>
          </cell>
          <cell r="W82">
            <v>36.226680000000002</v>
          </cell>
          <cell r="X82">
            <v>13.20228</v>
          </cell>
          <cell r="Y82">
            <v>9.5003999999999991</v>
          </cell>
          <cell r="Z82">
            <v>8.30396</v>
          </cell>
          <cell r="AA82">
            <v>15.798259999999999</v>
          </cell>
          <cell r="AB82">
            <v>46.804900000000004</v>
          </cell>
          <cell r="AC82">
            <v>14.108640000000001</v>
          </cell>
          <cell r="AD82">
            <v>11.124120000000001</v>
          </cell>
          <cell r="AE82">
            <v>10.8772</v>
          </cell>
          <cell r="AF82">
            <v>23.227120000000003</v>
          </cell>
          <cell r="AG82">
            <v>59.33708</v>
          </cell>
          <cell r="AH82">
            <v>19.265150000000002</v>
          </cell>
          <cell r="AI82">
            <v>13.463449999999998</v>
          </cell>
          <cell r="AJ82">
            <v>21.564800000000002</v>
          </cell>
          <cell r="AK82">
            <v>25.555759999999999</v>
          </cell>
          <cell r="AL82">
            <v>79.849160000000012</v>
          </cell>
          <cell r="AM82">
            <v>18.367964999999998</v>
          </cell>
          <cell r="AN82">
            <v>16.862300000000001</v>
          </cell>
          <cell r="AO82">
            <v>15.656942589928052</v>
          </cell>
          <cell r="AP82">
            <v>14.294960000000001</v>
          </cell>
          <cell r="AQ82">
            <v>65.182167589928056</v>
          </cell>
          <cell r="AR82">
            <v>13.932</v>
          </cell>
          <cell r="AS82">
            <v>18.858294000000001</v>
          </cell>
          <cell r="AT82">
            <v>24.204096</v>
          </cell>
          <cell r="AU82">
            <v>23.483843333333329</v>
          </cell>
          <cell r="AV82">
            <v>80.306745894094647</v>
          </cell>
          <cell r="AW82">
            <v>75.844482758620686</v>
          </cell>
        </row>
        <row r="83">
          <cell r="A83" t="str">
            <v xml:space="preserve">Total Production Revenue </v>
          </cell>
          <cell r="C83">
            <v>376.72148999999996</v>
          </cell>
          <cell r="D83">
            <v>94.098079999999996</v>
          </cell>
          <cell r="E83">
            <v>64.22381</v>
          </cell>
          <cell r="F83">
            <v>61.878619999999998</v>
          </cell>
          <cell r="G83">
            <v>105.47828999999999</v>
          </cell>
          <cell r="H83">
            <v>325.94704987060038</v>
          </cell>
          <cell r="I83">
            <v>78.891720000000007</v>
          </cell>
          <cell r="J83">
            <v>67.204440000000005</v>
          </cell>
          <cell r="K83">
            <v>81.464500000000001</v>
          </cell>
          <cell r="L83">
            <v>134.96413000000001</v>
          </cell>
          <cell r="M83">
            <v>362.52479</v>
          </cell>
          <cell r="N83">
            <v>126.736125</v>
          </cell>
          <cell r="O83">
            <v>110.67287499999999</v>
          </cell>
          <cell r="P83">
            <v>107.05773000000001</v>
          </cell>
          <cell r="Q83">
            <v>131.54000000000002</v>
          </cell>
          <cell r="R83">
            <v>476.00673</v>
          </cell>
          <cell r="S83">
            <v>130.41990000000001</v>
          </cell>
          <cell r="T83">
            <v>115.87129200000001</v>
          </cell>
          <cell r="U83">
            <v>107.98145999999998</v>
          </cell>
          <cell r="V83">
            <v>108.2572</v>
          </cell>
          <cell r="W83">
            <v>462.52985200000001</v>
          </cell>
          <cell r="X83">
            <v>97.182519999999997</v>
          </cell>
          <cell r="Y83">
            <v>106.60024</v>
          </cell>
          <cell r="Z83">
            <v>90.842310000000012</v>
          </cell>
          <cell r="AA83">
            <v>118.53955000000001</v>
          </cell>
          <cell r="AB83">
            <v>413.16462000000001</v>
          </cell>
          <cell r="AC83">
            <v>129.59147999999999</v>
          </cell>
          <cell r="AD83">
            <v>126.53501999999997</v>
          </cell>
          <cell r="AE83">
            <v>121.66716999999998</v>
          </cell>
          <cell r="AF83">
            <v>167.1619</v>
          </cell>
          <cell r="AG83">
            <v>544.95556999999997</v>
          </cell>
          <cell r="AH83">
            <v>172.82356999999999</v>
          </cell>
          <cell r="AI83">
            <v>133.71836999999999</v>
          </cell>
          <cell r="AJ83">
            <v>154.13183199999997</v>
          </cell>
          <cell r="AK83">
            <v>193.04829199999998</v>
          </cell>
          <cell r="AL83">
            <v>654.49367622222212</v>
          </cell>
          <cell r="AM83">
            <v>136.34311500000001</v>
          </cell>
          <cell r="AN83">
            <v>130.91278199999999</v>
          </cell>
          <cell r="AO83">
            <v>132.65044458992804</v>
          </cell>
          <cell r="AP83">
            <v>133.2252</v>
          </cell>
          <cell r="AQ83">
            <v>540.13055986770587</v>
          </cell>
          <cell r="AR83">
            <v>125.95211999999999</v>
          </cell>
          <cell r="AS83">
            <v>157.934686</v>
          </cell>
          <cell r="AT83">
            <v>169.91599600000001</v>
          </cell>
          <cell r="AU83">
            <v>190.18784333333335</v>
          </cell>
          <cell r="AV83">
            <v>643.59149289409459</v>
          </cell>
          <cell r="AW83">
            <v>810.36135775862067</v>
          </cell>
        </row>
        <row r="86">
          <cell r="A86" t="str">
            <v>Variance: Calculated Production Revenues vs. Reported Revenues</v>
          </cell>
        </row>
        <row r="87">
          <cell r="A87" t="str">
            <v>Natural Gas ($ Millions)</v>
          </cell>
          <cell r="C87">
            <v>1.1102400000000046</v>
          </cell>
          <cell r="D87">
            <v>-0.73700000000000188</v>
          </cell>
          <cell r="E87">
            <v>-2.4076999999999984</v>
          </cell>
          <cell r="F87">
            <v>2.3100799999999957</v>
          </cell>
          <cell r="G87">
            <v>-2.8520000000000039</v>
          </cell>
          <cell r="H87">
            <v>-3.5826626293995503</v>
          </cell>
          <cell r="I87">
            <v>-2.847999999999999</v>
          </cell>
          <cell r="J87">
            <v>-1.3919999999999959</v>
          </cell>
          <cell r="K87">
            <v>0</v>
          </cell>
          <cell r="L87">
            <v>0</v>
          </cell>
          <cell r="M87">
            <v>-4.2399999999999807</v>
          </cell>
          <cell r="N87">
            <v>-2.0086050000000029</v>
          </cell>
          <cell r="O87">
            <v>-0.35518500000000586</v>
          </cell>
          <cell r="P87">
            <v>4.0248500000000007</v>
          </cell>
          <cell r="Q87">
            <v>0.53000000000000114</v>
          </cell>
          <cell r="R87">
            <v>2.1910599999999931</v>
          </cell>
          <cell r="S87">
            <v>-1.2503999999999991</v>
          </cell>
          <cell r="T87">
            <v>-2.8266480000000058</v>
          </cell>
          <cell r="U87">
            <v>-1.9872000000000014</v>
          </cell>
          <cell r="V87">
            <v>-5.848399999999998</v>
          </cell>
          <cell r="W87">
            <v>-11.91264799999999</v>
          </cell>
          <cell r="X87">
            <v>-4.8100000000000023</v>
          </cell>
          <cell r="Y87">
            <v>0</v>
          </cell>
          <cell r="Z87">
            <v>0</v>
          </cell>
          <cell r="AA87">
            <v>0</v>
          </cell>
          <cell r="AB87">
            <v>-4.8100000000000023</v>
          </cell>
          <cell r="AC87">
            <v>0</v>
          </cell>
          <cell r="AD87">
            <v>-5.8052000000000135</v>
          </cell>
          <cell r="AE87">
            <v>0</v>
          </cell>
          <cell r="AF87">
            <v>0</v>
          </cell>
          <cell r="AG87">
            <v>-5.8051999999999566</v>
          </cell>
          <cell r="AH87">
            <v>5.3572599999999966</v>
          </cell>
          <cell r="AI87">
            <v>-2.2576000000000107</v>
          </cell>
          <cell r="AJ87">
            <v>-3.0404879999999963</v>
          </cell>
          <cell r="AK87">
            <v>-7.1282680000000056</v>
          </cell>
          <cell r="AL87">
            <v>-7.0690960000000587</v>
          </cell>
          <cell r="AM87">
            <v>-4.8198500000000024</v>
          </cell>
          <cell r="AN87">
            <v>-4.3187929999999994</v>
          </cell>
          <cell r="AO87">
            <v>-3.0137339999999995</v>
          </cell>
          <cell r="AP87">
            <v>-1.4684799999999996</v>
          </cell>
          <cell r="AQ87">
            <v>-13.620857000000001</v>
          </cell>
          <cell r="AR87">
            <v>-7.7360800000000012</v>
          </cell>
          <cell r="AS87">
            <v>0</v>
          </cell>
          <cell r="AT87">
            <v>0</v>
          </cell>
          <cell r="AU87">
            <v>0</v>
          </cell>
          <cell r="AV87">
            <v>-7.7360800000000154</v>
          </cell>
          <cell r="AW87">
            <v>0</v>
          </cell>
        </row>
        <row r="88">
          <cell r="A88" t="str">
            <v>Oil &amp; Cond ($ Millions)</v>
          </cell>
          <cell r="C88">
            <v>-10.521470000000022</v>
          </cell>
          <cell r="D88">
            <v>-5.3757599999999996</v>
          </cell>
          <cell r="E88">
            <v>-0.51260999999999868</v>
          </cell>
          <cell r="F88">
            <v>-1.66066</v>
          </cell>
          <cell r="G88">
            <v>-3.5804300000000033</v>
          </cell>
          <cell r="H88">
            <v>-11.11109500000002</v>
          </cell>
          <cell r="I88">
            <v>-1.9042599999999972</v>
          </cell>
          <cell r="J88">
            <v>0.84543999999999997</v>
          </cell>
          <cell r="K88">
            <v>0</v>
          </cell>
          <cell r="L88">
            <v>0</v>
          </cell>
          <cell r="M88">
            <v>-1.0588199999999972</v>
          </cell>
          <cell r="N88">
            <v>0.82077000000001732</v>
          </cell>
          <cell r="O88">
            <v>0.61621999999999844</v>
          </cell>
          <cell r="P88">
            <v>0.54956000000000671</v>
          </cell>
          <cell r="Q88">
            <v>0.42399999999999949</v>
          </cell>
          <cell r="R88">
            <v>2.410550000000022</v>
          </cell>
          <cell r="S88">
            <v>0.40095999999999776</v>
          </cell>
          <cell r="T88">
            <v>-1.6459999999995034E-2</v>
          </cell>
          <cell r="U88">
            <v>-0.60770000000000124</v>
          </cell>
          <cell r="V88">
            <v>-0.76098000000000354</v>
          </cell>
          <cell r="W88">
            <v>-0.98418000000000205</v>
          </cell>
          <cell r="X88">
            <v>-0.70975999999999928</v>
          </cell>
          <cell r="Y88">
            <v>0</v>
          </cell>
          <cell r="Z88">
            <v>0</v>
          </cell>
          <cell r="AA88">
            <v>0</v>
          </cell>
          <cell r="AB88">
            <v>-0.70975999999999928</v>
          </cell>
          <cell r="AC88">
            <v>0</v>
          </cell>
          <cell r="AD88">
            <v>-1.7839000000000027</v>
          </cell>
          <cell r="AE88">
            <v>0</v>
          </cell>
          <cell r="AF88">
            <v>0</v>
          </cell>
          <cell r="AG88">
            <v>-1.7839000000000027</v>
          </cell>
          <cell r="AH88">
            <v>-1.3988400000000141</v>
          </cell>
          <cell r="AI88">
            <v>-0.58747999999999223</v>
          </cell>
          <cell r="AJ88">
            <v>-1.1924800000000033</v>
          </cell>
          <cell r="AK88">
            <v>-2.3792000000000044</v>
          </cell>
          <cell r="AL88">
            <v>-4.7863877777777475</v>
          </cell>
          <cell r="AM88">
            <v>-2.1049999999999969</v>
          </cell>
          <cell r="AN88">
            <v>-0.93072499999999891</v>
          </cell>
          <cell r="AO88">
            <v>-1.2927640000000054</v>
          </cell>
          <cell r="AP88">
            <v>-0.40128000000000696</v>
          </cell>
          <cell r="AQ88">
            <v>2.2692492777777886</v>
          </cell>
          <cell r="AR88">
            <v>-1.6438000000000059</v>
          </cell>
          <cell r="AS88">
            <v>0</v>
          </cell>
          <cell r="AT88">
            <v>0</v>
          </cell>
          <cell r="AU88">
            <v>0</v>
          </cell>
          <cell r="AV88">
            <v>-1.8714650000000574</v>
          </cell>
          <cell r="AW88">
            <v>0</v>
          </cell>
        </row>
        <row r="89">
          <cell r="A89" t="str">
            <v>Natural Gas Liquids ($ Millions)</v>
          </cell>
          <cell r="C89">
            <v>-8.5644800000000032</v>
          </cell>
          <cell r="D89">
            <v>-0.86412000000000067</v>
          </cell>
          <cell r="E89">
            <v>-0.82035999999999998</v>
          </cell>
          <cell r="F89">
            <v>-0.88895999999999997</v>
          </cell>
          <cell r="G89">
            <v>-1.2188800000000004</v>
          </cell>
          <cell r="H89">
            <v>-3.6010100000000058</v>
          </cell>
          <cell r="I89">
            <v>-1.1672799999999981</v>
          </cell>
          <cell r="J89">
            <v>-1.8490000000000002</v>
          </cell>
          <cell r="K89">
            <v>0</v>
          </cell>
          <cell r="L89">
            <v>0</v>
          </cell>
          <cell r="M89">
            <v>-3.0162799999999983</v>
          </cell>
          <cell r="N89">
            <v>-1.3760399999999979</v>
          </cell>
          <cell r="O89">
            <v>-2.0591600000000003</v>
          </cell>
          <cell r="P89">
            <v>-0.78767999999999994</v>
          </cell>
          <cell r="Q89">
            <v>-0.61399999999999899</v>
          </cell>
          <cell r="R89">
            <v>-4.8368799999999936</v>
          </cell>
          <cell r="S89">
            <v>-0.73065999999999942</v>
          </cell>
          <cell r="T89">
            <v>-0.78560000000000052</v>
          </cell>
          <cell r="U89">
            <v>-0.82363999999999926</v>
          </cell>
          <cell r="V89">
            <v>-0.43341999999999992</v>
          </cell>
          <cell r="W89">
            <v>-2.7733199999999982</v>
          </cell>
          <cell r="X89">
            <v>-9.7720000000000695E-2</v>
          </cell>
          <cell r="Y89">
            <v>0</v>
          </cell>
          <cell r="Z89">
            <v>0</v>
          </cell>
          <cell r="AA89">
            <v>0</v>
          </cell>
          <cell r="AB89">
            <v>-9.7719999999995366E-2</v>
          </cell>
          <cell r="AC89">
            <v>0</v>
          </cell>
          <cell r="AD89">
            <v>-0.9758799999999983</v>
          </cell>
          <cell r="AE89">
            <v>0</v>
          </cell>
          <cell r="AF89">
            <v>0</v>
          </cell>
          <cell r="AG89">
            <v>-0.97588000000000363</v>
          </cell>
          <cell r="AH89">
            <v>-1.6348499999999966</v>
          </cell>
          <cell r="AI89">
            <v>-2.3365500000000026</v>
          </cell>
          <cell r="AJ89">
            <v>6.4800000000001745E-2</v>
          </cell>
          <cell r="AK89">
            <v>-2.9442400000000006</v>
          </cell>
          <cell r="AL89">
            <v>-6.8508399999999909</v>
          </cell>
          <cell r="AM89">
            <v>-3.1320350000000019</v>
          </cell>
          <cell r="AN89">
            <v>-1.4376999999999995</v>
          </cell>
          <cell r="AO89">
            <v>-3.2430574100719465</v>
          </cell>
          <cell r="AP89">
            <v>-0.40503999999999785</v>
          </cell>
          <cell r="AQ89">
            <v>-8.2178324100719351</v>
          </cell>
          <cell r="AR89">
            <v>-1.0679999999999996</v>
          </cell>
          <cell r="AS89">
            <v>0</v>
          </cell>
          <cell r="AT89">
            <v>0</v>
          </cell>
          <cell r="AU89">
            <v>0</v>
          </cell>
          <cell r="AV89">
            <v>-1.2394874392386868</v>
          </cell>
          <cell r="AW89">
            <v>0</v>
          </cell>
        </row>
        <row r="90">
          <cell r="A90" t="str">
            <v>Total Variance</v>
          </cell>
          <cell r="C90">
            <v>-11.728510000000028</v>
          </cell>
          <cell r="D90">
            <v>-4.0209200000000038</v>
          </cell>
          <cell r="E90">
            <v>-2.7921900000000051</v>
          </cell>
          <cell r="F90">
            <v>1.0436200000000042</v>
          </cell>
          <cell r="G90">
            <v>-5.1217100000000073</v>
          </cell>
          <cell r="H90">
            <v>-10.622950129399612</v>
          </cell>
          <cell r="I90">
            <v>-4.508279999999985</v>
          </cell>
          <cell r="J90">
            <v>-2.395559999999989</v>
          </cell>
          <cell r="K90">
            <v>0</v>
          </cell>
          <cell r="L90">
            <v>2.8421709430404007E-14</v>
          </cell>
          <cell r="M90">
            <v>-6.9038400000000024</v>
          </cell>
          <cell r="N90">
            <v>-2.5638749999999817</v>
          </cell>
          <cell r="O90">
            <v>-1.7981250000000131</v>
          </cell>
          <cell r="P90">
            <v>3.7867300000000057</v>
          </cell>
          <cell r="Q90">
            <v>0.34000000000000341</v>
          </cell>
          <cell r="R90">
            <v>-0.23526999999995724</v>
          </cell>
          <cell r="S90">
            <v>-1.5800999999999874</v>
          </cell>
          <cell r="T90">
            <v>-3.6287080000000032</v>
          </cell>
          <cell r="U90">
            <v>-3.4185400000000072</v>
          </cell>
          <cell r="V90">
            <v>-7.0427999999999997</v>
          </cell>
          <cell r="W90">
            <v>-15.670147999999983</v>
          </cell>
          <cell r="X90">
            <v>-5.6174800000000005</v>
          </cell>
          <cell r="Y90">
            <v>0</v>
          </cell>
          <cell r="Z90">
            <v>0</v>
          </cell>
          <cell r="AA90">
            <v>0</v>
          </cell>
          <cell r="AB90">
            <v>-5.6174800000000005</v>
          </cell>
          <cell r="AC90">
            <v>0</v>
          </cell>
          <cell r="AD90">
            <v>-8.5649800000000198</v>
          </cell>
          <cell r="AE90">
            <v>0</v>
          </cell>
          <cell r="AF90">
            <v>0</v>
          </cell>
          <cell r="AG90">
            <v>-8.5649799999999914</v>
          </cell>
          <cell r="AH90">
            <v>2.3235699999999895</v>
          </cell>
          <cell r="AI90">
            <v>-5.1816300000000055</v>
          </cell>
          <cell r="AJ90">
            <v>-4.1681679999999979</v>
          </cell>
          <cell r="AK90">
            <v>-12.451708000000011</v>
          </cell>
          <cell r="AL90">
            <v>-18.706323777777925</v>
          </cell>
          <cell r="AM90">
            <v>-10.056884999999994</v>
          </cell>
          <cell r="AN90">
            <v>-6.6872179999999979</v>
          </cell>
          <cell r="AO90">
            <v>-7.5495554100719513</v>
          </cell>
          <cell r="AP90">
            <v>-2.2748000000000044</v>
          </cell>
          <cell r="AQ90">
            <v>-19.569440132294062</v>
          </cell>
          <cell r="AR90">
            <v>-10.447880000000012</v>
          </cell>
          <cell r="AS90">
            <v>0</v>
          </cell>
          <cell r="AT90">
            <v>0</v>
          </cell>
          <cell r="AU90">
            <v>0</v>
          </cell>
          <cell r="AV90">
            <v>-10.847032439238774</v>
          </cell>
          <cell r="AW90">
            <v>0</v>
          </cell>
        </row>
        <row r="92">
          <cell r="A92" t="str">
            <v>Reported Segment Revenue</v>
          </cell>
        </row>
        <row r="93">
          <cell r="A93" t="str">
            <v>Natural Gas ($ Millions)</v>
          </cell>
          <cell r="C93">
            <v>243.95699999999999</v>
          </cell>
          <cell r="D93">
            <v>63.527000000000001</v>
          </cell>
          <cell r="E93">
            <v>40.954000000000001</v>
          </cell>
          <cell r="F93">
            <v>30.504000000000001</v>
          </cell>
          <cell r="G93">
            <v>77.3</v>
          </cell>
          <cell r="H93">
            <v>212.28499999999997</v>
          </cell>
          <cell r="I93">
            <v>57.1</v>
          </cell>
          <cell r="J93">
            <v>42.3</v>
          </cell>
          <cell r="K93">
            <v>57.477000000000011</v>
          </cell>
          <cell r="L93">
            <v>100.24445</v>
          </cell>
          <cell r="M93">
            <v>257.12144999999998</v>
          </cell>
          <cell r="N93">
            <v>83.1</v>
          </cell>
          <cell r="O93">
            <v>71.513999999999996</v>
          </cell>
          <cell r="P93">
            <v>65.073999999999998</v>
          </cell>
          <cell r="Q93">
            <v>90.9</v>
          </cell>
          <cell r="R93">
            <v>310.58799999999997</v>
          </cell>
          <cell r="S93">
            <v>99</v>
          </cell>
          <cell r="T93">
            <v>77.400000000000006</v>
          </cell>
          <cell r="U93">
            <v>67.099999999999994</v>
          </cell>
          <cell r="V93">
            <v>70</v>
          </cell>
          <cell r="W93">
            <v>313.5</v>
          </cell>
          <cell r="X93">
            <v>58.5</v>
          </cell>
          <cell r="Y93">
            <v>63.336000000000006</v>
          </cell>
          <cell r="Z93">
            <v>53.208750000000002</v>
          </cell>
          <cell r="AA93">
            <v>72.935500000000005</v>
          </cell>
          <cell r="AB93">
            <v>247.98025000000001</v>
          </cell>
          <cell r="AC93">
            <v>85.477199999999996</v>
          </cell>
          <cell r="AD93">
            <v>88.1</v>
          </cell>
          <cell r="AE93">
            <v>77.490599999999986</v>
          </cell>
          <cell r="AF93">
            <v>104.919</v>
          </cell>
          <cell r="AG93">
            <v>355.98679999999996</v>
          </cell>
          <cell r="AH93">
            <v>107</v>
          </cell>
          <cell r="AI93">
            <v>83.2</v>
          </cell>
          <cell r="AJ93">
            <v>94.8</v>
          </cell>
          <cell r="AK93">
            <v>133</v>
          </cell>
          <cell r="AL93">
            <v>418</v>
          </cell>
          <cell r="AM93">
            <v>93.5</v>
          </cell>
          <cell r="AN93">
            <v>87.7</v>
          </cell>
          <cell r="AO93">
            <v>86.3</v>
          </cell>
          <cell r="AP93">
            <v>85.7</v>
          </cell>
          <cell r="AQ93">
            <v>353.2</v>
          </cell>
          <cell r="AR93">
            <v>77.8</v>
          </cell>
          <cell r="AS93">
            <v>81.888351999999998</v>
          </cell>
          <cell r="AT93">
            <v>93.547899999999998</v>
          </cell>
          <cell r="AU93">
            <v>100.188</v>
          </cell>
          <cell r="AV93">
            <v>353.42425200000002</v>
          </cell>
          <cell r="AW93">
            <v>404.59337500000004</v>
          </cell>
        </row>
        <row r="94">
          <cell r="A94" t="str">
            <v>Oil &amp; Cond ($ Millions)</v>
          </cell>
          <cell r="C94">
            <v>111.29300000000001</v>
          </cell>
          <cell r="D94">
            <v>26.75</v>
          </cell>
          <cell r="E94">
            <v>20.792999999999999</v>
          </cell>
          <cell r="F94">
            <v>22.905999999999999</v>
          </cell>
          <cell r="G94">
            <v>22.7</v>
          </cell>
          <cell r="H94">
            <v>93.149000000000001</v>
          </cell>
          <cell r="I94">
            <v>18.7</v>
          </cell>
          <cell r="J94">
            <v>20.6</v>
          </cell>
          <cell r="K94">
            <v>20.467499999999998</v>
          </cell>
          <cell r="L94">
            <v>22.381759999999993</v>
          </cell>
          <cell r="M94">
            <v>82.149259999999998</v>
          </cell>
          <cell r="N94">
            <v>33.299999999999997</v>
          </cell>
          <cell r="O94">
            <v>33.143000000000001</v>
          </cell>
          <cell r="P94">
            <v>30.690999999999999</v>
          </cell>
          <cell r="Q94">
            <v>29.9</v>
          </cell>
          <cell r="R94">
            <v>127.03399999999999</v>
          </cell>
          <cell r="S94">
            <v>26</v>
          </cell>
          <cell r="T94">
            <v>33.200000000000003</v>
          </cell>
          <cell r="U94">
            <v>34.799999999999997</v>
          </cell>
          <cell r="V94">
            <v>31.7</v>
          </cell>
          <cell r="W94">
            <v>125.7</v>
          </cell>
          <cell r="X94">
            <v>31</v>
          </cell>
          <cell r="Y94">
            <v>33.763840000000002</v>
          </cell>
          <cell r="Z94">
            <v>29.329600000000003</v>
          </cell>
          <cell r="AA94">
            <v>29.805790000000002</v>
          </cell>
          <cell r="AB94">
            <v>123.89923</v>
          </cell>
          <cell r="AC94">
            <v>30.005639999999996</v>
          </cell>
          <cell r="AD94">
            <v>34.9</v>
          </cell>
          <cell r="AE94">
            <v>33.299370000000003</v>
          </cell>
          <cell r="AF94">
            <v>39.015779999999992</v>
          </cell>
          <cell r="AG94">
            <v>137.22078999999997</v>
          </cell>
          <cell r="AH94">
            <v>42.6</v>
          </cell>
          <cell r="AI94">
            <v>39.9</v>
          </cell>
          <cell r="AJ94">
            <v>42</v>
          </cell>
          <cell r="AK94">
            <v>44</v>
          </cell>
          <cell r="AL94">
            <v>168.5</v>
          </cell>
          <cell r="AM94">
            <v>31.4</v>
          </cell>
          <cell r="AN94">
            <v>31.6</v>
          </cell>
          <cell r="AO94">
            <v>35</v>
          </cell>
          <cell r="AP94">
            <v>35.1</v>
          </cell>
          <cell r="AQ94">
            <v>133.1</v>
          </cell>
          <cell r="AR94">
            <v>43.6</v>
          </cell>
          <cell r="AS94">
            <v>57.188040000000001</v>
          </cell>
          <cell r="AT94">
            <v>52.164000000000001</v>
          </cell>
          <cell r="AU94">
            <v>66.516000000000005</v>
          </cell>
          <cell r="AV94">
            <v>219.46804000000003</v>
          </cell>
          <cell r="AW94">
            <v>329.92349999999999</v>
          </cell>
        </row>
        <row r="95">
          <cell r="A95" t="str">
            <v>Natural Gas Liquids ($ Millions)</v>
          </cell>
          <cell r="C95">
            <v>33.200000000000003</v>
          </cell>
          <cell r="D95">
            <v>7.8419999999999996</v>
          </cell>
          <cell r="E95">
            <v>5.2690000000000001</v>
          </cell>
          <cell r="F95">
            <v>7.4249999999999998</v>
          </cell>
          <cell r="G95">
            <v>10.6</v>
          </cell>
          <cell r="H95">
            <v>31.136000000000003</v>
          </cell>
          <cell r="I95">
            <v>7.6</v>
          </cell>
          <cell r="J95">
            <v>6.7</v>
          </cell>
          <cell r="K95">
            <v>3.52</v>
          </cell>
          <cell r="L95">
            <v>12.33792</v>
          </cell>
          <cell r="M95">
            <v>30.157920000000001</v>
          </cell>
          <cell r="N95">
            <v>12.9</v>
          </cell>
          <cell r="O95">
            <v>7.8140000000000001</v>
          </cell>
          <cell r="P95">
            <v>7.5060000000000002</v>
          </cell>
          <cell r="Q95">
            <v>10.4</v>
          </cell>
          <cell r="R95">
            <v>38.619999999999997</v>
          </cell>
          <cell r="S95">
            <v>7</v>
          </cell>
          <cell r="T95">
            <v>8.9</v>
          </cell>
          <cell r="U95">
            <v>9.5</v>
          </cell>
          <cell r="V95">
            <v>13.6</v>
          </cell>
          <cell r="W95">
            <v>39</v>
          </cell>
          <cell r="X95">
            <v>13.3</v>
          </cell>
          <cell r="Y95">
            <v>9.5003999999999991</v>
          </cell>
          <cell r="Z95">
            <v>8.30396</v>
          </cell>
          <cell r="AA95">
            <v>15.798259999999999</v>
          </cell>
          <cell r="AB95">
            <v>46.902619999999999</v>
          </cell>
          <cell r="AC95">
            <v>14.108640000000001</v>
          </cell>
          <cell r="AD95">
            <v>12.1</v>
          </cell>
          <cell r="AE95">
            <v>10.8772</v>
          </cell>
          <cell r="AF95">
            <v>23.227120000000003</v>
          </cell>
          <cell r="AG95">
            <v>60.312960000000004</v>
          </cell>
          <cell r="AH95">
            <v>20.9</v>
          </cell>
          <cell r="AI95">
            <v>15.8</v>
          </cell>
          <cell r="AJ95">
            <v>21.5</v>
          </cell>
          <cell r="AK95">
            <v>28.5</v>
          </cell>
          <cell r="AL95">
            <v>86.7</v>
          </cell>
          <cell r="AM95">
            <v>21.5</v>
          </cell>
          <cell r="AN95">
            <v>18.3</v>
          </cell>
          <cell r="AO95">
            <v>18.899999999999999</v>
          </cell>
          <cell r="AP95">
            <v>14.7</v>
          </cell>
          <cell r="AQ95">
            <v>73.399999999999991</v>
          </cell>
          <cell r="AR95">
            <v>15</v>
          </cell>
          <cell r="AS95">
            <v>18.858294000000001</v>
          </cell>
          <cell r="AT95">
            <v>24.204096</v>
          </cell>
          <cell r="AU95">
            <v>23.483843333333329</v>
          </cell>
          <cell r="AV95">
            <v>81.546233333333333</v>
          </cell>
          <cell r="AW95">
            <v>75.844482758620686</v>
          </cell>
        </row>
        <row r="96">
          <cell r="A96" t="str">
            <v>Total Reported Revenue</v>
          </cell>
          <cell r="C96">
            <v>388.45</v>
          </cell>
          <cell r="D96">
            <v>98.119</v>
          </cell>
          <cell r="E96">
            <v>67.016000000000005</v>
          </cell>
          <cell r="F96">
            <v>60.834999999999994</v>
          </cell>
          <cell r="G96">
            <v>110.6</v>
          </cell>
          <cell r="H96">
            <v>336.57</v>
          </cell>
          <cell r="I96">
            <v>83.399999999999991</v>
          </cell>
          <cell r="J96">
            <v>69.599999999999994</v>
          </cell>
          <cell r="K96">
            <v>81.464500000000001</v>
          </cell>
          <cell r="L96">
            <v>134.96412999999998</v>
          </cell>
          <cell r="M96">
            <v>369.42863</v>
          </cell>
          <cell r="N96">
            <v>129.29999999999998</v>
          </cell>
          <cell r="O96">
            <v>112.471</v>
          </cell>
          <cell r="P96">
            <v>103.271</v>
          </cell>
          <cell r="Q96">
            <v>131.20000000000002</v>
          </cell>
          <cell r="R96">
            <v>476.24199999999996</v>
          </cell>
          <cell r="S96">
            <v>132</v>
          </cell>
          <cell r="T96">
            <v>119.50000000000001</v>
          </cell>
          <cell r="U96">
            <v>111.39999999999999</v>
          </cell>
          <cell r="V96">
            <v>115.3</v>
          </cell>
          <cell r="W96">
            <v>478.2</v>
          </cell>
          <cell r="X96">
            <v>102.8</v>
          </cell>
          <cell r="Y96">
            <v>106.60024</v>
          </cell>
          <cell r="Z96">
            <v>90.842310000000012</v>
          </cell>
          <cell r="AA96">
            <v>118.53955000000001</v>
          </cell>
          <cell r="AB96">
            <v>418.78210000000001</v>
          </cell>
          <cell r="AC96">
            <v>129.59147999999999</v>
          </cell>
          <cell r="AD96">
            <v>135.1</v>
          </cell>
          <cell r="AE96">
            <v>121.66716999999998</v>
          </cell>
          <cell r="AF96">
            <v>167.1619</v>
          </cell>
          <cell r="AG96">
            <v>553.52054999999996</v>
          </cell>
          <cell r="AH96">
            <v>170.5</v>
          </cell>
          <cell r="AI96">
            <v>138.9</v>
          </cell>
          <cell r="AJ96">
            <v>158.30000000000001</v>
          </cell>
          <cell r="AK96">
            <v>205.5</v>
          </cell>
          <cell r="AL96">
            <v>673.2</v>
          </cell>
          <cell r="AM96">
            <v>146.4</v>
          </cell>
          <cell r="AN96">
            <v>137.60000000000002</v>
          </cell>
          <cell r="AO96">
            <v>140.19999999999999</v>
          </cell>
          <cell r="AP96">
            <v>135.5</v>
          </cell>
          <cell r="AQ96">
            <v>559.69999999999993</v>
          </cell>
          <cell r="AR96">
            <v>136.4</v>
          </cell>
          <cell r="AS96">
            <v>157.934686</v>
          </cell>
          <cell r="AT96">
            <v>169.91599600000001</v>
          </cell>
          <cell r="AU96">
            <v>190.18784333333335</v>
          </cell>
          <cell r="AV96">
            <v>654.43852533333336</v>
          </cell>
          <cell r="AW96">
            <v>810.36135775862067</v>
          </cell>
        </row>
        <row r="98">
          <cell r="A98" t="str">
            <v>Expenses/Energy Equivalence</v>
          </cell>
        </row>
        <row r="99">
          <cell r="A99" t="str">
            <v>Production (LOE)</v>
          </cell>
        </row>
        <row r="100">
          <cell r="A100" t="str">
            <v>Mcfe</v>
          </cell>
          <cell r="C100">
            <v>0.36754672588991655</v>
          </cell>
          <cell r="D100">
            <v>0.38978807872509702</v>
          </cell>
          <cell r="E100">
            <v>0.47337683558048088</v>
          </cell>
          <cell r="F100">
            <v>0.51763014092608572</v>
          </cell>
          <cell r="G100">
            <v>0.39920772620491646</v>
          </cell>
          <cell r="H100">
            <v>0.43622573468934223</v>
          </cell>
          <cell r="I100">
            <v>0.3771842679121305</v>
          </cell>
          <cell r="J100">
            <v>0.45227535620110632</v>
          </cell>
          <cell r="K100">
            <v>0.48921224284997494</v>
          </cell>
          <cell r="L100">
            <v>0.39069129377156764</v>
          </cell>
          <cell r="M100">
            <v>0.42110833066925357</v>
          </cell>
          <cell r="N100">
            <v>0.39364710553120313</v>
          </cell>
          <cell r="O100">
            <v>0.501299852042565</v>
          </cell>
          <cell r="P100">
            <v>0.4595895555537608</v>
          </cell>
          <cell r="Q100">
            <v>0.45603013420785748</v>
          </cell>
          <cell r="R100">
            <v>0.4492377672505426</v>
          </cell>
          <cell r="S100">
            <v>0.39779654769368417</v>
          </cell>
          <cell r="T100">
            <v>0.46973237299159293</v>
          </cell>
          <cell r="U100">
            <v>0.43466703068533702</v>
          </cell>
          <cell r="V100">
            <v>0.48911386637811183</v>
          </cell>
          <cell r="W100">
            <v>0.44710623483489814</v>
          </cell>
          <cell r="X100">
            <v>0.48770763173445919</v>
          </cell>
          <cell r="Y100">
            <v>0.42600015177333339</v>
          </cell>
          <cell r="Z100">
            <v>0.46992819641198125</v>
          </cell>
          <cell r="AA100">
            <v>0.45885949221774303</v>
          </cell>
          <cell r="AB100">
            <v>0.46029769110845947</v>
          </cell>
          <cell r="AC100">
            <v>0.45958751586877644</v>
          </cell>
          <cell r="AD100">
            <v>0.52266570750952601</v>
          </cell>
          <cell r="AE100">
            <v>0.52718349819799104</v>
          </cell>
          <cell r="AF100">
            <v>0.60458178869323442</v>
          </cell>
          <cell r="AG100">
            <v>0.52779544304789949</v>
          </cell>
          <cell r="AH100">
            <v>0.55772353864566415</v>
          </cell>
          <cell r="AI100">
            <v>0.5483012481627817</v>
          </cell>
          <cell r="AJ100">
            <v>0.60097624232340785</v>
          </cell>
          <cell r="AK100">
            <v>0.71857622187287362</v>
          </cell>
          <cell r="AL100">
            <v>0.60984359305495761</v>
          </cell>
          <cell r="AM100">
            <v>0.62960879890013743</v>
          </cell>
          <cell r="AN100">
            <v>0.60614983648050924</v>
          </cell>
          <cell r="AO100">
            <v>0.6000209002495398</v>
          </cell>
          <cell r="AP100">
            <v>0.5680261234928754</v>
          </cell>
          <cell r="AQ100">
            <v>0.60018302966413961</v>
          </cell>
          <cell r="AR100">
            <v>0.46127208289370453</v>
          </cell>
          <cell r="AS100">
            <v>0.48482169836423405</v>
          </cell>
          <cell r="AT100">
            <v>0.59764364836912487</v>
          </cell>
          <cell r="AU100">
            <v>0.57729102065052451</v>
          </cell>
          <cell r="AV100">
            <v>0.52697807945637387</v>
          </cell>
          <cell r="AW100">
            <v>0.48834239062382606</v>
          </cell>
        </row>
        <row r="101">
          <cell r="A101" t="str">
            <v>BOE</v>
          </cell>
          <cell r="C101">
            <v>2.201724694059171</v>
          </cell>
          <cell r="D101">
            <v>2.3305307009570702</v>
          </cell>
          <cell r="E101">
            <v>2.8360918290387049</v>
          </cell>
          <cell r="F101">
            <v>3.099401978556644</v>
          </cell>
          <cell r="G101">
            <v>2.388405211316448</v>
          </cell>
          <cell r="H101">
            <v>2.6106008793523587</v>
          </cell>
          <cell r="I101">
            <v>2.2588102858567618</v>
          </cell>
          <cell r="J101">
            <v>2.7118101798614949</v>
          </cell>
          <cell r="K101">
            <v>2.9330953431470856</v>
          </cell>
          <cell r="L101">
            <v>2.341187670733671</v>
          </cell>
          <cell r="M101">
            <v>2.5236154027743036</v>
          </cell>
          <cell r="N101">
            <v>2.3625030638421709</v>
          </cell>
          <cell r="O101">
            <v>3.0083548691588868</v>
          </cell>
          <cell r="P101">
            <v>2.758112046736763</v>
          </cell>
          <cell r="Q101">
            <v>2.7370207249448972</v>
          </cell>
          <cell r="R101">
            <v>2.6960889040894087</v>
          </cell>
          <cell r="S101">
            <v>2.3872674030025891</v>
          </cell>
          <cell r="T101">
            <v>2.8190189813944744</v>
          </cell>
          <cell r="U101">
            <v>2.6085887965782217</v>
          </cell>
          <cell r="V101">
            <v>2.9357463649193054</v>
          </cell>
          <cell r="W101">
            <v>2.6833168013844628</v>
          </cell>
          <cell r="X101">
            <v>2.9273024729651858</v>
          </cell>
          <cell r="Y101">
            <v>2.5566658592985005</v>
          </cell>
          <cell r="Z101">
            <v>2.8202374186075159</v>
          </cell>
          <cell r="AA101">
            <v>2.75421762525681</v>
          </cell>
          <cell r="AB101">
            <v>2.7626475415834642</v>
          </cell>
          <cell r="AC101">
            <v>2.7584704125422621</v>
          </cell>
          <cell r="AD101">
            <v>3.1369098102825435</v>
          </cell>
          <cell r="AE101">
            <v>3.1639622778994356</v>
          </cell>
          <cell r="AF101">
            <v>3.628851761767693</v>
          </cell>
          <cell r="AG101">
            <v>3.1677914867325194</v>
          </cell>
          <cell r="AH101">
            <v>3.3477384449602292</v>
          </cell>
          <cell r="AI101">
            <v>3.2908858180503615</v>
          </cell>
          <cell r="AJ101">
            <v>3.6074815311632547</v>
          </cell>
          <cell r="AK101">
            <v>4.3136688722132819</v>
          </cell>
          <cell r="AL101">
            <v>3.6606350716761971</v>
          </cell>
          <cell r="AM101">
            <v>3.7796723033491832</v>
          </cell>
          <cell r="AN101">
            <v>3.6386623387165273</v>
          </cell>
          <cell r="AO101">
            <v>3.6018377989611543</v>
          </cell>
          <cell r="AP101">
            <v>3.4096789190461121</v>
          </cell>
          <cell r="AQ101">
            <v>3.6028423419970799</v>
          </cell>
          <cell r="AR101">
            <v>2.7688460164344408</v>
          </cell>
          <cell r="AS101">
            <v>2.9102290773282271</v>
          </cell>
          <cell r="AT101">
            <v>3.587668390677702</v>
          </cell>
          <cell r="AU101">
            <v>3.4652280120031902</v>
          </cell>
          <cell r="AV101">
            <v>3.1633009847145077</v>
          </cell>
          <cell r="AW101">
            <v>2.931059048627084</v>
          </cell>
        </row>
        <row r="102">
          <cell r="A102" t="str">
            <v>Production taxes</v>
          </cell>
        </row>
        <row r="103">
          <cell r="A103" t="str">
            <v>Mcfe</v>
          </cell>
          <cell r="C103">
            <v>0.14834645601181581</v>
          </cell>
          <cell r="D103">
            <v>0.1515876013597679</v>
          </cell>
          <cell r="E103">
            <v>0.14985083437872254</v>
          </cell>
          <cell r="F103">
            <v>0.15777969513948803</v>
          </cell>
          <cell r="G103">
            <v>0.17465338021465093</v>
          </cell>
          <cell r="H103">
            <v>0.15932683738203848</v>
          </cell>
          <cell r="I103">
            <v>0.16282818122982681</v>
          </cell>
          <cell r="J103">
            <v>0.17542801695073215</v>
          </cell>
          <cell r="K103">
            <v>0.18393891118916209</v>
          </cell>
          <cell r="L103">
            <v>0.16794422130452002</v>
          </cell>
          <cell r="M103">
            <v>0.17159505804019268</v>
          </cell>
          <cell r="N103">
            <v>0.18083718145222966</v>
          </cell>
          <cell r="O103">
            <v>0.20815518707838399</v>
          </cell>
          <cell r="P103">
            <v>0.20594910230420699</v>
          </cell>
          <cell r="Q103">
            <v>0.16792445375162982</v>
          </cell>
          <cell r="R103">
            <v>0.18888251746754919</v>
          </cell>
          <cell r="S103">
            <v>0.17064625989647492</v>
          </cell>
          <cell r="T103">
            <v>0.18754882291605726</v>
          </cell>
          <cell r="U103">
            <v>0.18320676499960484</v>
          </cell>
          <cell r="V103">
            <v>0.15075427388366461</v>
          </cell>
          <cell r="W103">
            <v>0.17273130077012341</v>
          </cell>
          <cell r="X103">
            <v>0.18155539575516363</v>
          </cell>
          <cell r="Y103">
            <v>0.17246969707422405</v>
          </cell>
          <cell r="Z103">
            <v>0.15304174978934254</v>
          </cell>
          <cell r="AA103">
            <v>0.13682355767947246</v>
          </cell>
          <cell r="AB103">
            <v>0.16069049008422095</v>
          </cell>
          <cell r="AC103">
            <v>0.17689783629666112</v>
          </cell>
          <cell r="AD103">
            <v>0.19295544040674259</v>
          </cell>
          <cell r="AE103">
            <v>0.17636684303350972</v>
          </cell>
          <cell r="AF103">
            <v>0.13756950880444857</v>
          </cell>
          <cell r="AG103">
            <v>0.1707438857388261</v>
          </cell>
          <cell r="AH103">
            <v>0.21868187381547322</v>
          </cell>
          <cell r="AI103">
            <v>0.17349233523956673</v>
          </cell>
          <cell r="AJ103">
            <v>0.16362457488194565</v>
          </cell>
          <cell r="AK103">
            <v>0.12465097726366176</v>
          </cell>
          <cell r="AL103">
            <v>0.16832786957625528</v>
          </cell>
          <cell r="AM103">
            <v>0.17029121359830024</v>
          </cell>
          <cell r="AN103">
            <v>0.13313368501509892</v>
          </cell>
          <cell r="AO103">
            <v>0.13062655962370365</v>
          </cell>
          <cell r="AP103">
            <v>0.13130252100840334</v>
          </cell>
          <cell r="AQ103">
            <v>0.14088978965341262</v>
          </cell>
          <cell r="AR103">
            <v>0.12580147715282852</v>
          </cell>
          <cell r="AS103">
            <v>0.12120542459105851</v>
          </cell>
          <cell r="AT103">
            <v>0.18706434483157774</v>
          </cell>
          <cell r="AU103">
            <v>0.19962497126040377</v>
          </cell>
          <cell r="AV103">
            <v>0.15666610826373345</v>
          </cell>
          <cell r="AW103">
            <v>0.17757286019353211</v>
          </cell>
        </row>
        <row r="104">
          <cell r="A104" t="str">
            <v>BOE</v>
          </cell>
          <cell r="C104">
            <v>0.88864362670231589</v>
          </cell>
          <cell r="D104">
            <v>0.90633751552606012</v>
          </cell>
          <cell r="E104">
            <v>0.89778522101737424</v>
          </cell>
          <cell r="F104">
            <v>0.94473381788875133</v>
          </cell>
          <cell r="G104">
            <v>1.0449272799509459</v>
          </cell>
          <cell r="H104">
            <v>0.95349436930902376</v>
          </cell>
          <cell r="I104">
            <v>0.97511482285619766</v>
          </cell>
          <cell r="J104">
            <v>1.0518536455220344</v>
          </cell>
          <cell r="K104">
            <v>1.1028145180698727</v>
          </cell>
          <cell r="L104">
            <v>1.0063928901343835</v>
          </cell>
          <cell r="M104">
            <v>1.0283338038503413</v>
          </cell>
          <cell r="N104">
            <v>1.0853081077808411</v>
          </cell>
          <cell r="O104">
            <v>1.2491618899076893</v>
          </cell>
          <cell r="P104">
            <v>1.2359521516876804</v>
          </cell>
          <cell r="Q104">
            <v>1.0078560070194205</v>
          </cell>
          <cell r="R104">
            <v>1.1335735698212674</v>
          </cell>
          <cell r="S104">
            <v>1.0240869511237098</v>
          </cell>
          <cell r="T104">
            <v>1.1255423771868047</v>
          </cell>
          <cell r="U104">
            <v>1.0994878398800769</v>
          </cell>
          <cell r="V104">
            <v>0.90485333165321058</v>
          </cell>
          <cell r="W104">
            <v>1.0366502754152334</v>
          </cell>
          <cell r="X104">
            <v>1.0897257381111276</v>
          </cell>
          <cell r="Y104">
            <v>1.0350873924285426</v>
          </cell>
          <cell r="Z104">
            <v>0.91846812483386531</v>
          </cell>
          <cell r="AA104">
            <v>0.82125761916748508</v>
          </cell>
          <cell r="AB104">
            <v>0.96444365453576009</v>
          </cell>
          <cell r="AC104">
            <v>1.0617508757709837</v>
          </cell>
          <cell r="AD104">
            <v>1.1580706468068171</v>
          </cell>
          <cell r="AE104">
            <v>1.0584891984245384</v>
          </cell>
          <cell r="AF104">
            <v>0.8257267481866607</v>
          </cell>
          <cell r="AG104">
            <v>1.0247929094113004</v>
          </cell>
          <cell r="AH104">
            <v>1.312639086321792</v>
          </cell>
          <cell r="AI104">
            <v>1.0412952140696665</v>
          </cell>
          <cell r="AJ104">
            <v>0.98218962807752741</v>
          </cell>
          <cell r="AK104">
            <v>0.74828949824107949</v>
          </cell>
          <cell r="AL104">
            <v>1.0104015356210321</v>
          </cell>
          <cell r="AM104">
            <v>1.0222935014021366</v>
          </cell>
          <cell r="AN104">
            <v>0.79918940256047744</v>
          </cell>
          <cell r="AO104">
            <v>0.78413215240541878</v>
          </cell>
          <cell r="AP104">
            <v>0.78816698631216664</v>
          </cell>
          <cell r="AQ104">
            <v>0.84574817119109547</v>
          </cell>
          <cell r="AR104">
            <v>0.75513982266393853</v>
          </cell>
          <cell r="AS104">
            <v>0.72755726933205678</v>
          </cell>
          <cell r="AT104">
            <v>1.122951509325798</v>
          </cell>
          <cell r="AU104">
            <v>1.1982622586566198</v>
          </cell>
          <cell r="AV104">
            <v>0.94042252203980858</v>
          </cell>
          <cell r="AW104">
            <v>1.0658024956546759</v>
          </cell>
        </row>
        <row r="105">
          <cell r="A105" t="str">
            <v>SG&amp;A</v>
          </cell>
        </row>
        <row r="106">
          <cell r="A106" t="str">
            <v>Mcfe</v>
          </cell>
          <cell r="C106">
            <v>0.23187783690972272</v>
          </cell>
          <cell r="D106">
            <v>0.18477815370520678</v>
          </cell>
          <cell r="E106">
            <v>0.28367822392764147</v>
          </cell>
          <cell r="F106">
            <v>0.23416738567730799</v>
          </cell>
          <cell r="G106">
            <v>0.19960386310245823</v>
          </cell>
          <cell r="H106">
            <v>0.22053281157999166</v>
          </cell>
          <cell r="I106">
            <v>0.19168380828321385</v>
          </cell>
          <cell r="J106">
            <v>0.2713652137206638</v>
          </cell>
          <cell r="K106">
            <v>0.25087807325639738</v>
          </cell>
          <cell r="L106">
            <v>0.30937093398201054</v>
          </cell>
          <cell r="M106">
            <v>0.25740522306615371</v>
          </cell>
          <cell r="N106">
            <v>0.21056451009297317</v>
          </cell>
          <cell r="O106">
            <v>0.31764873065895394</v>
          </cell>
          <cell r="P106">
            <v>0.28354345526058616</v>
          </cell>
          <cell r="Q106">
            <v>0.25188668062744479</v>
          </cell>
          <cell r="R106">
            <v>0.26179236045771304</v>
          </cell>
          <cell r="S106">
            <v>0.22650443746436005</v>
          </cell>
          <cell r="T106">
            <v>0.26669786744943919</v>
          </cell>
          <cell r="U106">
            <v>0.2748101474994073</v>
          </cell>
          <cell r="V106">
            <v>0.26633255052780747</v>
          </cell>
          <cell r="W106">
            <v>0.25774448781517034</v>
          </cell>
          <cell r="X106">
            <v>0.25097363530860856</v>
          </cell>
          <cell r="Y106">
            <v>0.25525515166985163</v>
          </cell>
          <cell r="Z106">
            <v>0.23586434379298674</v>
          </cell>
          <cell r="AA106">
            <v>0.29033291507595377</v>
          </cell>
          <cell r="AB106">
            <v>0.25867249623313621</v>
          </cell>
          <cell r="AC106">
            <v>0.25147241434329276</v>
          </cell>
          <cell r="AD106">
            <v>0.36530398911956119</v>
          </cell>
          <cell r="AE106">
            <v>0.34889962426194315</v>
          </cell>
          <cell r="AF106">
            <v>0.26789851714550511</v>
          </cell>
          <cell r="AG106">
            <v>0.30669813256035788</v>
          </cell>
          <cell r="AH106">
            <v>0.28818541510566237</v>
          </cell>
          <cell r="AI106">
            <v>0.28151586472835355</v>
          </cell>
          <cell r="AJ106">
            <v>0.29819431871008789</v>
          </cell>
          <cell r="AK106">
            <v>0.29182993500551396</v>
          </cell>
          <cell r="AL106">
            <v>0.29013890400029008</v>
          </cell>
          <cell r="AM106">
            <v>0.33120859892513438</v>
          </cell>
          <cell r="AN106">
            <v>0.33988246645031134</v>
          </cell>
          <cell r="AO106">
            <v>0.31580047381554727</v>
          </cell>
          <cell r="AP106">
            <v>0.42816039459261968</v>
          </cell>
          <cell r="AQ106">
            <v>0.35465360843790072</v>
          </cell>
          <cell r="AR106">
            <v>0.33005978951924897</v>
          </cell>
          <cell r="AS106">
            <v>0.32697277331541369</v>
          </cell>
          <cell r="AT106">
            <v>0.37745914633839467</v>
          </cell>
          <cell r="AU106">
            <v>0.35986972715876853</v>
          </cell>
          <cell r="AV106">
            <v>0.34744209928296094</v>
          </cell>
          <cell r="AW106">
            <v>0.30677919410983945</v>
          </cell>
        </row>
        <row r="107">
          <cell r="A107" t="str">
            <v>BOE</v>
          </cell>
          <cell r="C107">
            <v>1.389023826271466</v>
          </cell>
          <cell r="D107">
            <v>1.1047827873151987</v>
          </cell>
          <cell r="E107">
            <v>1.6995708967694363</v>
          </cell>
          <cell r="F107">
            <v>1.4021186192581505</v>
          </cell>
          <cell r="G107">
            <v>1.194202605658224</v>
          </cell>
          <cell r="H107">
            <v>1.3197826401662776</v>
          </cell>
          <cell r="I107">
            <v>1.1479199813370429</v>
          </cell>
          <cell r="J107">
            <v>1.627086107916897</v>
          </cell>
          <cell r="K107">
            <v>1.5041514580241466</v>
          </cell>
          <cell r="L107">
            <v>1.8538816397212325</v>
          </cell>
          <cell r="M107">
            <v>1.5425764307534029</v>
          </cell>
          <cell r="N107">
            <v>1.2637189331286542</v>
          </cell>
          <cell r="O107">
            <v>1.9062445394036633</v>
          </cell>
          <cell r="P107">
            <v>1.7016153006029506</v>
          </cell>
          <cell r="Q107">
            <v>1.5117840105291309</v>
          </cell>
          <cell r="R107">
            <v>1.5711401170146442</v>
          </cell>
          <cell r="S107">
            <v>1.3593045573901805</v>
          </cell>
          <cell r="T107">
            <v>1.6005419125133462</v>
          </cell>
          <cell r="U107">
            <v>1.6492317598201154</v>
          </cell>
          <cell r="V107">
            <v>1.5985742192540053</v>
          </cell>
          <cell r="W107">
            <v>1.5468585779710022</v>
          </cell>
          <cell r="X107">
            <v>1.5063855791536176</v>
          </cell>
          <cell r="Y107">
            <v>1.5319293407942431</v>
          </cell>
          <cell r="Z107">
            <v>1.4155214629792512</v>
          </cell>
          <cell r="AA107">
            <v>1.7426686065261268</v>
          </cell>
          <cell r="AB107">
            <v>1.552519053642931</v>
          </cell>
          <cell r="AC107">
            <v>1.5093517351646339</v>
          </cell>
          <cell r="AD107">
            <v>2.1924638458964014</v>
          </cell>
          <cell r="AE107">
            <v>2.0939677621007173</v>
          </cell>
          <cell r="AF107">
            <v>1.6079941938371813</v>
          </cell>
          <cell r="AG107">
            <v>1.8407808292374568</v>
          </cell>
          <cell r="AH107">
            <v>1.7298344548426716</v>
          </cell>
          <cell r="AI107">
            <v>1.6896488379243646</v>
          </cell>
          <cell r="AJ107">
            <v>1.7899717521039051</v>
          </cell>
          <cell r="AK107">
            <v>1.751877766470292</v>
          </cell>
          <cell r="AL107">
            <v>1.7415820379791087</v>
          </cell>
          <cell r="AM107">
            <v>1.9883139660298434</v>
          </cell>
          <cell r="AN107">
            <v>2.0402835335955718</v>
          </cell>
          <cell r="AO107">
            <v>1.8957041047163972</v>
          </cell>
          <cell r="AP107">
            <v>2.5701097379744566</v>
          </cell>
          <cell r="AQ107">
            <v>2.1289522929982749</v>
          </cell>
          <cell r="AR107">
            <v>1.9812270616129135</v>
          </cell>
          <cell r="AS107">
            <v>1.9627126335469438</v>
          </cell>
          <cell r="AT107">
            <v>2.2658958256911803</v>
          </cell>
          <cell r="AU107">
            <v>2.1601421373526382</v>
          </cell>
          <cell r="AV107">
            <v>2.0855970630255647</v>
          </cell>
          <cell r="AW107">
            <v>1.8413063254195785</v>
          </cell>
        </row>
        <row r="108">
          <cell r="A108" t="str">
            <v>DD&amp;A</v>
          </cell>
        </row>
        <row r="109">
          <cell r="A109" t="str">
            <v>Mcfe</v>
          </cell>
          <cell r="C109">
            <v>0.71110068312894237</v>
          </cell>
          <cell r="D109">
            <v>0.70935764628354214</v>
          </cell>
          <cell r="E109">
            <v>0.71565237558111339</v>
          </cell>
          <cell r="F109">
            <v>0.65881507046304277</v>
          </cell>
          <cell r="G109">
            <v>0.68517864545747686</v>
          </cell>
          <cell r="H109">
            <v>0.69344432810892687</v>
          </cell>
          <cell r="I109">
            <v>0.70696286280798215</v>
          </cell>
          <cell r="J109">
            <v>0.72638163268662526</v>
          </cell>
          <cell r="K109">
            <v>0.70245860511791269</v>
          </cell>
          <cell r="L109">
            <v>0.73718673983141947</v>
          </cell>
          <cell r="M109">
            <v>0.71930153340756009</v>
          </cell>
          <cell r="N109">
            <v>0.74157237555037059</v>
          </cell>
          <cell r="O109">
            <v>0.79203203236673381</v>
          </cell>
          <cell r="P109">
            <v>0.75538900151029342</v>
          </cell>
          <cell r="Q109">
            <v>0.77047690544865455</v>
          </cell>
          <cell r="R109">
            <v>0.76368097801880497</v>
          </cell>
          <cell r="S109">
            <v>0.75147049094076757</v>
          </cell>
          <cell r="T109">
            <v>0.73987150324683137</v>
          </cell>
          <cell r="U109">
            <v>0.73282705999841935</v>
          </cell>
          <cell r="V109">
            <v>0.6934696598648572</v>
          </cell>
          <cell r="W109">
            <v>0.72963392762949675</v>
          </cell>
          <cell r="X109">
            <v>0.65324343374652027</v>
          </cell>
          <cell r="Y109">
            <v>0.72609742468248328</v>
          </cell>
          <cell r="Z109">
            <v>0.72919892546686738</v>
          </cell>
          <cell r="AA109">
            <v>0.72082654777478183</v>
          </cell>
          <cell r="AB109">
            <v>0.70764782218660993</v>
          </cell>
          <cell r="AC109">
            <v>0.74401148795360417</v>
          </cell>
          <cell r="AD109">
            <v>0.7549615775137597</v>
          </cell>
          <cell r="AE109">
            <v>0.78023157733302673</v>
          </cell>
          <cell r="AF109">
            <v>0.78378417516218724</v>
          </cell>
          <cell r="AG109">
            <v>0.7653720561804751</v>
          </cell>
          <cell r="AH109">
            <v>0.7679293708403826</v>
          </cell>
          <cell r="AI109">
            <v>0.78398894886558923</v>
          </cell>
          <cell r="AJ109">
            <v>0.78142203518387132</v>
          </cell>
          <cell r="AK109">
            <v>0.79923273657289007</v>
          </cell>
          <cell r="AL109">
            <v>0.78369040917469668</v>
          </cell>
          <cell r="AM109">
            <v>0.80146231721034866</v>
          </cell>
          <cell r="AN109">
            <v>0.75807886526244561</v>
          </cell>
          <cell r="AO109">
            <v>0.74069565676737459</v>
          </cell>
          <cell r="AP109">
            <v>0.75927109974424556</v>
          </cell>
          <cell r="AQ109">
            <v>0.76424302345153527</v>
          </cell>
          <cell r="AR109">
            <v>0.76427779130481832</v>
          </cell>
          <cell r="AS109">
            <v>0.75964795179744815</v>
          </cell>
          <cell r="AT109">
            <v>0.78637322153832223</v>
          </cell>
          <cell r="AU109">
            <v>0.76472317021238312</v>
          </cell>
          <cell r="AV109">
            <v>0.76829769653156843</v>
          </cell>
          <cell r="AW109">
            <v>0.76068718539480595</v>
          </cell>
        </row>
        <row r="110">
          <cell r="A110" t="str">
            <v>BOE</v>
          </cell>
          <cell r="C110">
            <v>4.2597248831874053</v>
          </cell>
          <cell r="D110">
            <v>4.2412271253384501</v>
          </cell>
          <cell r="E110">
            <v>4.2876112692097781</v>
          </cell>
          <cell r="F110">
            <v>3.9447717036780219</v>
          </cell>
          <cell r="G110">
            <v>4.0993300982690961</v>
          </cell>
          <cell r="H110">
            <v>4.1499302512087644</v>
          </cell>
          <cell r="I110">
            <v>4.2337263827807057</v>
          </cell>
          <cell r="J110">
            <v>4.3553315009896743</v>
          </cell>
          <cell r="K110">
            <v>4.2116240824676101</v>
          </cell>
          <cell r="L110">
            <v>4.4175351072214513</v>
          </cell>
          <cell r="M110">
            <v>4.3106257861524426</v>
          </cell>
          <cell r="N110">
            <v>4.4506030520262376</v>
          </cell>
          <cell r="O110">
            <v>4.7530702660130819</v>
          </cell>
          <cell r="P110">
            <v>4.5332786175430888</v>
          </cell>
          <cell r="Q110">
            <v>4.6242805027949885</v>
          </cell>
          <cell r="R110">
            <v>4.5832117448672962</v>
          </cell>
          <cell r="S110">
            <v>4.5097450386187186</v>
          </cell>
          <cell r="T110">
            <v>4.4402130476176698</v>
          </cell>
          <cell r="U110">
            <v>4.3979513595203077</v>
          </cell>
          <cell r="V110">
            <v>4.1623253256047681</v>
          </cell>
          <cell r="W110">
            <v>4.3789122681130364</v>
          </cell>
          <cell r="X110">
            <v>3.9208759400665087</v>
          </cell>
          <cell r="Y110">
            <v>4.3577179221241646</v>
          </cell>
          <cell r="Z110">
            <v>4.3762304771495932</v>
          </cell>
          <cell r="AA110">
            <v>4.3266255058579706</v>
          </cell>
          <cell r="AB110">
            <v>4.2472112157740112</v>
          </cell>
          <cell r="AC110">
            <v>4.4655992716250204</v>
          </cell>
          <cell r="AD110">
            <v>4.531091948185896</v>
          </cell>
          <cell r="AE110">
            <v>4.6826641712911652</v>
          </cell>
          <cell r="AF110">
            <v>4.7044694995371588</v>
          </cell>
          <cell r="AG110">
            <v>4.5937097708731756</v>
          </cell>
          <cell r="AH110">
            <v>4.6095000473160601</v>
          </cell>
          <cell r="AI110">
            <v>4.7054755428242485</v>
          </cell>
          <cell r="AJ110">
            <v>4.6906439247440801</v>
          </cell>
          <cell r="AK110">
            <v>4.7978561946045684</v>
          </cell>
          <cell r="AL110">
            <v>4.7041645264979186</v>
          </cell>
          <cell r="AM110">
            <v>4.8113446442137251</v>
          </cell>
          <cell r="AN110">
            <v>4.5506784804620128</v>
          </cell>
          <cell r="AO110">
            <v>4.4462878092439135</v>
          </cell>
          <cell r="AP110">
            <v>4.5576612686747033</v>
          </cell>
          <cell r="AQ110">
            <v>4.5876790718455966</v>
          </cell>
          <cell r="AR110">
            <v>4.5876774172594112</v>
          </cell>
          <cell r="AS110">
            <v>4.5599228856974259</v>
          </cell>
          <cell r="AT110">
            <v>4.7206163035232924</v>
          </cell>
          <cell r="AU110">
            <v>4.5903020418743559</v>
          </cell>
          <cell r="AV110">
            <v>4.6118746770251509</v>
          </cell>
          <cell r="AW110">
            <v>4.5656881334383428</v>
          </cell>
        </row>
        <row r="111">
          <cell r="A111" t="str">
            <v>Net Interest Expense</v>
          </cell>
        </row>
        <row r="112">
          <cell r="A112" t="str">
            <v>Mcfe</v>
          </cell>
          <cell r="C112">
            <v>0.19032569183294371</v>
          </cell>
          <cell r="D112">
            <v>0.14636390668070368</v>
          </cell>
          <cell r="E112">
            <v>0.18326815024087875</v>
          </cell>
          <cell r="F112">
            <v>0.16534368708656885</v>
          </cell>
          <cell r="G112">
            <v>0.13818728984016337</v>
          </cell>
          <cell r="H112">
            <v>0.1557241275027092</v>
          </cell>
          <cell r="I112">
            <v>0.14427813526693514</v>
          </cell>
          <cell r="J112">
            <v>0.18365120524529771</v>
          </cell>
          <cell r="K112">
            <v>0.1630707476166583</v>
          </cell>
          <cell r="L112">
            <v>0.11490920405046107</v>
          </cell>
          <cell r="M112">
            <v>0.14716744016844333</v>
          </cell>
          <cell r="N112">
            <v>0.13615669735399116</v>
          </cell>
          <cell r="O112">
            <v>0.16509374817143002</v>
          </cell>
          <cell r="P112">
            <v>0.12292334655176591</v>
          </cell>
          <cell r="Q112">
            <v>0.11524227218249107</v>
          </cell>
          <cell r="R112">
            <v>0.13369244543867206</v>
          </cell>
          <cell r="S112">
            <v>0.11048766425864258</v>
          </cell>
          <cell r="T112">
            <v>0.11528230399427372</v>
          </cell>
          <cell r="U112">
            <v>0.12752627759776416</v>
          </cell>
          <cell r="V112">
            <v>8.8777516842602489E-2</v>
          </cell>
          <cell r="W112">
            <v>0.11019727819390231</v>
          </cell>
          <cell r="X112">
            <v>0.14239638882757935</v>
          </cell>
          <cell r="Y112">
            <v>0.15522272736680165</v>
          </cell>
          <cell r="Z112">
            <v>0.17104666152926518</v>
          </cell>
          <cell r="AA112">
            <v>0.16852657714178926</v>
          </cell>
          <cell r="AB112">
            <v>0.15938406333556876</v>
          </cell>
          <cell r="AC112">
            <v>0.15608632614411277</v>
          </cell>
          <cell r="AD112">
            <v>0.1798419638742455</v>
          </cell>
          <cell r="AE112">
            <v>0.18595199754620045</v>
          </cell>
          <cell r="AF112">
            <v>0.18463276181649674</v>
          </cell>
          <cell r="AG112">
            <v>0.17623698662050416</v>
          </cell>
          <cell r="AH112">
            <v>0.15595916582188785</v>
          </cell>
          <cell r="AI112">
            <v>0.1309376115015598</v>
          </cell>
          <cell r="AJ112">
            <v>0.17432898632282059</v>
          </cell>
          <cell r="AK112">
            <v>0.18037729651094583</v>
          </cell>
          <cell r="AL112">
            <v>0.16123208116320473</v>
          </cell>
          <cell r="AM112">
            <v>0.19372578427696541</v>
          </cell>
          <cell r="AN112">
            <v>0.21614645331863119</v>
          </cell>
          <cell r="AO112">
            <v>0.21531850487423679</v>
          </cell>
          <cell r="AP112">
            <v>0.23691541834124957</v>
          </cell>
          <cell r="AQ112">
            <v>0.21600609660390582</v>
          </cell>
          <cell r="AR112">
            <v>0.25160295430565704</v>
          </cell>
          <cell r="AS112">
            <v>0.26073259941099797</v>
          </cell>
          <cell r="AT112">
            <v>0.26736689532302954</v>
          </cell>
          <cell r="AU112">
            <v>0.26990229536907639</v>
          </cell>
          <cell r="AV112">
            <v>0.26203530709520378</v>
          </cell>
          <cell r="AW112">
            <v>0.25043199519170567</v>
          </cell>
        </row>
        <row r="113">
          <cell r="A113" t="str">
            <v>BOE</v>
          </cell>
          <cell r="C113">
            <v>1.1401129328737256</v>
          </cell>
          <cell r="D113">
            <v>0.87510520882801168</v>
          </cell>
          <cell r="E113">
            <v>1.0979947989720049</v>
          </cell>
          <cell r="F113">
            <v>0.99002455687977242</v>
          </cell>
          <cell r="G113">
            <v>0.82675565007107821</v>
          </cell>
          <cell r="H113">
            <v>0.93193388621252238</v>
          </cell>
          <cell r="I113">
            <v>0.86402579240422572</v>
          </cell>
          <cell r="J113">
            <v>1.1011592851558798</v>
          </cell>
          <cell r="K113">
            <v>0.97769844771569525</v>
          </cell>
          <cell r="L113">
            <v>0.68858460903931495</v>
          </cell>
          <cell r="M113">
            <v>0.88194412636222386</v>
          </cell>
          <cell r="N113">
            <v>0.8171547818886159</v>
          </cell>
          <cell r="O113">
            <v>0.99074551719006199</v>
          </cell>
          <cell r="P113">
            <v>0.73769379406613711</v>
          </cell>
          <cell r="Q113">
            <v>0.69166588717019062</v>
          </cell>
          <cell r="R113">
            <v>0.80235177223369814</v>
          </cell>
          <cell r="S113">
            <v>0.66306155960322177</v>
          </cell>
          <cell r="T113">
            <v>0.6918471492799626</v>
          </cell>
          <cell r="U113">
            <v>0.76532977089691623</v>
          </cell>
          <cell r="V113">
            <v>0.53285807308466837</v>
          </cell>
          <cell r="W113">
            <v>0.66135111748939501</v>
          </cell>
          <cell r="X113">
            <v>0.85468685342049233</v>
          </cell>
          <cell r="Y113">
            <v>0.93157865318568844</v>
          </cell>
          <cell r="Z113">
            <v>1.0265231983437317</v>
          </cell>
          <cell r="AA113">
            <v>1.0115490187306828</v>
          </cell>
          <cell r="AB113">
            <v>0.95660264921433125</v>
          </cell>
          <cell r="AC113">
            <v>0.93683900803322107</v>
          </cell>
          <cell r="AD113">
            <v>1.0793668164413053</v>
          </cell>
          <cell r="AE113">
            <v>1.1160157852954373</v>
          </cell>
          <cell r="AF113">
            <v>1.1082122146715709</v>
          </cell>
          <cell r="AG113">
            <v>1.0577621182931656</v>
          </cell>
          <cell r="AH113">
            <v>0.9361457049736811</v>
          </cell>
          <cell r="AI113">
            <v>0.7858831804299371</v>
          </cell>
          <cell r="AJ113">
            <v>1.0464450243068986</v>
          </cell>
          <cell r="AK113">
            <v>1.0828189209841503</v>
          </cell>
          <cell r="AL113">
            <v>0.96780849664871682</v>
          </cell>
          <cell r="AM113">
            <v>1.1629760933382103</v>
          </cell>
          <cell r="AN113">
            <v>1.2975075006275989</v>
          </cell>
          <cell r="AO113">
            <v>1.2925255259429982</v>
          </cell>
          <cell r="AP113">
            <v>1.4221273883458661</v>
          </cell>
          <cell r="AQ113">
            <v>1.2966643049030588</v>
          </cell>
          <cell r="AR113">
            <v>1.5102796453278771</v>
          </cell>
          <cell r="AS113">
            <v>1.5650941258887268</v>
          </cell>
          <cell r="AT113">
            <v>1.6050095431979194</v>
          </cell>
          <cell r="AU113">
            <v>1.6201066030144784</v>
          </cell>
          <cell r="AV113">
            <v>1.5729241448132136</v>
          </cell>
          <cell r="AW113">
            <v>1.5031072044241456</v>
          </cell>
        </row>
      </sheetData>
      <sheetData sheetId="3" refreshError="1">
        <row r="3">
          <cell r="B3" t="str">
            <v>ANADARKO PETROLEUM CORP.</v>
          </cell>
          <cell r="F3" t="str">
            <v>APC</v>
          </cell>
        </row>
        <row r="5">
          <cell r="D5">
            <v>1980</v>
          </cell>
          <cell r="E5">
            <v>1981</v>
          </cell>
          <cell r="F5">
            <v>1982</v>
          </cell>
          <cell r="G5">
            <v>1983</v>
          </cell>
          <cell r="H5">
            <v>1984</v>
          </cell>
          <cell r="I5">
            <v>1985</v>
          </cell>
          <cell r="J5">
            <v>1986</v>
          </cell>
          <cell r="K5">
            <v>1987</v>
          </cell>
          <cell r="L5">
            <v>1988</v>
          </cell>
          <cell r="M5">
            <v>1989</v>
          </cell>
          <cell r="N5">
            <v>1990</v>
          </cell>
          <cell r="O5">
            <v>1991</v>
          </cell>
          <cell r="P5">
            <v>1992</v>
          </cell>
          <cell r="Q5">
            <v>1993</v>
          </cell>
          <cell r="R5" t="str">
            <v>1994</v>
          </cell>
          <cell r="S5">
            <v>1995</v>
          </cell>
          <cell r="T5" t="str">
            <v>1996</v>
          </cell>
          <cell r="U5" t="str">
            <v>1997</v>
          </cell>
          <cell r="V5" t="str">
            <v>1998</v>
          </cell>
          <cell r="W5" t="str">
            <v>1999E</v>
          </cell>
        </row>
        <row r="6">
          <cell r="B6" t="str">
            <v>SHARE PRICE RANGE:</v>
          </cell>
          <cell r="C6" t="str">
            <v>HIGH</v>
          </cell>
          <cell r="J6">
            <v>11.5</v>
          </cell>
          <cell r="K6">
            <v>17.4375</v>
          </cell>
          <cell r="L6">
            <v>14</v>
          </cell>
          <cell r="M6">
            <v>19.25</v>
          </cell>
          <cell r="N6">
            <v>19.9375</v>
          </cell>
          <cell r="O6">
            <v>16.5625</v>
          </cell>
          <cell r="P6">
            <v>16.4375</v>
          </cell>
          <cell r="Q6">
            <v>25.875</v>
          </cell>
          <cell r="R6">
            <v>29.25</v>
          </cell>
          <cell r="S6">
            <v>27.0625</v>
          </cell>
          <cell r="T6">
            <v>34.4375</v>
          </cell>
          <cell r="U6">
            <v>38.375</v>
          </cell>
          <cell r="V6">
            <v>44.88</v>
          </cell>
          <cell r="W6">
            <v>44.875</v>
          </cell>
        </row>
        <row r="7">
          <cell r="C7" t="str">
            <v xml:space="preserve">LOW </v>
          </cell>
          <cell r="J7">
            <v>9.1875</v>
          </cell>
          <cell r="K7">
            <v>9.625</v>
          </cell>
          <cell r="L7">
            <v>11</v>
          </cell>
          <cell r="M7">
            <v>12.25</v>
          </cell>
          <cell r="N7">
            <v>14.3125</v>
          </cell>
          <cell r="O7">
            <v>10.75</v>
          </cell>
          <cell r="P7">
            <v>9.25</v>
          </cell>
          <cell r="Q7">
            <v>12.815</v>
          </cell>
          <cell r="R7">
            <v>18.5</v>
          </cell>
          <cell r="S7">
            <v>17.6875</v>
          </cell>
          <cell r="T7">
            <v>23.375</v>
          </cell>
          <cell r="U7">
            <v>25.375</v>
          </cell>
          <cell r="V7">
            <v>24.75</v>
          </cell>
          <cell r="W7">
            <v>24.75</v>
          </cell>
        </row>
        <row r="9">
          <cell r="B9" t="str">
            <v>US CRUDE WELLHEAD</v>
          </cell>
          <cell r="D9">
            <v>21.59</v>
          </cell>
          <cell r="E9">
            <v>31.77</v>
          </cell>
          <cell r="F9">
            <v>28.52</v>
          </cell>
          <cell r="G9">
            <v>26.19</v>
          </cell>
          <cell r="H9">
            <v>25.88</v>
          </cell>
          <cell r="I9">
            <v>24.09</v>
          </cell>
          <cell r="J9">
            <v>15.1</v>
          </cell>
          <cell r="K9">
            <v>19.2</v>
          </cell>
          <cell r="L9">
            <v>15.98</v>
          </cell>
          <cell r="M9">
            <v>19.78</v>
          </cell>
          <cell r="N9">
            <v>24.47</v>
          </cell>
          <cell r="O9">
            <v>21.6</v>
          </cell>
          <cell r="P9">
            <v>20.54</v>
          </cell>
          <cell r="Q9">
            <v>18.489999999999998</v>
          </cell>
          <cell r="R9">
            <v>17.28</v>
          </cell>
          <cell r="S9">
            <v>18.5</v>
          </cell>
          <cell r="T9">
            <v>20.5</v>
          </cell>
          <cell r="U9">
            <v>20.5</v>
          </cell>
        </row>
        <row r="10">
          <cell r="B10" t="str">
            <v>US NAT. GAS AT WELLHEAD</v>
          </cell>
          <cell r="D10">
            <v>1.59</v>
          </cell>
          <cell r="E10">
            <v>1.98</v>
          </cell>
          <cell r="F10">
            <v>2.46</v>
          </cell>
          <cell r="G10">
            <v>2.59</v>
          </cell>
          <cell r="H10">
            <v>2.66</v>
          </cell>
          <cell r="I10">
            <v>2.5099999999999998</v>
          </cell>
          <cell r="J10">
            <v>1.63</v>
          </cell>
          <cell r="K10">
            <v>1.46</v>
          </cell>
          <cell r="L10">
            <v>1.59</v>
          </cell>
          <cell r="M10">
            <v>1.58</v>
          </cell>
          <cell r="N10">
            <v>1.59</v>
          </cell>
          <cell r="O10">
            <v>1.37</v>
          </cell>
          <cell r="P10">
            <v>1.62</v>
          </cell>
          <cell r="Q10">
            <v>1.96</v>
          </cell>
          <cell r="R10">
            <v>1.75</v>
          </cell>
          <cell r="S10">
            <v>1.65</v>
          </cell>
          <cell r="T10">
            <v>1.95</v>
          </cell>
          <cell r="U10">
            <v>1.95</v>
          </cell>
        </row>
        <row r="12">
          <cell r="B12" t="str">
            <v>COMMODITY PRICE</v>
          </cell>
        </row>
        <row r="13">
          <cell r="B13" t="str">
            <v>OIL ( $/Bbl)</v>
          </cell>
          <cell r="J13">
            <v>14.35</v>
          </cell>
          <cell r="K13">
            <v>17.25</v>
          </cell>
          <cell r="L13">
            <v>14.51</v>
          </cell>
          <cell r="M13">
            <v>17.89</v>
          </cell>
          <cell r="N13">
            <v>23.27</v>
          </cell>
          <cell r="O13">
            <v>19.68</v>
          </cell>
          <cell r="P13">
            <v>18.34</v>
          </cell>
          <cell r="Q13">
            <v>16.350000000000001</v>
          </cell>
          <cell r="R13">
            <v>15.02</v>
          </cell>
          <cell r="S13">
            <v>16.52</v>
          </cell>
          <cell r="T13">
            <v>20.212499999999999</v>
          </cell>
          <cell r="U13">
            <v>18.130000000000003</v>
          </cell>
          <cell r="V13">
            <v>11.690910651115548</v>
          </cell>
          <cell r="W13">
            <v>15.688289473684209</v>
          </cell>
        </row>
        <row r="14">
          <cell r="B14" t="str">
            <v>NGL ($/Bbl)</v>
          </cell>
          <cell r="J14">
            <v>11.34</v>
          </cell>
          <cell r="K14">
            <v>12.18</v>
          </cell>
          <cell r="L14">
            <v>9.66</v>
          </cell>
          <cell r="M14">
            <v>10.5</v>
          </cell>
          <cell r="N14">
            <v>16.38</v>
          </cell>
          <cell r="O14">
            <v>14.07</v>
          </cell>
          <cell r="P14">
            <v>13.16</v>
          </cell>
          <cell r="Q14">
            <v>13.76</v>
          </cell>
          <cell r="R14">
            <v>12.074999999999999</v>
          </cell>
          <cell r="S14">
            <v>13.07031843575419</v>
          </cell>
          <cell r="T14">
            <v>16.575000000000003</v>
          </cell>
          <cell r="U14">
            <v>14.504000000000003</v>
          </cell>
          <cell r="V14">
            <v>10.059043869252424</v>
          </cell>
          <cell r="W14">
            <v>12.889914592484137</v>
          </cell>
        </row>
        <row r="15">
          <cell r="B15" t="str">
            <v>GAS ($/Mcf)</v>
          </cell>
          <cell r="J15">
            <v>1.58</v>
          </cell>
          <cell r="K15">
            <v>1.54</v>
          </cell>
          <cell r="L15">
            <v>1.74</v>
          </cell>
          <cell r="M15">
            <v>1.65</v>
          </cell>
          <cell r="N15">
            <v>1.62</v>
          </cell>
          <cell r="O15">
            <v>1.51</v>
          </cell>
          <cell r="P15">
            <v>1.73</v>
          </cell>
          <cell r="Q15">
            <v>1.92</v>
          </cell>
          <cell r="R15">
            <v>1.7161918421226738</v>
          </cell>
          <cell r="S15">
            <v>1.4195577933450088</v>
          </cell>
          <cell r="T15">
            <v>2.1236751967173104</v>
          </cell>
          <cell r="U15">
            <v>2.2989356047239022</v>
          </cell>
          <cell r="V15">
            <v>1.9220855601655054</v>
          </cell>
          <cell r="W15">
            <v>2.0539876293070156</v>
          </cell>
        </row>
        <row r="17">
          <cell r="B17" t="str">
            <v>PRODUCTION VOLUME</v>
          </cell>
        </row>
        <row r="18">
          <cell r="B18" t="str">
            <v>OIL (MMBbls)</v>
          </cell>
          <cell r="J18">
            <v>4.641</v>
          </cell>
          <cell r="K18">
            <v>3.9140000000000001</v>
          </cell>
          <cell r="L18">
            <v>4.0039999999999996</v>
          </cell>
          <cell r="M18">
            <v>4.0549999999999997</v>
          </cell>
          <cell r="N18">
            <v>4.5990000000000002</v>
          </cell>
          <cell r="O18">
            <v>4.5590000000000002</v>
          </cell>
          <cell r="P18">
            <v>4.4000000000000004</v>
          </cell>
          <cell r="Q18">
            <v>7.9</v>
          </cell>
          <cell r="R18">
            <v>8.3030000000000008</v>
          </cell>
          <cell r="S18">
            <v>7.4550000000000001</v>
          </cell>
          <cell r="T18">
            <v>6.7010743251313896</v>
          </cell>
          <cell r="U18">
            <v>9.0349999999999984</v>
          </cell>
          <cell r="V18">
            <v>11.050239999999999</v>
          </cell>
          <cell r="W18">
            <v>13.863</v>
          </cell>
        </row>
        <row r="19">
          <cell r="B19" t="str">
            <v>NGL (MMBbls)</v>
          </cell>
          <cell r="J19">
            <v>0.747</v>
          </cell>
          <cell r="K19">
            <v>0.82899999999999996</v>
          </cell>
          <cell r="L19">
            <v>0.85899999999999999</v>
          </cell>
          <cell r="M19">
            <v>0.876</v>
          </cell>
          <cell r="N19">
            <v>1.504</v>
          </cell>
          <cell r="O19">
            <v>1.9570000000000001</v>
          </cell>
          <cell r="P19">
            <v>2.2000000000000002</v>
          </cell>
          <cell r="Q19">
            <v>2.2999999999999998</v>
          </cell>
          <cell r="R19">
            <v>3</v>
          </cell>
          <cell r="S19">
            <v>3.58</v>
          </cell>
          <cell r="T19">
            <v>3.5129999999999999</v>
          </cell>
          <cell r="U19">
            <v>5.452</v>
          </cell>
          <cell r="V19">
            <v>6.4769999999999994</v>
          </cell>
          <cell r="W19">
            <v>6.2302</v>
          </cell>
        </row>
        <row r="20">
          <cell r="B20" t="str">
            <v>GAS (Bcf)</v>
          </cell>
          <cell r="J20">
            <v>78.745999999999995</v>
          </cell>
          <cell r="K20">
            <v>95.906999999999996</v>
          </cell>
          <cell r="L20">
            <v>130.81899999999999</v>
          </cell>
          <cell r="M20">
            <v>143.89699999999999</v>
          </cell>
          <cell r="N20">
            <v>150.34800000000001</v>
          </cell>
          <cell r="O20">
            <v>137.80000000000001</v>
          </cell>
          <cell r="P20">
            <v>145.9</v>
          </cell>
          <cell r="Q20">
            <v>162</v>
          </cell>
          <cell r="R20">
            <v>175.75700000000001</v>
          </cell>
          <cell r="S20">
            <v>171.3</v>
          </cell>
          <cell r="T20">
            <v>164.89999999999998</v>
          </cell>
          <cell r="U20">
            <v>178.744</v>
          </cell>
          <cell r="V20">
            <v>176.67099999999999</v>
          </cell>
          <cell r="W20">
            <v>168.30099999999999</v>
          </cell>
        </row>
        <row r="21">
          <cell r="B21" t="str">
            <v>MCFE Commodity Price</v>
          </cell>
          <cell r="J21">
            <v>1.7959919513117382</v>
          </cell>
          <cell r="K21">
            <v>1.811687371848993</v>
          </cell>
          <cell r="L21">
            <v>1.8376659562366795</v>
          </cell>
          <cell r="M21">
            <v>1.8397883366093506</v>
          </cell>
          <cell r="N21">
            <v>2.0068783094252431</v>
          </cell>
          <cell r="O21">
            <v>1.8391264358719248</v>
          </cell>
          <cell r="P21">
            <v>1.95177897574124</v>
          </cell>
          <cell r="Q21">
            <v>2.1140367383512544</v>
          </cell>
          <cell r="R21">
            <v>1.8990815543301027</v>
          </cell>
          <cell r="S21">
            <v>1.7393734579596649</v>
          </cell>
          <cell r="T21">
            <v>2.4045308573239987</v>
          </cell>
          <cell r="U21">
            <v>2.4609897530386622</v>
          </cell>
          <cell r="V21">
            <v>1.894433390236236</v>
          </cell>
          <cell r="W21">
            <v>2.2276577904044199</v>
          </cell>
        </row>
        <row r="24">
          <cell r="B24" t="str">
            <v>SHARES OUTSTANDING</v>
          </cell>
          <cell r="E24">
            <v>40.1</v>
          </cell>
          <cell r="F24">
            <v>41</v>
          </cell>
          <cell r="G24">
            <v>41.9</v>
          </cell>
          <cell r="H24">
            <v>43</v>
          </cell>
          <cell r="I24">
            <v>44.1</v>
          </cell>
          <cell r="J24">
            <v>97.8</v>
          </cell>
          <cell r="K24">
            <v>103.4</v>
          </cell>
          <cell r="L24">
            <v>104</v>
          </cell>
          <cell r="M24">
            <v>104.4</v>
          </cell>
          <cell r="N24">
            <v>106</v>
          </cell>
          <cell r="O24">
            <v>110</v>
          </cell>
          <cell r="P24">
            <v>110.2</v>
          </cell>
          <cell r="Q24">
            <v>114.4</v>
          </cell>
          <cell r="R24">
            <v>114.8</v>
          </cell>
          <cell r="S24">
            <v>117.45</v>
          </cell>
          <cell r="T24">
            <v>118.55000000000001</v>
          </cell>
          <cell r="U24">
            <v>119.25</v>
          </cell>
          <cell r="V24">
            <v>120.02500000000001</v>
          </cell>
          <cell r="W24">
            <v>124.825</v>
          </cell>
        </row>
        <row r="26">
          <cell r="B26" t="str">
            <v>RESERVES (proven)</v>
          </cell>
        </row>
        <row r="27">
          <cell r="B27" t="str">
            <v>OIL (MMBbls)</v>
          </cell>
          <cell r="E27">
            <v>17.538</v>
          </cell>
          <cell r="F27">
            <v>19.393000000000001</v>
          </cell>
          <cell r="G27">
            <v>20.742000000000001</v>
          </cell>
          <cell r="H27">
            <v>22.707000000000001</v>
          </cell>
          <cell r="I27">
            <v>21.954000000000001</v>
          </cell>
          <cell r="J27">
            <v>20.076000000000001</v>
          </cell>
          <cell r="K27">
            <v>19.452000000000002</v>
          </cell>
          <cell r="L27">
            <v>21.773</v>
          </cell>
          <cell r="M27">
            <v>28.353999999999999</v>
          </cell>
          <cell r="N27">
            <v>32.594999999999999</v>
          </cell>
          <cell r="O27">
            <v>45.756</v>
          </cell>
          <cell r="P27">
            <v>80.322000000000003</v>
          </cell>
          <cell r="Q27">
            <v>78.5</v>
          </cell>
          <cell r="R27">
            <v>157.4</v>
          </cell>
          <cell r="S27">
            <v>219</v>
          </cell>
          <cell r="T27">
            <v>298</v>
          </cell>
          <cell r="U27">
            <v>419.7</v>
          </cell>
          <cell r="V27">
            <v>494</v>
          </cell>
          <cell r="W27">
            <v>508.82</v>
          </cell>
        </row>
        <row r="28">
          <cell r="B28" t="str">
            <v>GAS (Bcf)</v>
          </cell>
          <cell r="E28">
            <v>1328.6</v>
          </cell>
          <cell r="F28">
            <v>1370.366</v>
          </cell>
          <cell r="G28">
            <v>1376.7570000000001</v>
          </cell>
          <cell r="H28">
            <v>1402.383</v>
          </cell>
          <cell r="I28">
            <v>1514.1220000000001</v>
          </cell>
          <cell r="J28">
            <v>1756.712</v>
          </cell>
          <cell r="K28">
            <v>1771.9860000000001</v>
          </cell>
          <cell r="L28">
            <v>1761.771</v>
          </cell>
          <cell r="M28">
            <v>1729.029</v>
          </cell>
          <cell r="N28">
            <v>1704.2639999999999</v>
          </cell>
          <cell r="O28">
            <v>1744.173</v>
          </cell>
          <cell r="P28">
            <v>1726</v>
          </cell>
          <cell r="Q28">
            <v>1880</v>
          </cell>
          <cell r="R28">
            <v>1910</v>
          </cell>
          <cell r="S28">
            <v>1843</v>
          </cell>
          <cell r="T28">
            <v>1821</v>
          </cell>
          <cell r="U28">
            <v>1730</v>
          </cell>
          <cell r="V28">
            <v>2647</v>
          </cell>
          <cell r="W28">
            <v>2726.41</v>
          </cell>
        </row>
        <row r="29">
          <cell r="J29">
            <v>1877.1679999999999</v>
          </cell>
          <cell r="K29">
            <v>1888.6980000000001</v>
          </cell>
          <cell r="L29">
            <v>1892.4089999999999</v>
          </cell>
          <cell r="M29">
            <v>1899.153</v>
          </cell>
          <cell r="N29">
            <v>1899.8339999999998</v>
          </cell>
          <cell r="O29">
            <v>2018.7090000000001</v>
          </cell>
          <cell r="P29">
            <v>2207.9319999999998</v>
          </cell>
          <cell r="Q29">
            <v>2351</v>
          </cell>
          <cell r="R29">
            <v>2854.4</v>
          </cell>
          <cell r="S29">
            <v>3157</v>
          </cell>
          <cell r="T29">
            <v>3609</v>
          </cell>
          <cell r="U29">
            <v>4248.2</v>
          </cell>
          <cell r="V29">
            <v>5611</v>
          </cell>
        </row>
        <row r="31">
          <cell r="B31" t="str">
            <v>HIGH MARKET MCFe VALUE ($/MCFe)</v>
          </cell>
          <cell r="J31">
            <v>0.85208782591648702</v>
          </cell>
          <cell r="K31">
            <v>1.2312754606612595</v>
          </cell>
          <cell r="L31">
            <v>1.026537075230566</v>
          </cell>
          <cell r="M31">
            <v>1.3125682870205824</v>
          </cell>
          <cell r="N31">
            <v>1.3304941379088913</v>
          </cell>
          <cell r="O31">
            <v>1.1128498461145218</v>
          </cell>
          <cell r="P31">
            <v>1.106801069960488</v>
          </cell>
          <cell r="Q31">
            <v>1.5108566567418122</v>
          </cell>
          <cell r="R31">
            <v>1.3945666339686098</v>
          </cell>
          <cell r="S31">
            <v>1.2148877494456762</v>
          </cell>
          <cell r="T31">
            <v>1.3297350027708508</v>
          </cell>
          <cell r="U31">
            <v>1.3001534179181771</v>
          </cell>
          <cell r="V31">
            <v>1.2481224380680807</v>
          </cell>
          <cell r="W31">
            <v>1.2723580198742761</v>
          </cell>
        </row>
        <row r="32">
          <cell r="B32" t="str">
            <v>LOW MARKET MCFe VALUE ($/MCFe)</v>
          </cell>
          <cell r="J32">
            <v>0.73160713372484509</v>
          </cell>
          <cell r="K32">
            <v>0.80356679575029988</v>
          </cell>
          <cell r="L32">
            <v>0.86166785298526916</v>
          </cell>
          <cell r="M32">
            <v>0.92776516689282018</v>
          </cell>
          <cell r="N32">
            <v>1.0166509284495384</v>
          </cell>
          <cell r="O32">
            <v>0.79612514730949335</v>
          </cell>
          <cell r="P32">
            <v>0.74806606362877126</v>
          </cell>
          <cell r="Q32">
            <v>0.87535516801361124</v>
          </cell>
          <cell r="R32">
            <v>0.96221657791479798</v>
          </cell>
          <cell r="S32">
            <v>0.86610924136838763</v>
          </cell>
          <cell r="T32">
            <v>0.96634919645331119</v>
          </cell>
          <cell r="U32">
            <v>0.93523415799632781</v>
          </cell>
          <cell r="V32">
            <v>0.81752125289609701</v>
          </cell>
          <cell r="W32">
            <v>0.83768771639619133</v>
          </cell>
        </row>
        <row r="34">
          <cell r="B34" t="str">
            <v>BALANCE SHEET ITEMS</v>
          </cell>
        </row>
        <row r="35">
          <cell r="B35" t="str">
            <v>CASH &amp; EQUIVALENTS</v>
          </cell>
          <cell r="E35">
            <v>4.4000000000000004</v>
          </cell>
          <cell r="F35">
            <v>17.600000000000001</v>
          </cell>
          <cell r="G35">
            <v>3.8</v>
          </cell>
          <cell r="H35">
            <v>4.3</v>
          </cell>
          <cell r="I35">
            <v>2.9</v>
          </cell>
          <cell r="J35">
            <v>10.343</v>
          </cell>
          <cell r="K35">
            <v>7.2240000000000002</v>
          </cell>
          <cell r="L35">
            <v>6.2720000000000002</v>
          </cell>
          <cell r="M35">
            <v>9.452</v>
          </cell>
          <cell r="N35">
            <v>13.007999999999999</v>
          </cell>
          <cell r="O35">
            <v>14.983000000000001</v>
          </cell>
          <cell r="P35">
            <v>14.833</v>
          </cell>
          <cell r="Q35">
            <v>17.798999999999999</v>
          </cell>
          <cell r="R35">
            <v>6.53</v>
          </cell>
          <cell r="S35">
            <v>17.09</v>
          </cell>
          <cell r="T35">
            <v>14.601000000000001</v>
          </cell>
          <cell r="U35">
            <v>8.907</v>
          </cell>
          <cell r="V35">
            <v>8.907</v>
          </cell>
          <cell r="W35">
            <v>8.907</v>
          </cell>
        </row>
        <row r="36">
          <cell r="B36" t="str">
            <v>CURRENT PORTION OF LTD</v>
          </cell>
          <cell r="E36">
            <v>2.6</v>
          </cell>
          <cell r="F36">
            <v>6</v>
          </cell>
          <cell r="G36">
            <v>7.2</v>
          </cell>
          <cell r="H36">
            <v>7.6</v>
          </cell>
          <cell r="I36">
            <v>7.6</v>
          </cell>
          <cell r="J36">
            <v>0</v>
          </cell>
          <cell r="K36">
            <v>0</v>
          </cell>
          <cell r="L36">
            <v>0</v>
          </cell>
          <cell r="M36">
            <v>0.22</v>
          </cell>
          <cell r="N36">
            <v>0.23799999999999999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</row>
        <row r="37">
          <cell r="B37" t="str">
            <v>NOTES PAYABLE</v>
          </cell>
          <cell r="E37">
            <v>11.5</v>
          </cell>
          <cell r="F37">
            <v>2.4</v>
          </cell>
          <cell r="G37">
            <v>0.8</v>
          </cell>
          <cell r="H37">
            <v>4.4000000000000004</v>
          </cell>
          <cell r="I37">
            <v>0</v>
          </cell>
          <cell r="J37">
            <v>0</v>
          </cell>
          <cell r="K37">
            <v>9.75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</row>
        <row r="38">
          <cell r="B38" t="str">
            <v>PREFERRED STOCK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200</v>
          </cell>
          <cell r="W38">
            <v>200</v>
          </cell>
        </row>
        <row r="39">
          <cell r="B39" t="str">
            <v>TOTAL LONG-TERM DEBT</v>
          </cell>
          <cell r="E39">
            <v>300</v>
          </cell>
          <cell r="F39">
            <v>362.2</v>
          </cell>
          <cell r="G39">
            <v>372.8</v>
          </cell>
          <cell r="H39">
            <v>387.5</v>
          </cell>
          <cell r="I39">
            <v>416.9</v>
          </cell>
          <cell r="J39">
            <v>485.15499999999997</v>
          </cell>
          <cell r="K39">
            <v>519.94399999999996</v>
          </cell>
          <cell r="L39">
            <v>492.9</v>
          </cell>
          <cell r="M39">
            <v>492.3</v>
          </cell>
          <cell r="N39">
            <v>427.113</v>
          </cell>
          <cell r="O39">
            <v>439.62799999999999</v>
          </cell>
          <cell r="P39">
            <v>647.16200000000003</v>
          </cell>
          <cell r="Q39">
            <v>609.72299999999996</v>
          </cell>
          <cell r="R39">
            <v>629.28099999999995</v>
          </cell>
          <cell r="S39">
            <v>674</v>
          </cell>
          <cell r="T39">
            <v>731.04899999999998</v>
          </cell>
          <cell r="U39">
            <v>956</v>
          </cell>
          <cell r="V39">
            <v>1425.4</v>
          </cell>
          <cell r="W39">
            <v>1560.7619999999999</v>
          </cell>
        </row>
        <row r="41">
          <cell r="B41" t="str">
            <v>HIGH MARKET CAP*</v>
          </cell>
          <cell r="E41">
            <v>309.70000000000005</v>
          </cell>
          <cell r="F41">
            <v>352.99999999999994</v>
          </cell>
          <cell r="G41">
            <v>377</v>
          </cell>
          <cell r="H41">
            <v>395.2</v>
          </cell>
          <cell r="I41">
            <v>421.6</v>
          </cell>
          <cell r="J41">
            <v>1599.5119999999999</v>
          </cell>
          <cell r="K41">
            <v>2325.5075000000002</v>
          </cell>
          <cell r="L41">
            <v>1942.6279999999999</v>
          </cell>
          <cell r="M41">
            <v>2492.768</v>
          </cell>
          <cell r="N41">
            <v>2527.7179999999998</v>
          </cell>
          <cell r="O41">
            <v>2246.52</v>
          </cell>
          <cell r="P41">
            <v>2443.7415000000001</v>
          </cell>
          <cell r="Q41">
            <v>3552.0240000000003</v>
          </cell>
          <cell r="R41">
            <v>3980.6509999999998</v>
          </cell>
          <cell r="S41">
            <v>3835.4006249999998</v>
          </cell>
          <cell r="T41">
            <v>4799.0136250000005</v>
          </cell>
          <cell r="U41">
            <v>5523.3117499999998</v>
          </cell>
          <cell r="V41">
            <v>7003.2150000000011</v>
          </cell>
          <cell r="W41">
            <v>7353.3768749999999</v>
          </cell>
        </row>
        <row r="42">
          <cell r="B42" t="str">
            <v>LOW MARKET CAP*</v>
          </cell>
          <cell r="E42">
            <v>309.70000000000005</v>
          </cell>
          <cell r="F42">
            <v>352.99999999999994</v>
          </cell>
          <cell r="G42">
            <v>377</v>
          </cell>
          <cell r="H42">
            <v>395.2</v>
          </cell>
          <cell r="I42">
            <v>421.6</v>
          </cell>
          <cell r="J42">
            <v>1373.3495</v>
          </cell>
          <cell r="K42">
            <v>1517.6949999999999</v>
          </cell>
          <cell r="L42">
            <v>1630.6279999999999</v>
          </cell>
          <cell r="M42">
            <v>1761.9680000000001</v>
          </cell>
          <cell r="N42">
            <v>1931.4680000000001</v>
          </cell>
          <cell r="O42">
            <v>1607.145</v>
          </cell>
          <cell r="P42">
            <v>1651.6790000000001</v>
          </cell>
          <cell r="Q42">
            <v>2057.96</v>
          </cell>
          <cell r="R42">
            <v>2746.5509999999995</v>
          </cell>
          <cell r="S42">
            <v>2734.3068749999998</v>
          </cell>
          <cell r="T42">
            <v>3487.5542500000001</v>
          </cell>
          <cell r="U42">
            <v>3973.0617499999998</v>
          </cell>
          <cell r="V42">
            <v>4587.11175</v>
          </cell>
          <cell r="W42">
            <v>4841.2737500000003</v>
          </cell>
        </row>
        <row r="44">
          <cell r="B44" t="str">
            <v>EBITD,EPS,CASHFLOW STATISTICS</v>
          </cell>
        </row>
        <row r="45">
          <cell r="B45" t="str">
            <v>EBITD</v>
          </cell>
          <cell r="E45">
            <v>59.9</v>
          </cell>
          <cell r="F45">
            <v>193.1</v>
          </cell>
          <cell r="G45">
            <v>175.2</v>
          </cell>
          <cell r="H45">
            <v>206.8</v>
          </cell>
          <cell r="I45">
            <v>193.2</v>
          </cell>
          <cell r="J45">
            <v>124.67100000000001</v>
          </cell>
          <cell r="K45">
            <v>141.19999999999999</v>
          </cell>
          <cell r="L45">
            <v>232.8</v>
          </cell>
          <cell r="M45">
            <v>248.4</v>
          </cell>
          <cell r="N45">
            <v>250.1</v>
          </cell>
          <cell r="O45">
            <v>194.1</v>
          </cell>
          <cell r="P45">
            <v>211.5</v>
          </cell>
          <cell r="Q45">
            <v>278.40517125000002</v>
          </cell>
          <cell r="R45">
            <v>258.32235199999997</v>
          </cell>
          <cell r="S45">
            <v>211.95894000000001</v>
          </cell>
          <cell r="T45">
            <v>325.35556999999994</v>
          </cell>
          <cell r="U45">
            <v>382.72206399999993</v>
          </cell>
          <cell r="V45">
            <v>239.931541589928</v>
          </cell>
          <cell r="W45">
            <v>359.88422414076126</v>
          </cell>
        </row>
        <row r="46">
          <cell r="B46" t="str">
            <v>NET INCOME</v>
          </cell>
          <cell r="E46">
            <v>60.3</v>
          </cell>
          <cell r="F46">
            <v>54.2</v>
          </cell>
          <cell r="G46">
            <v>41.4</v>
          </cell>
          <cell r="H46">
            <v>55.7</v>
          </cell>
          <cell r="I46">
            <v>51.088000000000001</v>
          </cell>
          <cell r="J46">
            <v>10.090999999999999</v>
          </cell>
          <cell r="K46">
            <v>9.5</v>
          </cell>
          <cell r="L46">
            <v>39.774000000000001</v>
          </cell>
          <cell r="M46">
            <v>48.3</v>
          </cell>
          <cell r="N46">
            <v>55.222000000000001</v>
          </cell>
          <cell r="O46">
            <v>32.299999999999997</v>
          </cell>
          <cell r="P46">
            <v>26.5</v>
          </cell>
          <cell r="Q46">
            <v>51.003171250000001</v>
          </cell>
          <cell r="R46">
            <v>46.614351999999975</v>
          </cell>
          <cell r="S46">
            <v>21.258939999999996</v>
          </cell>
          <cell r="T46">
            <v>90.525768799999952</v>
          </cell>
          <cell r="U46">
            <v>107.23183199999994</v>
          </cell>
          <cell r="V46">
            <v>-4.7761000000000102</v>
          </cell>
          <cell r="W46">
            <v>21.333818850761272</v>
          </cell>
        </row>
        <row r="47">
          <cell r="B47" t="str">
            <v>DD&amp;A, Explor Exp &amp; Other Non Cash Exp</v>
          </cell>
          <cell r="E47">
            <v>66.7</v>
          </cell>
          <cell r="F47">
            <v>64.400000000000006</v>
          </cell>
          <cell r="G47">
            <v>60.2</v>
          </cell>
          <cell r="H47">
            <v>72.3</v>
          </cell>
          <cell r="I47">
            <v>76.436999999999998</v>
          </cell>
          <cell r="J47">
            <v>75.059999999999988</v>
          </cell>
          <cell r="K47">
            <v>87.9</v>
          </cell>
          <cell r="L47">
            <v>144.4</v>
          </cell>
          <cell r="M47">
            <v>152.69999999999999</v>
          </cell>
          <cell r="N47">
            <v>147.30000000000001</v>
          </cell>
          <cell r="O47">
            <v>130.80000000000001</v>
          </cell>
          <cell r="P47">
            <v>161.5</v>
          </cell>
          <cell r="Q47">
            <v>209.71099999999998</v>
          </cell>
          <cell r="R47">
            <v>194.06899999999999</v>
          </cell>
          <cell r="S47">
            <v>170.32</v>
          </cell>
          <cell r="T47">
            <v>206.31975401999998</v>
          </cell>
          <cell r="U47">
            <v>225.97499999999999</v>
          </cell>
          <cell r="V47">
            <v>180.40199999999999</v>
          </cell>
          <cell r="W47">
            <v>245.6846757038</v>
          </cell>
        </row>
        <row r="48">
          <cell r="B48" t="str">
            <v>AFTER-TAX CASHFLOW/SHARE</v>
          </cell>
          <cell r="E48">
            <v>3.3236907730673315</v>
          </cell>
          <cell r="F48">
            <v>2.8926829268292686</v>
          </cell>
          <cell r="G48">
            <v>2.424821002386635</v>
          </cell>
          <cell r="H48">
            <v>2.9767441860465116</v>
          </cell>
          <cell r="I48">
            <v>2.8917233560090705</v>
          </cell>
          <cell r="J48">
            <v>0.8706646216768914</v>
          </cell>
          <cell r="K48">
            <v>0.64197292069632494</v>
          </cell>
          <cell r="L48">
            <v>1.4709038461538462</v>
          </cell>
          <cell r="M48">
            <v>1.6252873563218388</v>
          </cell>
          <cell r="N48">
            <v>1.6105849056603776</v>
          </cell>
          <cell r="O48">
            <v>1.1827272727272728</v>
          </cell>
          <cell r="P48">
            <v>1.405989110707804</v>
          </cell>
          <cell r="Q48">
            <v>1.9789700284090908</v>
          </cell>
          <cell r="R48">
            <v>1.79654487804878</v>
          </cell>
          <cell r="S48">
            <v>1.3311531715623668</v>
          </cell>
          <cell r="T48">
            <v>2.2039689820328969</v>
          </cell>
          <cell r="U48">
            <v>2.4941872704402512</v>
          </cell>
          <cell r="V48">
            <v>1.29</v>
          </cell>
          <cell r="W48">
            <v>1.9391427562953034</v>
          </cell>
        </row>
        <row r="49">
          <cell r="B49" t="str">
            <v>EBITD/SHARE</v>
          </cell>
          <cell r="E49">
            <v>1.4937655860349126</v>
          </cell>
          <cell r="F49">
            <v>4.7097560975609758</v>
          </cell>
          <cell r="G49">
            <v>4.1813842482100236</v>
          </cell>
          <cell r="H49">
            <v>4.8093023255813954</v>
          </cell>
          <cell r="I49">
            <v>4.3809523809523805</v>
          </cell>
          <cell r="J49">
            <v>1.2747546012269939</v>
          </cell>
          <cell r="K49">
            <v>1.3655705996131526</v>
          </cell>
          <cell r="L49">
            <v>2.2384615384615385</v>
          </cell>
          <cell r="M49">
            <v>2.3793103448275863</v>
          </cell>
          <cell r="N49">
            <v>2.3594339622641507</v>
          </cell>
          <cell r="O49">
            <v>1.7645454545454544</v>
          </cell>
          <cell r="P49">
            <v>1.9192377495462793</v>
          </cell>
          <cell r="Q49">
            <v>2.4336116368006993</v>
          </cell>
          <cell r="R49">
            <v>2.2501947038327526</v>
          </cell>
          <cell r="S49">
            <v>1.8046738186462326</v>
          </cell>
          <cell r="T49">
            <v>2.7444586250527196</v>
          </cell>
          <cell r="U49">
            <v>3.209409341719077</v>
          </cell>
          <cell r="V49">
            <v>1.999013052196859</v>
          </cell>
          <cell r="W49">
            <v>2.8831101473323555</v>
          </cell>
        </row>
        <row r="50">
          <cell r="B50" t="str">
            <v>EARNINGS PER SHARE</v>
          </cell>
          <cell r="E50">
            <v>1.5037406483790523</v>
          </cell>
          <cell r="F50">
            <v>1.3219512195121952</v>
          </cell>
          <cell r="G50">
            <v>0.9880668257756563</v>
          </cell>
          <cell r="H50">
            <v>1.2953488372093025</v>
          </cell>
          <cell r="I50">
            <v>1.1584580498866213</v>
          </cell>
          <cell r="J50">
            <v>0.1031799591002045</v>
          </cell>
          <cell r="K50">
            <v>9.187620889748549E-2</v>
          </cell>
          <cell r="L50">
            <v>0.38244230769230769</v>
          </cell>
          <cell r="M50">
            <v>0.4626436781609195</v>
          </cell>
          <cell r="N50">
            <v>0.52096226415094338</v>
          </cell>
          <cell r="O50">
            <v>0.29363636363636358</v>
          </cell>
          <cell r="P50">
            <v>0.24047186932849365</v>
          </cell>
          <cell r="Q50">
            <v>0.44583191652097903</v>
          </cell>
          <cell r="R50">
            <v>0.40604836236933778</v>
          </cell>
          <cell r="S50">
            <v>0.36200834397616</v>
          </cell>
          <cell r="T50">
            <v>0.76360834078447859</v>
          </cell>
          <cell r="U50">
            <v>0.89921871698113154</v>
          </cell>
          <cell r="V50">
            <v>-3.9792543220162548E-2</v>
          </cell>
          <cell r="W50">
            <v>0.17090982456047485</v>
          </cell>
        </row>
        <row r="52">
          <cell r="B52" t="str">
            <v>EBITD,EPS,CASHFLOW MULTIPLES</v>
          </cell>
        </row>
        <row r="53">
          <cell r="B53" t="str">
            <v>HIGH PRICE/AT-CASHFLOW</v>
          </cell>
          <cell r="J53">
            <v>13.208300548437485</v>
          </cell>
          <cell r="K53">
            <v>27.162360650798433</v>
          </cell>
          <cell r="L53">
            <v>9.5179572999333217</v>
          </cell>
          <cell r="M53">
            <v>11.844059405940596</v>
          </cell>
          <cell r="N53">
            <v>12.379043122737547</v>
          </cell>
          <cell r="O53">
            <v>14.003651037663335</v>
          </cell>
          <cell r="P53">
            <v>11.69105782883697</v>
          </cell>
          <cell r="Q53">
            <v>13.074983263289294</v>
          </cell>
          <cell r="R53">
            <v>16.281252061884647</v>
          </cell>
          <cell r="S53">
            <v>18.271236574036177</v>
          </cell>
          <cell r="T53">
            <v>15.625219901341596</v>
          </cell>
          <cell r="U53">
            <v>15.385773335787411</v>
          </cell>
          <cell r="V53">
            <v>34.790697674418603</v>
          </cell>
          <cell r="W53">
            <v>23.141669098015694</v>
          </cell>
        </row>
        <row r="54">
          <cell r="B54" t="str">
            <v>LOW PRICE/AT-CASHFLOW</v>
          </cell>
          <cell r="J54">
            <v>10.552283590327773</v>
          </cell>
          <cell r="K54">
            <v>14.992844230189815</v>
          </cell>
          <cell r="L54">
            <v>7.4783950213761816</v>
          </cell>
          <cell r="M54">
            <v>7.5371287128712883</v>
          </cell>
          <cell r="N54">
            <v>8.8865231194573617</v>
          </cell>
          <cell r="O54">
            <v>9.0891621829362013</v>
          </cell>
          <cell r="P54">
            <v>6.5789983219310706</v>
          </cell>
          <cell r="Q54">
            <v>6.4755907446976728</v>
          </cell>
          <cell r="R54">
            <v>10.297544039140716</v>
          </cell>
          <cell r="S54">
            <v>11.941708892499395</v>
          </cell>
          <cell r="T54">
            <v>10.605866139930594</v>
          </cell>
          <cell r="U54">
            <v>10.173654681318711</v>
          </cell>
          <cell r="V54">
            <v>19.186046511627907</v>
          </cell>
          <cell r="W54">
            <v>12.763371814504477</v>
          </cell>
        </row>
        <row r="55">
          <cell r="B55" t="str">
            <v>HIGH MARKET CAP/EBITD</v>
          </cell>
          <cell r="J55">
            <v>12.829864202581193</v>
          </cell>
          <cell r="K55">
            <v>16.469599858356943</v>
          </cell>
          <cell r="L55">
            <v>8.3446219931271468</v>
          </cell>
          <cell r="M55">
            <v>10.035297906602255</v>
          </cell>
          <cell r="N55">
            <v>10.106829268292683</v>
          </cell>
          <cell r="O55">
            <v>11.574034003091191</v>
          </cell>
          <cell r="P55">
            <v>11.554333333333334</v>
          </cell>
          <cell r="Q55">
            <v>12.758469909347994</v>
          </cell>
          <cell r="R55">
            <v>15.409626651277934</v>
          </cell>
          <cell r="S55">
            <v>18.095017011313605</v>
          </cell>
          <cell r="T55">
            <v>14.750058297757132</v>
          </cell>
          <cell r="U55">
            <v>14.431652286448792</v>
          </cell>
          <cell r="V55">
            <v>29.188388294396667</v>
          </cell>
          <cell r="W55">
            <v>20.432617996958594</v>
          </cell>
        </row>
        <row r="56">
          <cell r="B56" t="str">
            <v>LOW MARKET CAP/EBITD</v>
          </cell>
          <cell r="J56">
            <v>11.015789558116964</v>
          </cell>
          <cell r="K56">
            <v>10.748548158640228</v>
          </cell>
          <cell r="L56">
            <v>7.0044158075601368</v>
          </cell>
          <cell r="M56">
            <v>7.0932689210950084</v>
          </cell>
          <cell r="N56">
            <v>7.7227828868452626</v>
          </cell>
          <cell r="O56">
            <v>8.2799845440494604</v>
          </cell>
          <cell r="P56">
            <v>7.8093569739952731</v>
          </cell>
          <cell r="Q56">
            <v>7.3919603962816121</v>
          </cell>
          <cell r="R56">
            <v>10.632262282901479</v>
          </cell>
          <cell r="S56">
            <v>12.900172434340346</v>
          </cell>
          <cell r="T56">
            <v>10.719208679906727</v>
          </cell>
          <cell r="U56">
            <v>10.381062718140026</v>
          </cell>
          <cell r="V56">
            <v>19.118419027373768</v>
          </cell>
          <cell r="W56">
            <v>13.452308896169997</v>
          </cell>
        </row>
        <row r="57">
          <cell r="B57" t="str">
            <v>HIGH PRICE/EARNINGS</v>
          </cell>
          <cell r="J57">
            <v>111.45575265087702</v>
          </cell>
          <cell r="K57">
            <v>189.79342105263157</v>
          </cell>
          <cell r="L57">
            <v>36.606828581485395</v>
          </cell>
          <cell r="M57">
            <v>41.608695652173914</v>
          </cell>
          <cell r="N57">
            <v>38.270526239542214</v>
          </cell>
          <cell r="O57">
            <v>56.404798761609918</v>
          </cell>
          <cell r="P57">
            <v>68.355188679245288</v>
          </cell>
          <cell r="Q57">
            <v>58.037567614974527</v>
          </cell>
          <cell r="R57">
            <v>72.035754138553756</v>
          </cell>
          <cell r="S57">
            <v>149.51312835917503</v>
          </cell>
          <cell r="T57">
            <v>45.098381147357934</v>
          </cell>
          <cell r="U57">
            <v>42.675935537499747</v>
          </cell>
          <cell r="V57" t="str">
            <v>NM</v>
          </cell>
          <cell r="W57">
            <v>262.56536226284288</v>
          </cell>
        </row>
        <row r="58">
          <cell r="B58" t="str">
            <v>LOW PRICE/EARNINGS</v>
          </cell>
          <cell r="J58">
            <v>89.043454563472395</v>
          </cell>
          <cell r="K58">
            <v>104.76052631578948</v>
          </cell>
          <cell r="L58">
            <v>28.762508171167095</v>
          </cell>
          <cell r="M58">
            <v>26.478260869565219</v>
          </cell>
          <cell r="N58">
            <v>27.473199087320271</v>
          </cell>
          <cell r="O58">
            <v>36.609907120743038</v>
          </cell>
          <cell r="P58">
            <v>38.466037735849056</v>
          </cell>
          <cell r="Q58">
            <v>28.744016579165162</v>
          </cell>
          <cell r="R58">
            <v>45.56107526711947</v>
          </cell>
          <cell r="S58">
            <v>97.718742091562433</v>
          </cell>
          <cell r="T58">
            <v>30.611242375883606</v>
          </cell>
          <cell r="U58">
            <v>28.218941088314168</v>
          </cell>
          <cell r="V58" t="str">
            <v>NM</v>
          </cell>
          <cell r="W58">
            <v>144.81320815610832</v>
          </cell>
        </row>
        <row r="60">
          <cell r="B60" t="str">
            <v>BOOK VALUE/MULTIPLES</v>
          </cell>
        </row>
        <row r="61">
          <cell r="B61" t="str">
            <v>EQUITY VALUE</v>
          </cell>
          <cell r="F61">
            <v>337.5</v>
          </cell>
          <cell r="G61">
            <v>370.03199999999998</v>
          </cell>
          <cell r="H61">
            <v>416.34699999999998</v>
          </cell>
          <cell r="I61">
            <v>444.24099999999999</v>
          </cell>
          <cell r="J61">
            <v>431.80900000000003</v>
          </cell>
          <cell r="K61">
            <v>427.12299999999999</v>
          </cell>
          <cell r="L61">
            <v>455.238</v>
          </cell>
          <cell r="M61">
            <v>495.26100000000002</v>
          </cell>
          <cell r="N61">
            <v>617.96900000000005</v>
          </cell>
          <cell r="O61">
            <v>640.51599999999996</v>
          </cell>
          <cell r="P61">
            <v>667.01599999999996</v>
          </cell>
          <cell r="Q61">
            <v>852</v>
          </cell>
          <cell r="R61">
            <v>900</v>
          </cell>
          <cell r="S61">
            <v>921.25893999999994</v>
          </cell>
          <cell r="T61">
            <v>990.52576879999992</v>
          </cell>
          <cell r="U61">
            <v>1028.4907719999999</v>
          </cell>
          <cell r="V61">
            <v>985.74966879999988</v>
          </cell>
          <cell r="W61">
            <v>1049.8245908507611</v>
          </cell>
        </row>
        <row r="62">
          <cell r="B62" t="str">
            <v>EQUITY VALUE/SHARE</v>
          </cell>
          <cell r="F62">
            <v>8.2317073170731714</v>
          </cell>
          <cell r="G62">
            <v>8.8313126491646781</v>
          </cell>
          <cell r="H62">
            <v>9.6824883720930224</v>
          </cell>
          <cell r="I62">
            <v>10.073492063492063</v>
          </cell>
          <cell r="J62">
            <v>4.415224948875256</v>
          </cell>
          <cell r="K62">
            <v>4.1307833655705997</v>
          </cell>
          <cell r="L62">
            <v>4.3772884615384617</v>
          </cell>
          <cell r="M62">
            <v>4.7438793103448278</v>
          </cell>
          <cell r="N62">
            <v>5.8298962264150944</v>
          </cell>
          <cell r="O62">
            <v>5.8228727272727268</v>
          </cell>
          <cell r="P62">
            <v>6.0527767695099817</v>
          </cell>
          <cell r="Q62">
            <v>7.4475524475524475</v>
          </cell>
          <cell r="R62">
            <v>7.8397212543554007</v>
          </cell>
          <cell r="S62">
            <v>15.68767884206045</v>
          </cell>
          <cell r="T62">
            <v>8.3553417865879354</v>
          </cell>
          <cell r="U62">
            <v>8.6246605618448626</v>
          </cell>
          <cell r="V62">
            <v>8.2128695588419074</v>
          </cell>
          <cell r="W62">
            <v>8.4103712465512608</v>
          </cell>
        </row>
        <row r="63">
          <cell r="B63" t="str">
            <v>HIGH PRICE TO BOOK</v>
          </cell>
          <cell r="J63">
            <v>2.6046238035798233</v>
          </cell>
          <cell r="K63">
            <v>4.2213542703155769</v>
          </cell>
          <cell r="L63">
            <v>3.1983270289387087</v>
          </cell>
          <cell r="M63">
            <v>4.0578604008795365</v>
          </cell>
          <cell r="N63">
            <v>3.4198721942362802</v>
          </cell>
          <cell r="O63">
            <v>2.8443864009642228</v>
          </cell>
          <cell r="P63">
            <v>2.7156957254398697</v>
          </cell>
          <cell r="Q63">
            <v>3.4742957746478873</v>
          </cell>
          <cell r="R63">
            <v>3.7309999999999999</v>
          </cell>
          <cell r="S63">
            <v>3.4501598703617469</v>
          </cell>
          <cell r="T63">
            <v>4.1216147561167835</v>
          </cell>
          <cell r="U63">
            <v>4.4494504711025256</v>
          </cell>
          <cell r="V63">
            <v>5.4645942783399706</v>
          </cell>
          <cell r="W63">
            <v>5.3356740962417497</v>
          </cell>
        </row>
        <row r="64">
          <cell r="B64" t="str">
            <v>LOW PRICE/BOOK</v>
          </cell>
          <cell r="J64">
            <v>2.0808679300338806</v>
          </cell>
          <cell r="K64">
            <v>2.3300665147978452</v>
          </cell>
          <cell r="L64">
            <v>2.5129712370232711</v>
          </cell>
          <cell r="M64">
            <v>2.5822748005597047</v>
          </cell>
          <cell r="N64">
            <v>2.4550179701570789</v>
          </cell>
          <cell r="O64">
            <v>1.8461677772296088</v>
          </cell>
          <cell r="P64">
            <v>1.528224210513691</v>
          </cell>
          <cell r="Q64">
            <v>1.7206995305164319</v>
          </cell>
          <cell r="R64">
            <v>2.359777777777778</v>
          </cell>
          <cell r="S64">
            <v>2.2549543725458991</v>
          </cell>
          <cell r="T64">
            <v>2.7976114678542232</v>
          </cell>
          <cell r="U64">
            <v>2.9421447740515072</v>
          </cell>
          <cell r="V64">
            <v>3.0135630211433657</v>
          </cell>
          <cell r="W64">
            <v>2.9427951839996283</v>
          </cell>
        </row>
        <row r="66">
          <cell r="B66" t="str">
            <v>INTEREST COVERAGE</v>
          </cell>
        </row>
        <row r="67">
          <cell r="B67" t="str">
            <v>INTEREST</v>
          </cell>
          <cell r="E67">
            <v>26.9</v>
          </cell>
          <cell r="F67">
            <v>35.299999999999997</v>
          </cell>
          <cell r="G67">
            <v>23.2</v>
          </cell>
          <cell r="H67">
            <v>31.6</v>
          </cell>
          <cell r="I67">
            <v>31.6</v>
          </cell>
          <cell r="J67">
            <v>36.6</v>
          </cell>
          <cell r="K67">
            <v>44.5</v>
          </cell>
          <cell r="L67">
            <v>50.7</v>
          </cell>
          <cell r="M67">
            <v>43.7</v>
          </cell>
          <cell r="N67">
            <v>35.200000000000003</v>
          </cell>
          <cell r="O67">
            <v>27.2</v>
          </cell>
          <cell r="P67">
            <v>26.7</v>
          </cell>
          <cell r="Q67">
            <v>29.356000000000002</v>
          </cell>
          <cell r="R67">
            <v>26.114000000000001</v>
          </cell>
          <cell r="S67">
            <v>36.6</v>
          </cell>
          <cell r="T67">
            <v>38.5</v>
          </cell>
          <cell r="U67">
            <v>40.900000000000006</v>
          </cell>
          <cell r="V67">
            <v>57.800000000000004</v>
          </cell>
          <cell r="W67">
            <v>72.099999999999994</v>
          </cell>
        </row>
        <row r="68">
          <cell r="B68" t="str">
            <v>EBITD COVERAGE</v>
          </cell>
          <cell r="E68">
            <v>2.2267657992565058</v>
          </cell>
          <cell r="F68">
            <v>5.4702549575070822</v>
          </cell>
          <cell r="G68">
            <v>7.5517241379310338</v>
          </cell>
          <cell r="H68">
            <v>6.5443037974683547</v>
          </cell>
          <cell r="I68">
            <v>6.1139240506329111</v>
          </cell>
          <cell r="J68">
            <v>3.406311475409836</v>
          </cell>
          <cell r="K68">
            <v>3.1730337078651685</v>
          </cell>
          <cell r="L68">
            <v>4.5917159763313613</v>
          </cell>
          <cell r="M68">
            <v>5.6842105263157894</v>
          </cell>
          <cell r="N68">
            <v>7.1051136363636358</v>
          </cell>
          <cell r="O68">
            <v>7.1360294117647056</v>
          </cell>
          <cell r="P68">
            <v>7.9213483146067416</v>
          </cell>
          <cell r="Q68">
            <v>9.4837570258209567</v>
          </cell>
          <cell r="R68">
            <v>9.8921020142452303</v>
          </cell>
          <cell r="S68">
            <v>5.7912278688524594</v>
          </cell>
          <cell r="T68">
            <v>8.4507940259740248</v>
          </cell>
          <cell r="U68">
            <v>9.3575076772616104</v>
          </cell>
          <cell r="V68">
            <v>4.1510647333897577</v>
          </cell>
          <cell r="W68">
            <v>4.9914594194280344</v>
          </cell>
        </row>
        <row r="70">
          <cell r="B70" t="str">
            <v>CAPITALIZATION RATIO</v>
          </cell>
        </row>
        <row r="71">
          <cell r="B71" t="str">
            <v>TOTAL DEBT/CAP</v>
          </cell>
          <cell r="F71">
            <v>0.53671252715423601</v>
          </cell>
          <cell r="G71">
            <v>0.50975058632026482</v>
          </cell>
          <cell r="H71">
            <v>0.49226970218607174</v>
          </cell>
          <cell r="I71">
            <v>0.49027477331288305</v>
          </cell>
          <cell r="J71">
            <v>0.53512437942646374</v>
          </cell>
          <cell r="K71">
            <v>0.55781160981599487</v>
          </cell>
          <cell r="L71">
            <v>0.52332285059658168</v>
          </cell>
          <cell r="M71">
            <v>0.5034298277982151</v>
          </cell>
          <cell r="N71">
            <v>0.41397465107448128</v>
          </cell>
          <cell r="O71">
            <v>0.41273384962461068</v>
          </cell>
          <cell r="P71">
            <v>0.49806787265891661</v>
          </cell>
          <cell r="Q71">
            <v>0.42226806951058365</v>
          </cell>
          <cell r="R71">
            <v>0.4132527248381383</v>
          </cell>
          <cell r="S71">
            <v>0.42436405237548985</v>
          </cell>
          <cell r="T71">
            <v>0.42827195904359228</v>
          </cell>
          <cell r="U71">
            <v>0.48390759913571513</v>
          </cell>
          <cell r="V71">
            <v>0.5477582921416434</v>
          </cell>
          <cell r="W71">
            <v>0.55708083290354315</v>
          </cell>
        </row>
        <row r="72">
          <cell r="B72" t="str">
            <v>* MARKET CAP = MARKET EQUITY VALUE + ALL DEBT - CASH</v>
          </cell>
          <cell r="F72" t="str">
            <v>* Company Went Public in 1986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. Turnover"/>
      <sheetName val="YieldTrend"/>
      <sheetName val="ROE"/>
      <sheetName val="Sheet1"/>
      <sheetName val="Inv. Yield"/>
      <sheetName val="Owned Inv"/>
      <sheetName val="Sales vs. Inv."/>
      <sheetName val="NewStoreVol"/>
      <sheetName val="NewStoreVol (Sam's)"/>
      <sheetName val="Comp Yield (actual)"/>
      <sheetName val="Comp Yield (chart only)"/>
      <sheetName val="Pre-Tax vs. Inv. Yield"/>
      <sheetName val="SG&amp;A per store"/>
      <sheetName val="EBIT Per # Stores"/>
      <sheetName val="Sales~Assets"/>
      <sheetName val="ROIC"/>
      <sheetName val="ROIC-2"/>
      <sheetName val="ROIC vs. Inv. Yield"/>
      <sheetName val="GM % vs. Inv. Yield"/>
      <sheetName val="valuation (daily)"/>
      <sheetName val="valuation (qtly.)"/>
      <sheetName val="Int'l Sales"/>
      <sheetName val="Formula"/>
      <sheetName val="wmt vs target - comps"/>
      <sheetName val="wmt vs target - EPS growth"/>
      <sheetName val="salesavg sto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>
        <row r="1">
          <cell r="A1" t="str">
            <v>Wal-Mart Stores</v>
          </cell>
        </row>
        <row r="2">
          <cell r="B2" t="str">
            <v>Q4 1991</v>
          </cell>
        </row>
        <row r="3">
          <cell r="B3" t="str">
            <v>Q1 1992</v>
          </cell>
        </row>
        <row r="4">
          <cell r="B4" t="str">
            <v>Q2 1992</v>
          </cell>
        </row>
        <row r="5">
          <cell r="B5" t="str">
            <v>Q3 1992</v>
          </cell>
        </row>
        <row r="6">
          <cell r="B6" t="str">
            <v>Q4 1992</v>
          </cell>
        </row>
        <row r="7">
          <cell r="B7" t="str">
            <v>Q1 1993</v>
          </cell>
        </row>
        <row r="8">
          <cell r="B8" t="str">
            <v>Q2 1993</v>
          </cell>
        </row>
        <row r="9">
          <cell r="B9" t="str">
            <v>Q3 1993</v>
          </cell>
        </row>
        <row r="10">
          <cell r="B10" t="str">
            <v>Q4 1993</v>
          </cell>
        </row>
        <row r="11">
          <cell r="B11" t="str">
            <v>Q1 1994</v>
          </cell>
        </row>
        <row r="12">
          <cell r="B12" t="str">
            <v>Q2 1994</v>
          </cell>
        </row>
        <row r="13">
          <cell r="B13" t="str">
            <v>Q3 1994</v>
          </cell>
        </row>
        <row r="14">
          <cell r="B14" t="str">
            <v>Q4 1994</v>
          </cell>
        </row>
        <row r="15">
          <cell r="B15" t="str">
            <v>Q1 1995</v>
          </cell>
        </row>
        <row r="16">
          <cell r="B16" t="str">
            <v>Q2 1995</v>
          </cell>
        </row>
        <row r="17">
          <cell r="B17" t="str">
            <v>Q3 1995</v>
          </cell>
        </row>
        <row r="18">
          <cell r="B18" t="str">
            <v>Q4 1995</v>
          </cell>
        </row>
        <row r="19">
          <cell r="B19" t="str">
            <v>Q1 1996</v>
          </cell>
        </row>
        <row r="20">
          <cell r="B20" t="str">
            <v>Q2 1996</v>
          </cell>
        </row>
        <row r="21">
          <cell r="B21" t="str">
            <v>Q3 1996</v>
          </cell>
        </row>
        <row r="22">
          <cell r="B22" t="str">
            <v>Q4 1996</v>
          </cell>
        </row>
        <row r="23">
          <cell r="B23" t="str">
            <v>Q1 1997</v>
          </cell>
        </row>
      </sheetData>
      <sheetData sheetId="23"/>
      <sheetData sheetId="24"/>
      <sheetData sheetId="2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VS DFC"/>
    </sheetNames>
    <sheetDataSet>
      <sheetData sheetId="0">
        <row r="1">
          <cell r="A1" t="str">
            <v>CVS</v>
          </cell>
        </row>
        <row r="2">
          <cell r="A2" t="str">
            <v>Discounted Cash Flow Analysis - EBITDA Multiple Method</v>
          </cell>
        </row>
        <row r="3">
          <cell r="A3" t="str">
            <v>(dollars in millions)</v>
          </cell>
        </row>
        <row r="5">
          <cell r="E5" t="str">
            <v>Projected FYE December 31,</v>
          </cell>
        </row>
        <row r="6">
          <cell r="E6">
            <v>2001</v>
          </cell>
          <cell r="F6">
            <v>2002</v>
          </cell>
          <cell r="G6">
            <v>2003</v>
          </cell>
          <cell r="H6">
            <v>2004</v>
          </cell>
          <cell r="I6">
            <v>2005</v>
          </cell>
        </row>
        <row r="8">
          <cell r="A8" t="str">
            <v>Sales</v>
          </cell>
          <cell r="E8">
            <v>21811.975505999999</v>
          </cell>
          <cell r="F8">
            <v>23771.444900092003</v>
          </cell>
          <cell r="G8">
            <v>26029.732165600741</v>
          </cell>
          <cell r="H8">
            <v>0</v>
          </cell>
          <cell r="I8">
            <v>0</v>
          </cell>
        </row>
        <row r="9">
          <cell r="A9" t="str">
            <v>EBITDA</v>
          </cell>
          <cell r="E9">
            <v>1440.4655059999993</v>
          </cell>
          <cell r="F9">
            <v>1503.5342884439626</v>
          </cell>
          <cell r="G9">
            <v>1703.467904592344</v>
          </cell>
          <cell r="H9">
            <v>0</v>
          </cell>
          <cell r="I9">
            <v>0</v>
          </cell>
        </row>
        <row r="10">
          <cell r="A10" t="str">
            <v>Less:  Dep &amp; Amort</v>
          </cell>
          <cell r="E10">
            <v>-320.8</v>
          </cell>
          <cell r="F10">
            <v>-319.20000000000005</v>
          </cell>
          <cell r="G10">
            <v>-347.928</v>
          </cell>
          <cell r="H10">
            <v>0</v>
          </cell>
          <cell r="I10">
            <v>0</v>
          </cell>
        </row>
        <row r="11">
          <cell r="A11" t="str">
            <v>EBIT</v>
          </cell>
          <cell r="E11">
            <v>1119.6655059999994</v>
          </cell>
          <cell r="F11">
            <v>1184.3342884439626</v>
          </cell>
          <cell r="G11">
            <v>1355.5399045923441</v>
          </cell>
          <cell r="H11">
            <v>0</v>
          </cell>
          <cell r="I11">
            <v>0</v>
          </cell>
        </row>
        <row r="12">
          <cell r="A12" t="str">
            <v>Less: Taxes @</v>
          </cell>
          <cell r="B12">
            <v>0.35</v>
          </cell>
          <cell r="E12">
            <v>-891.10743005099994</v>
          </cell>
          <cell r="F12">
            <v>-852.0277159347562</v>
          </cell>
          <cell r="G12">
            <v>-965.53572801095811</v>
          </cell>
          <cell r="H12">
            <v>0</v>
          </cell>
          <cell r="I12">
            <v>0</v>
          </cell>
        </row>
        <row r="13">
          <cell r="A13" t="str">
            <v>Tax-effected EBIT</v>
          </cell>
          <cell r="E13">
            <v>228.55807594899943</v>
          </cell>
          <cell r="F13">
            <v>332.30657250920638</v>
          </cell>
          <cell r="G13">
            <v>390.00417658138599</v>
          </cell>
          <cell r="H13">
            <v>0</v>
          </cell>
          <cell r="I13">
            <v>0</v>
          </cell>
        </row>
        <row r="15">
          <cell r="A15" t="str">
            <v>Plus:  Depreciation</v>
          </cell>
          <cell r="E15">
            <v>320.8</v>
          </cell>
          <cell r="F15">
            <v>319.20000000000005</v>
          </cell>
          <cell r="G15">
            <v>347.928</v>
          </cell>
          <cell r="H15">
            <v>0</v>
          </cell>
          <cell r="I15">
            <v>0</v>
          </cell>
        </row>
        <row r="16">
          <cell r="A16" t="str">
            <v>Plus:  Deferred Taxes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 t="str">
            <v>Less:  Capital Expenditures</v>
          </cell>
          <cell r="E17">
            <v>-390.3</v>
          </cell>
          <cell r="F17">
            <v>-425</v>
          </cell>
          <cell r="G17">
            <v>-425</v>
          </cell>
          <cell r="H17">
            <v>0</v>
          </cell>
          <cell r="I17">
            <v>0</v>
          </cell>
        </row>
        <row r="18">
          <cell r="A18" t="str">
            <v>Less:  Changes in Working Capital</v>
          </cell>
          <cell r="E18">
            <v>-322.39999999999998</v>
          </cell>
          <cell r="F18">
            <v>-325</v>
          </cell>
          <cell r="G18">
            <v>-325</v>
          </cell>
          <cell r="H18">
            <v>0</v>
          </cell>
          <cell r="I18">
            <v>0</v>
          </cell>
        </row>
        <row r="20">
          <cell r="A20" t="str">
            <v>Free Cash Flow</v>
          </cell>
          <cell r="E20">
            <v>-163.3419240510006</v>
          </cell>
          <cell r="F20">
            <v>-98.493427490793579</v>
          </cell>
          <cell r="G20">
            <v>-12.067823418614012</v>
          </cell>
          <cell r="H20">
            <v>0</v>
          </cell>
          <cell r="I20">
            <v>0</v>
          </cell>
        </row>
        <row r="23">
          <cell r="C23" t="str">
            <v>A</v>
          </cell>
          <cell r="D23" t="str">
            <v>+</v>
          </cell>
          <cell r="E23" t="str">
            <v>B</v>
          </cell>
          <cell r="H23" t="str">
            <v>=</v>
          </cell>
          <cell r="I23" t="str">
            <v>C</v>
          </cell>
        </row>
        <row r="25">
          <cell r="C25" t="str">
            <v>Discounted (a)</v>
          </cell>
          <cell r="E25" t="str">
            <v xml:space="preserve">PV of Terminal Value as a </v>
          </cell>
        </row>
        <row r="26">
          <cell r="C26" t="str">
            <v>Cash Flows</v>
          </cell>
          <cell r="E26" t="str">
            <v xml:space="preserve">         Multiple of 2005 EBITDA (b)</v>
          </cell>
          <cell r="I26" t="str">
            <v>Firm Value</v>
          </cell>
        </row>
        <row r="27">
          <cell r="A27" t="str">
            <v>Discount Rate</v>
          </cell>
          <cell r="C27" t="str">
            <v>(2001-2005)</v>
          </cell>
          <cell r="E27">
            <v>4</v>
          </cell>
          <cell r="F27">
            <v>5</v>
          </cell>
          <cell r="G27">
            <v>6</v>
          </cell>
          <cell r="I27">
            <v>4</v>
          </cell>
          <cell r="J27">
            <v>5</v>
          </cell>
          <cell r="K27">
            <v>6</v>
          </cell>
        </row>
        <row r="29">
          <cell r="A29">
            <v>0.12</v>
          </cell>
          <cell r="C29">
            <v>-232.94899933511036</v>
          </cell>
          <cell r="E29">
            <v>0</v>
          </cell>
          <cell r="F29">
            <v>0</v>
          </cell>
          <cell r="G29">
            <v>0</v>
          </cell>
          <cell r="I29">
            <v>-232.94899933511036</v>
          </cell>
          <cell r="J29">
            <v>-232.94899933511036</v>
          </cell>
          <cell r="K29">
            <v>-232.94899933511036</v>
          </cell>
        </row>
        <row r="30">
          <cell r="A30">
            <v>0.125</v>
          </cell>
          <cell r="C30">
            <v>-231.49040687253208</v>
          </cell>
          <cell r="E30">
            <v>0</v>
          </cell>
          <cell r="F30">
            <v>0</v>
          </cell>
          <cell r="G30">
            <v>0</v>
          </cell>
          <cell r="I30">
            <v>-231.49040687253208</v>
          </cell>
          <cell r="J30">
            <v>-231.49040687253208</v>
          </cell>
          <cell r="K30">
            <v>-231.49040687253208</v>
          </cell>
        </row>
        <row r="31">
          <cell r="A31">
            <v>0.13</v>
          </cell>
          <cell r="C31">
            <v>-230.04878331851367</v>
          </cell>
          <cell r="E31">
            <v>0</v>
          </cell>
          <cell r="F31">
            <v>0</v>
          </cell>
          <cell r="G31">
            <v>0</v>
          </cell>
          <cell r="I31">
            <v>-230.04878331851367</v>
          </cell>
          <cell r="J31">
            <v>-230.04878331851367</v>
          </cell>
          <cell r="K31">
            <v>-230.04878331851367</v>
          </cell>
        </row>
        <row r="32">
          <cell r="A32">
            <v>0.13500000000000001</v>
          </cell>
          <cell r="C32">
            <v>-228.62384663339739</v>
          </cell>
          <cell r="E32">
            <v>0</v>
          </cell>
          <cell r="F32">
            <v>0</v>
          </cell>
          <cell r="G32">
            <v>0</v>
          </cell>
          <cell r="I32">
            <v>-228.62384663339739</v>
          </cell>
          <cell r="J32">
            <v>-228.62384663339739</v>
          </cell>
          <cell r="K32">
            <v>-228.62384663339739</v>
          </cell>
        </row>
        <row r="33">
          <cell r="A33">
            <v>0.14000000000000001</v>
          </cell>
          <cell r="C33">
            <v>-227.21532081045112</v>
          </cell>
          <cell r="E33">
            <v>0</v>
          </cell>
          <cell r="F33">
            <v>0</v>
          </cell>
          <cell r="G33">
            <v>0</v>
          </cell>
          <cell r="I33">
            <v>-227.21532081045112</v>
          </cell>
          <cell r="J33">
            <v>-227.21532081045112</v>
          </cell>
          <cell r="K33">
            <v>-227.21532081045112</v>
          </cell>
        </row>
        <row r="35">
          <cell r="B35" t="str">
            <v>-</v>
          </cell>
          <cell r="C35" t="str">
            <v>D</v>
          </cell>
          <cell r="D35" t="str">
            <v>=</v>
          </cell>
          <cell r="E35" t="str">
            <v>E</v>
          </cell>
        </row>
        <row r="37">
          <cell r="C37" t="str">
            <v>Net Debt</v>
          </cell>
          <cell r="E37" t="str">
            <v>Total Equity Value</v>
          </cell>
        </row>
        <row r="38">
          <cell r="A38" t="str">
            <v>Discount Rate</v>
          </cell>
          <cell r="C38" t="str">
            <v>@ Dec 2000</v>
          </cell>
          <cell r="E38">
            <v>4</v>
          </cell>
          <cell r="F38">
            <v>5</v>
          </cell>
          <cell r="G38">
            <v>6</v>
          </cell>
        </row>
        <row r="40">
          <cell r="A40">
            <v>0.12</v>
          </cell>
          <cell r="C40">
            <v>-1.1852379999999998</v>
          </cell>
          <cell r="E40">
            <v>-231.76376133511036</v>
          </cell>
          <cell r="F40">
            <v>-231.76376133511036</v>
          </cell>
          <cell r="G40">
            <v>-231.76376133511036</v>
          </cell>
        </row>
        <row r="41">
          <cell r="A41">
            <v>0.125</v>
          </cell>
          <cell r="C41">
            <v>-1.1852379999999998</v>
          </cell>
          <cell r="E41">
            <v>-230.30516887253208</v>
          </cell>
          <cell r="F41">
            <v>-230.30516887253208</v>
          </cell>
          <cell r="G41">
            <v>-230.30516887253208</v>
          </cell>
        </row>
        <row r="42">
          <cell r="A42">
            <v>0.13</v>
          </cell>
          <cell r="C42">
            <v>-1.1852379999999998</v>
          </cell>
          <cell r="E42">
            <v>-228.86354531851367</v>
          </cell>
          <cell r="F42">
            <v>-228.86354531851367</v>
          </cell>
          <cell r="G42">
            <v>-228.86354531851367</v>
          </cell>
        </row>
        <row r="43">
          <cell r="A43">
            <v>0.13500000000000001</v>
          </cell>
          <cell r="C43">
            <v>-1.1852379999999998</v>
          </cell>
          <cell r="E43">
            <v>-227.43860863339739</v>
          </cell>
          <cell r="F43">
            <v>-227.43860863339739</v>
          </cell>
          <cell r="G43">
            <v>-227.43860863339739</v>
          </cell>
        </row>
        <row r="44">
          <cell r="A44">
            <v>0.14000000000000001</v>
          </cell>
          <cell r="C44">
            <v>-1.1852379999999998</v>
          </cell>
          <cell r="E44">
            <v>-226.03008281045112</v>
          </cell>
          <cell r="F44">
            <v>-226.03008281045112</v>
          </cell>
          <cell r="G44">
            <v>-226.03008281045112</v>
          </cell>
        </row>
        <row r="47">
          <cell r="A47" t="str">
            <v>(a)  Present values calculated as of December 31, 2000</v>
          </cell>
        </row>
        <row r="48">
          <cell r="A48" t="str">
            <v>(b)  Discounted 5 years; based on FYE December 31, 2005 EBITDA of $0.0 million.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ablankaa"/>
      <sheetName val="NAV"/>
      <sheetName val="Inputs"/>
      <sheetName val="Upstream"/>
      <sheetName val="Oil Sands"/>
      <sheetName val="Financial"/>
      <sheetName val="Balance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tzSingleDPmap"/>
      <sheetName val="bltzPeriodicDPmap"/>
      <sheetName val="bltzModelProperties"/>
      <sheetName val="ARRY Model"/>
      <sheetName val="Databox"/>
      <sheetName val="Pipeline DCF"/>
      <sheetName val="Trading"/>
      <sheetName val="Snapshot"/>
      <sheetName val="DCF"/>
      <sheetName val="Charts"/>
      <sheetName val="Collaborations"/>
      <sheetName val="WACC"/>
      <sheetName val="Sheet1"/>
      <sheetName val="IGRA"/>
      <sheetName val="#REF"/>
      <sheetName val="Life Science"/>
      <sheetName val="ARRY.new"/>
    </sheetNames>
    <sheetDataSet>
      <sheetData sheetId="0">
        <row r="2">
          <cell r="E2">
            <v>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XONMOBIL"/>
      <sheetName val="CashFlow"/>
      <sheetName val="BalanceSheet"/>
      <sheetName val="E&amp;P"/>
      <sheetName val="UpstreamTable"/>
      <sheetName val="Sheet1"/>
      <sheetName val="E&amp;P_Quarters"/>
      <sheetName val="Consolidated"/>
      <sheetName val="Historical"/>
      <sheetName val="Graphs"/>
      <sheetName val="iQ_US_CoreIndustrials"/>
      <sheetName val="Exxon"/>
      <sheetName val="iQ_Measure_Validations_Errors"/>
      <sheetName val="quarterly"/>
    </sheetNames>
    <sheetDataSet>
      <sheetData sheetId="0" refreshError="1">
        <row r="9">
          <cell r="BI9">
            <v>5009.971400124401</v>
          </cell>
        </row>
        <row r="10">
          <cell r="BI10">
            <v>11972.100202902471</v>
          </cell>
        </row>
        <row r="11">
          <cell r="BI11">
            <v>645</v>
          </cell>
        </row>
      </sheetData>
      <sheetData sheetId="1" refreshError="1"/>
      <sheetData sheetId="2" refreshError="1">
        <row r="76">
          <cell r="A76" t="str">
            <v>Capital Expenditures</v>
          </cell>
          <cell r="E76">
            <v>12707</v>
          </cell>
          <cell r="F76">
            <v>14175.2</v>
          </cell>
          <cell r="G76">
            <v>13576.5</v>
          </cell>
          <cell r="H76">
            <v>12227.6</v>
          </cell>
          <cell r="I76">
            <v>11752</v>
          </cell>
          <cell r="J76">
            <v>13488</v>
          </cell>
          <cell r="K76">
            <v>16245</v>
          </cell>
          <cell r="L76">
            <v>14117</v>
          </cell>
          <cell r="M76">
            <v>15535</v>
          </cell>
          <cell r="N76">
            <v>13307</v>
          </cell>
          <cell r="O76">
            <v>11168</v>
          </cell>
          <cell r="P76">
            <v>12311</v>
          </cell>
          <cell r="Q76">
            <v>13955</v>
          </cell>
          <cell r="R76">
            <v>15525</v>
          </cell>
          <cell r="S76">
            <v>14885</v>
          </cell>
          <cell r="T76">
            <v>17000</v>
          </cell>
          <cell r="U76">
            <v>17500</v>
          </cell>
          <cell r="V76">
            <v>18000</v>
          </cell>
          <cell r="W76">
            <v>18000</v>
          </cell>
        </row>
        <row r="77">
          <cell r="A77" t="str">
            <v>Exploration and production</v>
          </cell>
          <cell r="E77">
            <v>7003</v>
          </cell>
          <cell r="F77">
            <v>8054.6</v>
          </cell>
          <cell r="G77">
            <v>7402.25</v>
          </cell>
          <cell r="H77">
            <v>6740.3</v>
          </cell>
          <cell r="I77">
            <v>6255</v>
          </cell>
          <cell r="J77">
            <v>7626</v>
          </cell>
          <cell r="K77">
            <v>9895</v>
          </cell>
          <cell r="L77">
            <v>8992</v>
          </cell>
          <cell r="M77">
            <v>9990</v>
          </cell>
          <cell r="N77">
            <v>8390</v>
          </cell>
          <cell r="O77">
            <v>6899</v>
          </cell>
          <cell r="P77">
            <v>8763</v>
          </cell>
          <cell r="Q77">
            <v>10394</v>
          </cell>
          <cell r="R77">
            <v>11988</v>
          </cell>
          <cell r="S77">
            <v>11715</v>
          </cell>
          <cell r="T77">
            <v>13250</v>
          </cell>
          <cell r="U77">
            <v>13000</v>
          </cell>
          <cell r="V77">
            <v>13500</v>
          </cell>
          <cell r="W77">
            <v>13500</v>
          </cell>
          <cell r="X77">
            <v>13500</v>
          </cell>
          <cell r="Y77">
            <v>13500</v>
          </cell>
        </row>
        <row r="80">
          <cell r="A80" t="str">
            <v>Refining and Marketing</v>
          </cell>
          <cell r="E80">
            <v>3127</v>
          </cell>
          <cell r="F80">
            <v>4073.6</v>
          </cell>
          <cell r="G80">
            <v>4340.25</v>
          </cell>
          <cell r="H80">
            <v>3714.3</v>
          </cell>
          <cell r="I80">
            <v>3548</v>
          </cell>
          <cell r="J80">
            <v>3445</v>
          </cell>
          <cell r="K80">
            <v>3689</v>
          </cell>
          <cell r="L80">
            <v>3255</v>
          </cell>
          <cell r="M80">
            <v>3008</v>
          </cell>
          <cell r="N80">
            <v>2401</v>
          </cell>
          <cell r="O80">
            <v>2618</v>
          </cell>
          <cell r="P80">
            <v>2322</v>
          </cell>
          <cell r="Q80">
            <v>2450</v>
          </cell>
          <cell r="R80">
            <v>2781</v>
          </cell>
          <cell r="S80">
            <v>2405</v>
          </cell>
          <cell r="T80">
            <v>2500</v>
          </cell>
          <cell r="U80">
            <v>2500</v>
          </cell>
          <cell r="V80">
            <v>2500</v>
          </cell>
          <cell r="W80">
            <v>2500</v>
          </cell>
        </row>
        <row r="83">
          <cell r="A83" t="str">
            <v>Chemicals</v>
          </cell>
          <cell r="E83">
            <v>1507</v>
          </cell>
          <cell r="F83">
            <v>994</v>
          </cell>
          <cell r="G83">
            <v>1032</v>
          </cell>
          <cell r="H83">
            <v>892</v>
          </cell>
          <cell r="I83">
            <v>810</v>
          </cell>
          <cell r="J83">
            <v>1307</v>
          </cell>
          <cell r="K83">
            <v>1961</v>
          </cell>
          <cell r="L83">
            <v>1372</v>
          </cell>
          <cell r="M83">
            <v>2110</v>
          </cell>
          <cell r="N83">
            <v>2243</v>
          </cell>
          <cell r="O83">
            <v>1468</v>
          </cell>
          <cell r="P83">
            <v>872</v>
          </cell>
          <cell r="Q83">
            <v>954</v>
          </cell>
          <cell r="R83">
            <v>692</v>
          </cell>
          <cell r="S83">
            <v>690</v>
          </cell>
          <cell r="T83">
            <v>1250</v>
          </cell>
          <cell r="U83">
            <v>2000</v>
          </cell>
          <cell r="V83">
            <v>2000</v>
          </cell>
          <cell r="W83">
            <v>2000</v>
          </cell>
        </row>
        <row r="86">
          <cell r="A86" t="str">
            <v>Other</v>
          </cell>
          <cell r="E86">
            <v>1070</v>
          </cell>
          <cell r="F86">
            <v>1053</v>
          </cell>
          <cell r="G86">
            <v>802</v>
          </cell>
          <cell r="H86">
            <v>881</v>
          </cell>
          <cell r="I86">
            <v>1139</v>
          </cell>
          <cell r="J86">
            <v>1110</v>
          </cell>
          <cell r="K86">
            <v>700</v>
          </cell>
          <cell r="L86">
            <v>498</v>
          </cell>
          <cell r="M86">
            <v>427</v>
          </cell>
          <cell r="N86">
            <v>273</v>
          </cell>
          <cell r="O86">
            <v>183</v>
          </cell>
          <cell r="P86">
            <v>354</v>
          </cell>
          <cell r="Q86">
            <v>157</v>
          </cell>
          <cell r="R86">
            <v>64</v>
          </cell>
          <cell r="S86">
            <v>75</v>
          </cell>
        </row>
        <row r="94">
          <cell r="S94">
            <v>2191.1333333333332</v>
          </cell>
          <cell r="T94">
            <v>2205.3911111111111</v>
          </cell>
          <cell r="U94">
            <v>2225.0317037037034</v>
          </cell>
          <cell r="V94">
            <v>2243.3629234567898</v>
          </cell>
          <cell r="W94">
            <v>2260.4720618930037</v>
          </cell>
        </row>
      </sheetData>
      <sheetData sheetId="3" refreshError="1">
        <row r="35">
          <cell r="I35">
            <v>1725</v>
          </cell>
        </row>
        <row r="36">
          <cell r="I36">
            <v>7671</v>
          </cell>
        </row>
        <row r="37">
          <cell r="I37">
            <v>3003.5</v>
          </cell>
        </row>
        <row r="377">
          <cell r="H377">
            <v>-1574</v>
          </cell>
        </row>
        <row r="413">
          <cell r="I413">
            <v>0.28745541960404714</v>
          </cell>
        </row>
        <row r="588">
          <cell r="I588">
            <v>-3641</v>
          </cell>
        </row>
        <row r="597">
          <cell r="I597">
            <v>287</v>
          </cell>
        </row>
        <row r="617">
          <cell r="I617">
            <v>0.25738226584671609</v>
          </cell>
        </row>
        <row r="655">
          <cell r="I655">
            <v>0.26530861924365956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PPLN-generic"/>
      <sheetName val="IMS"/>
      <sheetName val="P&amp;L Review"/>
      <sheetName val="SUMMARY"/>
      <sheetName val="VAR"/>
      <sheetName val="MKTD"/>
      <sheetName val="PPLN-brand"/>
      <sheetName val="iQ_US_CoreIndustrials"/>
      <sheetName val="NPV"/>
      <sheetName val="-----"/>
      <sheetName val="Charts"/>
      <sheetName val="ANDA Filings Tracker"/>
      <sheetName val="iQ_Measure_Validations_Errors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Product</v>
          </cell>
          <cell r="B3">
            <v>36892</v>
          </cell>
          <cell r="C3">
            <v>36923</v>
          </cell>
          <cell r="D3">
            <v>36951</v>
          </cell>
          <cell r="E3" t="str">
            <v>Q1:01</v>
          </cell>
          <cell r="F3">
            <v>36982</v>
          </cell>
          <cell r="G3">
            <v>37012</v>
          </cell>
          <cell r="H3">
            <v>37043</v>
          </cell>
          <cell r="I3" t="str">
            <v>Q2:01</v>
          </cell>
          <cell r="J3">
            <v>37073</v>
          </cell>
          <cell r="K3">
            <v>37104</v>
          </cell>
          <cell r="L3">
            <v>37135</v>
          </cell>
          <cell r="M3" t="str">
            <v>Q3:01</v>
          </cell>
          <cell r="N3">
            <v>37165</v>
          </cell>
          <cell r="O3">
            <v>37196</v>
          </cell>
          <cell r="P3">
            <v>37226</v>
          </cell>
          <cell r="Q3" t="str">
            <v>Q4:01</v>
          </cell>
          <cell r="R3">
            <v>37257</v>
          </cell>
          <cell r="S3">
            <v>37288</v>
          </cell>
          <cell r="T3">
            <v>37316</v>
          </cell>
          <cell r="U3" t="str">
            <v>Q1:02</v>
          </cell>
          <cell r="V3">
            <v>37347</v>
          </cell>
          <cell r="W3">
            <v>37377</v>
          </cell>
          <cell r="X3">
            <v>37408</v>
          </cell>
          <cell r="Y3" t="str">
            <v>Q2:02</v>
          </cell>
          <cell r="Z3">
            <v>37438</v>
          </cell>
          <cell r="AA3">
            <v>37469</v>
          </cell>
          <cell r="AB3">
            <v>37500</v>
          </cell>
          <cell r="AC3" t="str">
            <v>Q3:02</v>
          </cell>
          <cell r="AD3">
            <v>37530</v>
          </cell>
          <cell r="AE3">
            <v>37561</v>
          </cell>
          <cell r="AF3">
            <v>37591</v>
          </cell>
          <cell r="AG3" t="str">
            <v>Q4:02</v>
          </cell>
          <cell r="AH3">
            <v>37622</v>
          </cell>
          <cell r="AI3">
            <v>37653</v>
          </cell>
          <cell r="AJ3">
            <v>37681</v>
          </cell>
          <cell r="AK3" t="str">
            <v>Q1:03</v>
          </cell>
          <cell r="AL3" t="str">
            <v>Apr-03</v>
          </cell>
          <cell r="AM3">
            <v>37744</v>
          </cell>
          <cell r="AN3">
            <v>37775</v>
          </cell>
          <cell r="AO3" t="str">
            <v>Q2:03</v>
          </cell>
          <cell r="AP3">
            <v>37805</v>
          </cell>
          <cell r="AQ3">
            <v>37836</v>
          </cell>
          <cell r="AR3">
            <v>37867</v>
          </cell>
          <cell r="AS3" t="str">
            <v>Q3:03</v>
          </cell>
          <cell r="AT3">
            <v>37897</v>
          </cell>
          <cell r="AU3">
            <v>37928</v>
          </cell>
          <cell r="AV3">
            <v>37958</v>
          </cell>
          <cell r="AW3" t="str">
            <v>Q4:03</v>
          </cell>
          <cell r="AX3">
            <v>37987</v>
          </cell>
          <cell r="AY3">
            <v>38018</v>
          </cell>
          <cell r="AZ3">
            <v>38047</v>
          </cell>
          <cell r="BA3" t="str">
            <v>Q1:04</v>
          </cell>
          <cell r="BB3">
            <v>38078</v>
          </cell>
          <cell r="BC3">
            <v>38108</v>
          </cell>
          <cell r="BD3">
            <v>38139</v>
          </cell>
          <cell r="BE3" t="str">
            <v>Q2:04</v>
          </cell>
          <cell r="BF3">
            <v>38169</v>
          </cell>
          <cell r="BG3">
            <v>38200</v>
          </cell>
          <cell r="BH3">
            <v>38231</v>
          </cell>
          <cell r="BI3" t="str">
            <v>Q3:04E</v>
          </cell>
        </row>
        <row r="5">
          <cell r="A5" t="str">
            <v>CARBIDOPA/LEVODOPA</v>
          </cell>
          <cell r="BG5" t="str">
            <v xml:space="preserve"> </v>
          </cell>
          <cell r="BH5" t="str">
            <v xml:space="preserve"> </v>
          </cell>
        </row>
        <row r="6">
          <cell r="A6" t="str">
            <v>TRx</v>
          </cell>
          <cell r="BD6">
            <v>324</v>
          </cell>
          <cell r="BE6">
            <v>324</v>
          </cell>
          <cell r="BF6">
            <v>4983</v>
          </cell>
          <cell r="BG6">
            <v>6100</v>
          </cell>
          <cell r="BH6">
            <v>7772</v>
          </cell>
          <cell r="BI6">
            <v>18855</v>
          </cell>
        </row>
        <row r="7">
          <cell r="A7" t="str">
            <v xml:space="preserve">  % Change</v>
          </cell>
        </row>
        <row r="8">
          <cell r="A8" t="str">
            <v>NRx</v>
          </cell>
          <cell r="BD8">
            <v>142</v>
          </cell>
          <cell r="BE8">
            <v>142</v>
          </cell>
          <cell r="BF8">
            <v>1815</v>
          </cell>
          <cell r="BG8">
            <v>2340</v>
          </cell>
          <cell r="BH8">
            <v>3772</v>
          </cell>
          <cell r="BI8">
            <v>7927</v>
          </cell>
        </row>
        <row r="9">
          <cell r="A9" t="str">
            <v xml:space="preserve">  % Change</v>
          </cell>
        </row>
        <row r="10">
          <cell r="A10" t="str">
            <v>Sales (IMS)</v>
          </cell>
          <cell r="BD10">
            <v>0.187361</v>
          </cell>
          <cell r="BE10">
            <v>0.187361</v>
          </cell>
          <cell r="BF10">
            <v>0.81628800000000001</v>
          </cell>
          <cell r="BG10">
            <v>0.76140799999999997</v>
          </cell>
        </row>
        <row r="11">
          <cell r="A11" t="str">
            <v xml:space="preserve">  % Change</v>
          </cell>
        </row>
        <row r="13">
          <cell r="A13" t="str">
            <v>FLUDROCORTISONE</v>
          </cell>
        </row>
        <row r="14">
          <cell r="A14" t="str">
            <v>TRx</v>
          </cell>
          <cell r="V14">
            <v>7771</v>
          </cell>
          <cell r="W14">
            <v>18954</v>
          </cell>
          <cell r="X14">
            <v>23187</v>
          </cell>
          <cell r="Y14">
            <v>49912</v>
          </cell>
          <cell r="Z14">
            <v>30382</v>
          </cell>
          <cell r="AA14">
            <v>34874</v>
          </cell>
          <cell r="AB14">
            <v>36536</v>
          </cell>
          <cell r="AC14">
            <v>101792</v>
          </cell>
          <cell r="AD14">
            <v>40629</v>
          </cell>
          <cell r="AE14">
            <v>40454</v>
          </cell>
          <cell r="AF14">
            <v>44072</v>
          </cell>
          <cell r="AG14">
            <v>125155</v>
          </cell>
          <cell r="AH14">
            <v>45108</v>
          </cell>
          <cell r="AI14">
            <v>42369</v>
          </cell>
          <cell r="AJ14">
            <v>46710</v>
          </cell>
          <cell r="AK14">
            <v>134187</v>
          </cell>
          <cell r="AL14">
            <v>46629</v>
          </cell>
          <cell r="AM14">
            <v>47497</v>
          </cell>
          <cell r="AN14">
            <v>45649</v>
          </cell>
          <cell r="AO14">
            <v>139775</v>
          </cell>
          <cell r="AP14">
            <v>47220</v>
          </cell>
          <cell r="AQ14">
            <v>45829</v>
          </cell>
          <cell r="AR14">
            <v>46860</v>
          </cell>
          <cell r="AS14">
            <v>139909</v>
          </cell>
          <cell r="AT14">
            <v>48782</v>
          </cell>
          <cell r="AU14">
            <v>45254</v>
          </cell>
          <cell r="AV14">
            <v>50043</v>
          </cell>
          <cell r="AW14">
            <v>144079</v>
          </cell>
          <cell r="AX14">
            <v>48860</v>
          </cell>
          <cell r="AY14">
            <v>46174</v>
          </cell>
          <cell r="AZ14">
            <v>51390</v>
          </cell>
          <cell r="BA14">
            <v>146424</v>
          </cell>
          <cell r="BB14">
            <v>48706</v>
          </cell>
          <cell r="BC14">
            <v>47860</v>
          </cell>
          <cell r="BD14">
            <v>47978</v>
          </cell>
          <cell r="BE14">
            <v>144544</v>
          </cell>
          <cell r="BF14">
            <v>46804</v>
          </cell>
          <cell r="BG14">
            <v>47859</v>
          </cell>
          <cell r="BH14">
            <v>44204</v>
          </cell>
          <cell r="BI14">
            <v>138867</v>
          </cell>
        </row>
        <row r="15">
          <cell r="A15" t="str">
            <v xml:space="preserve">  % Change</v>
          </cell>
          <cell r="AL15">
            <v>5.0003860507013256</v>
          </cell>
          <cell r="AM15">
            <v>1.50590904294608</v>
          </cell>
          <cell r="AN15">
            <v>0.96873247940656393</v>
          </cell>
          <cell r="AO15">
            <v>1.8004287546081104</v>
          </cell>
          <cell r="AP15">
            <v>0.55420972944506608</v>
          </cell>
          <cell r="AQ15">
            <v>0.31413087113608995</v>
          </cell>
          <cell r="AR15">
            <v>0.28257061528355587</v>
          </cell>
          <cell r="AS15">
            <v>0.37445968248978301</v>
          </cell>
          <cell r="AT15">
            <v>0.20066947254424172</v>
          </cell>
          <cell r="AU15">
            <v>0.11865328521283436</v>
          </cell>
          <cell r="AV15">
            <v>0.13548284625158824</v>
          </cell>
          <cell r="AW15">
            <v>0.15120450641204908</v>
          </cell>
          <cell r="AX15">
            <v>8.3178150217256386E-2</v>
          </cell>
          <cell r="AY15">
            <v>8.9806226250324528E-2</v>
          </cell>
          <cell r="AZ15">
            <v>0.10019267822736033</v>
          </cell>
          <cell r="BA15">
            <v>9.1193632766214394E-2</v>
          </cell>
          <cell r="BB15">
            <v>4.4543095498509544E-2</v>
          </cell>
          <cell r="BC15">
            <v>7.6425879529233853E-3</v>
          </cell>
          <cell r="BD15">
            <v>5.1019737562706835E-2</v>
          </cell>
          <cell r="BE15">
            <v>3.4119120014308724E-2</v>
          </cell>
          <cell r="BF15">
            <v>-8.8098263447691227E-3</v>
          </cell>
          <cell r="BG15">
            <v>4.4295096990988325E-2</v>
          </cell>
          <cell r="BH15">
            <v>-5.6679470763977835E-2</v>
          </cell>
          <cell r="BI15">
            <v>-7.4476981466524705E-3</v>
          </cell>
        </row>
        <row r="16">
          <cell r="A16" t="str">
            <v>NRx</v>
          </cell>
          <cell r="V16">
            <v>6226</v>
          </cell>
          <cell r="W16">
            <v>11215</v>
          </cell>
          <cell r="X16">
            <v>10822</v>
          </cell>
          <cell r="Y16">
            <v>28263</v>
          </cell>
          <cell r="Z16">
            <v>12415</v>
          </cell>
          <cell r="AA16">
            <v>13435</v>
          </cell>
          <cell r="AB16">
            <v>13141</v>
          </cell>
          <cell r="AC16">
            <v>38991</v>
          </cell>
          <cell r="AD16">
            <v>14527</v>
          </cell>
          <cell r="AE16">
            <v>13714</v>
          </cell>
          <cell r="AF16">
            <v>14293</v>
          </cell>
          <cell r="AG16">
            <v>42534</v>
          </cell>
          <cell r="AH16">
            <v>15310</v>
          </cell>
          <cell r="AI16">
            <v>14409</v>
          </cell>
          <cell r="AJ16">
            <v>15433</v>
          </cell>
          <cell r="AK16">
            <v>45152</v>
          </cell>
          <cell r="AL16">
            <v>15292</v>
          </cell>
          <cell r="AM16">
            <v>15747</v>
          </cell>
          <cell r="AN16">
            <v>14974</v>
          </cell>
          <cell r="AO16">
            <v>46013</v>
          </cell>
          <cell r="AP16">
            <v>15935</v>
          </cell>
          <cell r="AQ16">
            <v>15558</v>
          </cell>
          <cell r="AR16">
            <v>16094</v>
          </cell>
          <cell r="AS16">
            <v>47587</v>
          </cell>
          <cell r="AT16">
            <v>16517</v>
          </cell>
          <cell r="AU16">
            <v>14393</v>
          </cell>
          <cell r="AV16">
            <v>16195</v>
          </cell>
          <cell r="AW16">
            <v>47105</v>
          </cell>
          <cell r="AX16">
            <v>16523</v>
          </cell>
          <cell r="AY16">
            <v>15421</v>
          </cell>
          <cell r="AZ16">
            <v>17382</v>
          </cell>
          <cell r="BA16">
            <v>49326</v>
          </cell>
          <cell r="BB16">
            <v>16014</v>
          </cell>
          <cell r="BC16">
            <v>15526</v>
          </cell>
          <cell r="BD16">
            <v>15620</v>
          </cell>
          <cell r="BE16">
            <v>47160</v>
          </cell>
          <cell r="BF16">
            <v>15228</v>
          </cell>
          <cell r="BG16">
            <v>15612</v>
          </cell>
          <cell r="BH16">
            <v>14149</v>
          </cell>
          <cell r="BI16">
            <v>44989</v>
          </cell>
        </row>
        <row r="17">
          <cell r="A17" t="str">
            <v xml:space="preserve">  % Change</v>
          </cell>
          <cell r="AL17">
            <v>1.4561516222293607</v>
          </cell>
          <cell r="AM17">
            <v>0.40410164957646</v>
          </cell>
          <cell r="AN17">
            <v>0.38366290888929955</v>
          </cell>
          <cell r="AO17">
            <v>0.62802957930863679</v>
          </cell>
          <cell r="AP17">
            <v>0.28352799033427312</v>
          </cell>
          <cell r="AQ17">
            <v>0.15802009676218831</v>
          </cell>
          <cell r="AR17">
            <v>0.22471653603226538</v>
          </cell>
          <cell r="AS17">
            <v>0.22046113205611562</v>
          </cell>
          <cell r="AT17">
            <v>0.13698630136986312</v>
          </cell>
          <cell r="AU17">
            <v>4.9511448155169946E-2</v>
          </cell>
          <cell r="AV17">
            <v>0.1330721332120619</v>
          </cell>
          <cell r="AW17">
            <v>0.10746696760238872</v>
          </cell>
          <cell r="AX17">
            <v>7.9229261920313432E-2</v>
          </cell>
          <cell r="AY17">
            <v>7.0233881601776682E-2</v>
          </cell>
          <cell r="AZ17">
            <v>0.12628782479103218</v>
          </cell>
          <cell r="BA17">
            <v>9.2443302622253753E-2</v>
          </cell>
          <cell r="BB17">
            <v>4.7214229662568608E-2</v>
          </cell>
          <cell r="BC17">
            <v>-1.4034419254461139E-2</v>
          </cell>
          <cell r="BD17">
            <v>4.3141445171630766E-2</v>
          </cell>
          <cell r="BE17">
            <v>2.4927737813226658E-2</v>
          </cell>
          <cell r="BF17">
            <v>-4.4367743959836892E-2</v>
          </cell>
          <cell r="BG17">
            <v>3.4708831469341117E-3</v>
          </cell>
          <cell r="BH17">
            <v>-0.1208524916117808</v>
          </cell>
          <cell r="BI17">
            <v>-5.459474226154204E-2</v>
          </cell>
        </row>
        <row r="18">
          <cell r="A18" t="str">
            <v>Sales (IMS)</v>
          </cell>
          <cell r="V18">
            <v>0.87393500000000002</v>
          </cell>
          <cell r="W18">
            <v>0.67567699999999997</v>
          </cell>
          <cell r="X18">
            <v>0.91712700000000003</v>
          </cell>
          <cell r="Y18">
            <v>2.466739</v>
          </cell>
          <cell r="Z18">
            <v>0.88985099999999995</v>
          </cell>
          <cell r="AA18">
            <v>0.90903400000000001</v>
          </cell>
          <cell r="AB18">
            <v>1.1766209999999999</v>
          </cell>
          <cell r="AC18">
            <v>2.9755059999999998</v>
          </cell>
          <cell r="AD18">
            <v>1.0429919999999999</v>
          </cell>
          <cell r="AE18">
            <v>1.041285</v>
          </cell>
          <cell r="AF18">
            <v>1.365213</v>
          </cell>
          <cell r="AG18">
            <v>3.4494899999999999</v>
          </cell>
          <cell r="AH18">
            <v>1.1244320000000001</v>
          </cell>
          <cell r="AI18">
            <v>1.125829</v>
          </cell>
          <cell r="AJ18">
            <v>1.323277</v>
          </cell>
          <cell r="AK18">
            <v>3.5735380000000001</v>
          </cell>
          <cell r="AL18">
            <v>0.99241900000000005</v>
          </cell>
          <cell r="AM18">
            <v>0.90695899999999996</v>
          </cell>
          <cell r="AN18">
            <v>1.1896310000000001</v>
          </cell>
          <cell r="AO18">
            <v>3.0890089999999999</v>
          </cell>
          <cell r="AP18">
            <v>0.97315799999999997</v>
          </cell>
          <cell r="AQ18">
            <v>0.97035700000000003</v>
          </cell>
          <cell r="AR18">
            <v>1.2060420000000001</v>
          </cell>
          <cell r="AS18">
            <v>3.1495570000000002</v>
          </cell>
          <cell r="AT18">
            <v>0.94136600000000004</v>
          </cell>
          <cell r="AU18">
            <v>0.92926399999999998</v>
          </cell>
          <cell r="AV18">
            <v>1.181314</v>
          </cell>
          <cell r="AW18">
            <v>3.0519439999999998</v>
          </cell>
          <cell r="AX18">
            <v>0.98846800000000001</v>
          </cell>
          <cell r="AY18">
            <v>0.97567400000000004</v>
          </cell>
          <cell r="AZ18">
            <v>1.2622899999999999</v>
          </cell>
          <cell r="BA18">
            <v>3.226432</v>
          </cell>
          <cell r="BB18">
            <v>0.96257999999999999</v>
          </cell>
          <cell r="BC18">
            <v>0.89232500000000003</v>
          </cell>
          <cell r="BD18">
            <v>1.0763590000000001</v>
          </cell>
          <cell r="BE18">
            <v>2.9312640000000001</v>
          </cell>
          <cell r="BF18">
            <v>0.86999000000000004</v>
          </cell>
          <cell r="BG18">
            <v>0.85322600000000004</v>
          </cell>
        </row>
        <row r="19">
          <cell r="A19" t="str">
            <v xml:space="preserve">  % Change</v>
          </cell>
          <cell r="AL19">
            <v>0.13557530022255659</v>
          </cell>
          <cell r="AM19">
            <v>0.34229668909848932</v>
          </cell>
          <cell r="AN19">
            <v>0.29712787869073765</v>
          </cell>
          <cell r="AO19">
            <v>0.25226422414369742</v>
          </cell>
          <cell r="AP19">
            <v>9.3619044087156267E-2</v>
          </cell>
          <cell r="AQ19">
            <v>6.7459522966137664E-2</v>
          </cell>
          <cell r="AR19">
            <v>2.5004653155094259E-2</v>
          </cell>
          <cell r="AS19">
            <v>5.8494588819515192E-2</v>
          </cell>
          <cell r="AT19">
            <v>-9.7436988970193372E-2</v>
          </cell>
          <cell r="AU19">
            <v>-0.10757957715707034</v>
          </cell>
          <cell r="AV19">
            <v>-0.13470352245400541</v>
          </cell>
          <cell r="AW19">
            <v>-0.11524776126325931</v>
          </cell>
          <cell r="AX19">
            <v>-0.12091793901276382</v>
          </cell>
          <cell r="AY19">
            <v>-0.13337283015449053</v>
          </cell>
          <cell r="AZ19">
            <v>-4.6087856132918548E-2</v>
          </cell>
          <cell r="BA19">
            <v>-9.7132309772555936E-2</v>
          </cell>
          <cell r="BB19">
            <v>-3.0066937452829956E-2</v>
          </cell>
          <cell r="BC19">
            <v>-1.6135238748388736E-2</v>
          </cell>
          <cell r="BD19">
            <v>-9.5216079607878479E-2</v>
          </cell>
          <cell r="BE19">
            <v>-5.1066539462979788E-2</v>
          </cell>
          <cell r="BF19">
            <v>-0.10601361752151239</v>
          </cell>
          <cell r="BG19">
            <v>-0.12070918229064143</v>
          </cell>
        </row>
        <row r="21">
          <cell r="A21" t="str">
            <v>LIPRAM FAMILY</v>
          </cell>
        </row>
        <row r="22">
          <cell r="A22" t="str">
            <v>TRx</v>
          </cell>
          <cell r="J22">
            <v>13324</v>
          </cell>
          <cell r="K22">
            <v>13642</v>
          </cell>
          <cell r="L22">
            <v>13546</v>
          </cell>
          <cell r="M22">
            <v>40512</v>
          </cell>
          <cell r="N22">
            <v>15337</v>
          </cell>
          <cell r="O22">
            <v>16509</v>
          </cell>
          <cell r="P22">
            <v>17654</v>
          </cell>
          <cell r="Q22">
            <v>49500</v>
          </cell>
          <cell r="R22">
            <v>19357</v>
          </cell>
          <cell r="S22">
            <v>18355</v>
          </cell>
          <cell r="T22">
            <v>20776</v>
          </cell>
          <cell r="U22">
            <v>58488</v>
          </cell>
          <cell r="V22">
            <v>22062</v>
          </cell>
          <cell r="W22">
            <v>22969</v>
          </cell>
          <cell r="X22">
            <v>22310</v>
          </cell>
          <cell r="Y22">
            <v>67341</v>
          </cell>
          <cell r="Z22">
            <v>24310</v>
          </cell>
          <cell r="AA22">
            <v>24900</v>
          </cell>
          <cell r="AB22">
            <v>23942</v>
          </cell>
          <cell r="AC22">
            <v>73152</v>
          </cell>
          <cell r="AD22">
            <v>25563</v>
          </cell>
          <cell r="AE22">
            <v>24371</v>
          </cell>
          <cell r="AF22">
            <v>25746</v>
          </cell>
          <cell r="AG22">
            <v>75680</v>
          </cell>
          <cell r="AH22">
            <v>26097</v>
          </cell>
          <cell r="AI22">
            <v>23978</v>
          </cell>
          <cell r="AJ22">
            <v>26518</v>
          </cell>
          <cell r="AK22">
            <v>76593</v>
          </cell>
          <cell r="AL22">
            <v>26402</v>
          </cell>
          <cell r="AM22">
            <v>27380</v>
          </cell>
          <cell r="AN22">
            <v>27479</v>
          </cell>
          <cell r="AO22">
            <v>81261</v>
          </cell>
          <cell r="AP22">
            <v>28935</v>
          </cell>
          <cell r="AQ22">
            <v>28251</v>
          </cell>
          <cell r="AR22">
            <v>28816</v>
          </cell>
          <cell r="AS22">
            <v>86002</v>
          </cell>
          <cell r="AT22">
            <v>30160</v>
          </cell>
          <cell r="AU22">
            <v>27036</v>
          </cell>
          <cell r="AV22">
            <v>29674</v>
          </cell>
          <cell r="AW22">
            <v>86870</v>
          </cell>
          <cell r="AX22">
            <v>28936</v>
          </cell>
          <cell r="AY22">
            <v>27728</v>
          </cell>
          <cell r="AZ22">
            <v>31148</v>
          </cell>
          <cell r="BA22">
            <v>87812</v>
          </cell>
          <cell r="BB22">
            <v>30190</v>
          </cell>
          <cell r="BC22">
            <v>29788</v>
          </cell>
          <cell r="BD22">
            <v>30782</v>
          </cell>
          <cell r="BE22">
            <v>90760</v>
          </cell>
          <cell r="BF22">
            <v>31079</v>
          </cell>
          <cell r="BG22">
            <v>31251</v>
          </cell>
          <cell r="BH22">
            <v>30994</v>
          </cell>
          <cell r="BI22">
            <v>93324</v>
          </cell>
        </row>
        <row r="23">
          <cell r="A23" t="str">
            <v xml:space="preserve">  % Change</v>
          </cell>
          <cell r="Z23">
            <v>0.82452716901831291</v>
          </cell>
          <cell r="AA23">
            <v>0.82524556516639791</v>
          </cell>
          <cell r="AB23">
            <v>0.76745902849549674</v>
          </cell>
          <cell r="AC23">
            <v>0.8056872037914693</v>
          </cell>
          <cell r="AD23">
            <v>0.66675360239942627</v>
          </cell>
          <cell r="AE23">
            <v>0.47622508934520558</v>
          </cell>
          <cell r="AF23">
            <v>0.45836637589214901</v>
          </cell>
          <cell r="AG23">
            <v>0.52888888888888896</v>
          </cell>
          <cell r="AH23">
            <v>0.34819445161956919</v>
          </cell>
          <cell r="AI23">
            <v>0.30634704440207039</v>
          </cell>
          <cell r="AJ23">
            <v>0.2763765883711975</v>
          </cell>
          <cell r="AK23">
            <v>0.30955067706196138</v>
          </cell>
          <cell r="AL23">
            <v>0.19671833922581805</v>
          </cell>
          <cell r="AM23">
            <v>0.19204144716792193</v>
          </cell>
          <cell r="AN23">
            <v>0.23168982519049752</v>
          </cell>
          <cell r="AO23">
            <v>0.20670913707845151</v>
          </cell>
          <cell r="AP23">
            <v>0.19025092554504308</v>
          </cell>
          <cell r="AQ23">
            <v>0.13457831325301206</v>
          </cell>
          <cell r="AR23">
            <v>0.20357530699189708</v>
          </cell>
          <cell r="AS23">
            <v>0.17566163604549434</v>
          </cell>
          <cell r="AT23">
            <v>0.17983022336971399</v>
          </cell>
          <cell r="AU23">
            <v>0.10935127815846712</v>
          </cell>
          <cell r="AV23">
            <v>0.15256738910898782</v>
          </cell>
          <cell r="AW23">
            <v>0.14785940803382669</v>
          </cell>
          <cell r="AX23">
            <v>0.10878645054987168</v>
          </cell>
          <cell r="AY23">
            <v>0.1563933605805321</v>
          </cell>
          <cell r="AZ23">
            <v>0.17459838600196087</v>
          </cell>
          <cell r="BA23">
            <v>0.14647552648414353</v>
          </cell>
          <cell r="BB23">
            <v>0.14347397924399674</v>
          </cell>
          <cell r="BC23">
            <v>8.7947406866325739E-2</v>
          </cell>
          <cell r="BD23">
            <v>0.12020088067251367</v>
          </cell>
          <cell r="BE23">
            <v>0.11689494345380935</v>
          </cell>
          <cell r="BF23">
            <v>7.409711422153098E-2</v>
          </cell>
          <cell r="BG23">
            <v>0.10619093129446755</v>
          </cell>
          <cell r="BH23">
            <v>7.5583009439200488E-2</v>
          </cell>
          <cell r="BI23">
            <v>8.5137554940582838E-2</v>
          </cell>
        </row>
        <row r="24">
          <cell r="A24" t="str">
            <v>NRx</v>
          </cell>
          <cell r="J24">
            <v>5668</v>
          </cell>
          <cell r="K24">
            <v>5872</v>
          </cell>
          <cell r="L24">
            <v>5425</v>
          </cell>
          <cell r="M24">
            <v>16965</v>
          </cell>
          <cell r="N24">
            <v>6545</v>
          </cell>
          <cell r="O24">
            <v>7739</v>
          </cell>
          <cell r="P24">
            <v>7995</v>
          </cell>
          <cell r="Q24">
            <v>22279</v>
          </cell>
          <cell r="R24">
            <v>8981</v>
          </cell>
          <cell r="S24">
            <v>8579</v>
          </cell>
          <cell r="T24">
            <v>9611</v>
          </cell>
          <cell r="U24">
            <v>27171</v>
          </cell>
          <cell r="V24">
            <v>10075</v>
          </cell>
          <cell r="W24">
            <v>10145</v>
          </cell>
          <cell r="X24">
            <v>9817</v>
          </cell>
          <cell r="Y24">
            <v>30037</v>
          </cell>
          <cell r="Z24">
            <v>10497</v>
          </cell>
          <cell r="AA24">
            <v>10843</v>
          </cell>
          <cell r="AB24">
            <v>10344</v>
          </cell>
          <cell r="AC24">
            <v>31684</v>
          </cell>
          <cell r="AD24">
            <v>10945</v>
          </cell>
          <cell r="AE24">
            <v>10439</v>
          </cell>
          <cell r="AF24">
            <v>10451</v>
          </cell>
          <cell r="AG24">
            <v>31835</v>
          </cell>
          <cell r="AH24">
            <v>11320</v>
          </cell>
          <cell r="AI24">
            <v>10100</v>
          </cell>
          <cell r="AJ24">
            <v>11267</v>
          </cell>
          <cell r="AK24">
            <v>32687</v>
          </cell>
          <cell r="AL24">
            <v>10934</v>
          </cell>
          <cell r="AM24">
            <v>11302</v>
          </cell>
          <cell r="AN24">
            <v>11522</v>
          </cell>
          <cell r="AO24">
            <v>33758</v>
          </cell>
          <cell r="AP24">
            <v>12022</v>
          </cell>
          <cell r="AQ24">
            <v>11636</v>
          </cell>
          <cell r="AR24">
            <v>11982</v>
          </cell>
          <cell r="AS24">
            <v>35640</v>
          </cell>
          <cell r="AT24">
            <v>12173</v>
          </cell>
          <cell r="AU24">
            <v>10653</v>
          </cell>
          <cell r="AV24">
            <v>11668</v>
          </cell>
          <cell r="AW24">
            <v>34494</v>
          </cell>
          <cell r="AX24">
            <v>11751</v>
          </cell>
          <cell r="AY24">
            <v>11600</v>
          </cell>
          <cell r="AZ24">
            <v>12966</v>
          </cell>
          <cell r="BA24">
            <v>36317</v>
          </cell>
          <cell r="BB24">
            <v>12667</v>
          </cell>
          <cell r="BC24">
            <v>11937</v>
          </cell>
          <cell r="BD24">
            <v>12614</v>
          </cell>
          <cell r="BE24">
            <v>37218</v>
          </cell>
          <cell r="BF24">
            <v>12364</v>
          </cell>
          <cell r="BG24">
            <v>12580</v>
          </cell>
          <cell r="BH24">
            <v>12715</v>
          </cell>
          <cell r="BI24">
            <v>37659</v>
          </cell>
        </row>
        <row r="25">
          <cell r="A25" t="str">
            <v xml:space="preserve">  % Change</v>
          </cell>
          <cell r="Z25">
            <v>0.85197600564573039</v>
          </cell>
          <cell r="AA25">
            <v>0.84655994550408709</v>
          </cell>
          <cell r="AB25">
            <v>0.90672811059907832</v>
          </cell>
          <cell r="AC25">
            <v>0.86760978485116413</v>
          </cell>
          <cell r="AD25">
            <v>0.67226890756302526</v>
          </cell>
          <cell r="AE25">
            <v>0.34888228453288539</v>
          </cell>
          <cell r="AF25">
            <v>0.30719199499687311</v>
          </cell>
          <cell r="AG25">
            <v>0.42892409892724093</v>
          </cell>
          <cell r="AH25">
            <v>0.26043870393052004</v>
          </cell>
          <cell r="AI25">
            <v>0.17729339083809292</v>
          </cell>
          <cell r="AJ25">
            <v>0.17230256997190718</v>
          </cell>
          <cell r="AK25">
            <v>0.20301056273232487</v>
          </cell>
          <cell r="AL25">
            <v>8.5260545905707197E-2</v>
          </cell>
          <cell r="AM25">
            <v>0.11404632824051264</v>
          </cell>
          <cell r="AN25">
            <v>0.17367831313028415</v>
          </cell>
          <cell r="AO25">
            <v>0.12388054732496578</v>
          </cell>
          <cell r="AP25">
            <v>0.14527960369629422</v>
          </cell>
          <cell r="AQ25">
            <v>7.3134741307756101E-2</v>
          </cell>
          <cell r="AR25">
            <v>0.15835266821345706</v>
          </cell>
          <cell r="AS25">
            <v>0.12485797247822239</v>
          </cell>
          <cell r="AT25">
            <v>0.11219735038830514</v>
          </cell>
          <cell r="AU25">
            <v>2.0500047897308082E-2</v>
          </cell>
          <cell r="AV25">
            <v>0.11644818677638513</v>
          </cell>
          <cell r="AW25">
            <v>8.3524422805088649E-2</v>
          </cell>
          <cell r="AX25">
            <v>3.8074204946996426E-2</v>
          </cell>
          <cell r="AY25">
            <v>0.14851485148514842</v>
          </cell>
          <cell r="AZ25">
            <v>0.15079435519659179</v>
          </cell>
          <cell r="BA25">
            <v>0.11105332395141798</v>
          </cell>
          <cell r="BB25">
            <v>0.15849643314432038</v>
          </cell>
          <cell r="BC25">
            <v>5.6184746062643676E-2</v>
          </cell>
          <cell r="BD25">
            <v>9.4775212636694972E-2</v>
          </cell>
          <cell r="BE25">
            <v>0.102494223591445</v>
          </cell>
          <cell r="BF25">
            <v>2.8447845616369927E-2</v>
          </cell>
          <cell r="BG25">
            <v>8.1127535235476111E-2</v>
          </cell>
          <cell r="BH25">
            <v>6.1175095977299199E-2</v>
          </cell>
          <cell r="BI25">
            <v>5.6649831649831617E-2</v>
          </cell>
        </row>
        <row r="26">
          <cell r="A26" t="str">
            <v>Sales (IMS)</v>
          </cell>
          <cell r="J26">
            <v>0.63690100000000005</v>
          </cell>
          <cell r="K26">
            <v>0.70697900000000002</v>
          </cell>
          <cell r="L26">
            <v>0.90266500000000005</v>
          </cell>
          <cell r="M26">
            <v>2.2465450000000002</v>
          </cell>
          <cell r="N26">
            <v>0.79034899999999997</v>
          </cell>
          <cell r="O26">
            <v>0.84165900000000005</v>
          </cell>
          <cell r="P26">
            <v>1.204725</v>
          </cell>
          <cell r="Q26">
            <v>2.8367329999999997</v>
          </cell>
          <cell r="R26">
            <v>0.94408700000000001</v>
          </cell>
          <cell r="S26">
            <v>1.0198739999999999</v>
          </cell>
          <cell r="T26">
            <v>1.397599</v>
          </cell>
          <cell r="U26">
            <v>3.3615599999999999</v>
          </cell>
          <cell r="V26">
            <v>1.117774</v>
          </cell>
          <cell r="W26">
            <v>1.0942730000000001</v>
          </cell>
          <cell r="X26">
            <v>1.467157</v>
          </cell>
          <cell r="Y26">
            <v>3.6792040000000004</v>
          </cell>
          <cell r="Z26">
            <v>1.147853</v>
          </cell>
          <cell r="AA26">
            <v>1.1752359999999999</v>
          </cell>
          <cell r="AB26">
            <v>1.4721439999999999</v>
          </cell>
          <cell r="AC26">
            <v>3.7952329999999996</v>
          </cell>
          <cell r="AD26">
            <v>1.1540010000000001</v>
          </cell>
          <cell r="AE26">
            <v>1.158131</v>
          </cell>
          <cell r="AF26">
            <v>1.537005</v>
          </cell>
          <cell r="AG26">
            <v>3.8491369999999998</v>
          </cell>
          <cell r="AH26">
            <v>1.2835110000000001</v>
          </cell>
          <cell r="AI26">
            <v>1.3202179999999999</v>
          </cell>
          <cell r="AJ26">
            <v>1.6736420000000001</v>
          </cell>
          <cell r="AK26">
            <v>4.2773710000000005</v>
          </cell>
          <cell r="AL26">
            <v>1.2379020000000001</v>
          </cell>
          <cell r="AM26">
            <v>1.2800750000000001</v>
          </cell>
          <cell r="AN26">
            <v>1.738205</v>
          </cell>
          <cell r="AO26">
            <v>4.2561819999999999</v>
          </cell>
          <cell r="AP26">
            <v>1.362948</v>
          </cell>
          <cell r="AQ26">
            <v>1.4329940000000001</v>
          </cell>
          <cell r="AR26">
            <v>1.8175239999999999</v>
          </cell>
          <cell r="AS26">
            <v>4.6134659999999998</v>
          </cell>
          <cell r="AT26">
            <v>1.3912519999999999</v>
          </cell>
          <cell r="AU26">
            <v>1.450062</v>
          </cell>
          <cell r="AV26">
            <v>1.756921</v>
          </cell>
          <cell r="AW26">
            <v>4.5982349999999999</v>
          </cell>
          <cell r="AX26">
            <v>1.4747030000000001</v>
          </cell>
          <cell r="AY26">
            <v>1.488545</v>
          </cell>
          <cell r="AZ26">
            <v>1.9333499999999999</v>
          </cell>
          <cell r="BA26">
            <v>4.896598</v>
          </cell>
          <cell r="BB26">
            <v>1.5211589999999999</v>
          </cell>
          <cell r="BC26">
            <v>1.612657</v>
          </cell>
          <cell r="BD26">
            <v>2.097766</v>
          </cell>
          <cell r="BE26">
            <v>5.2315819999999995</v>
          </cell>
          <cell r="BF26">
            <v>1.6712229999999999</v>
          </cell>
          <cell r="BG26">
            <v>1.754435</v>
          </cell>
        </row>
        <row r="27">
          <cell r="A27" t="str">
            <v xml:space="preserve">  % Change</v>
          </cell>
          <cell r="Z27">
            <v>0.80224713102978318</v>
          </cell>
          <cell r="AA27">
            <v>0.66233509057553319</v>
          </cell>
          <cell r="AB27">
            <v>0.63088631995258471</v>
          </cell>
          <cell r="AC27">
            <v>0.6893643350122074</v>
          </cell>
          <cell r="AD27">
            <v>0.46011572102957055</v>
          </cell>
          <cell r="AE27">
            <v>0.37600976167307665</v>
          </cell>
          <cell r="AF27">
            <v>0.27581398244412614</v>
          </cell>
          <cell r="AG27">
            <v>0.35689083181251124</v>
          </cell>
          <cell r="AH27">
            <v>0.35952618773481682</v>
          </cell>
          <cell r="AI27">
            <v>0.29449128029540894</v>
          </cell>
          <cell r="AJ27">
            <v>0.19751230503170092</v>
          </cell>
          <cell r="AK27">
            <v>0.2724363093325719</v>
          </cell>
          <cell r="AL27">
            <v>0.10747074095479059</v>
          </cell>
          <cell r="AM27">
            <v>0.16979492320472134</v>
          </cell>
          <cell r="AN27">
            <v>0.18474369137045321</v>
          </cell>
          <cell r="AO27">
            <v>0.1568214211552279</v>
          </cell>
          <cell r="AP27">
            <v>0.18738897750844408</v>
          </cell>
          <cell r="AQ27">
            <v>0.21932445908736642</v>
          </cell>
          <cell r="AR27">
            <v>0.23461020117597187</v>
          </cell>
          <cell r="AS27">
            <v>0.21559493185266887</v>
          </cell>
          <cell r="AT27">
            <v>0.20558994316296064</v>
          </cell>
          <cell r="AU27">
            <v>0.25207079337311566</v>
          </cell>
          <cell r="AV27">
            <v>0.14308086180591473</v>
          </cell>
          <cell r="AW27">
            <v>0.19461453307585574</v>
          </cell>
          <cell r="AX27">
            <v>0.14896015694450604</v>
          </cell>
          <cell r="AY27">
            <v>0.1274993978267227</v>
          </cell>
          <cell r="AZ27">
            <v>0.15517536008298061</v>
          </cell>
          <cell r="BA27">
            <v>0.14476812976943076</v>
          </cell>
          <cell r="BB27">
            <v>0.22882021355486937</v>
          </cell>
          <cell r="BC27">
            <v>0.25981446399625008</v>
          </cell>
          <cell r="BD27">
            <v>0.20685764912654148</v>
          </cell>
          <cell r="BE27">
            <v>0.22917253068595267</v>
          </cell>
          <cell r="BF27">
            <v>0.22618251026451475</v>
          </cell>
          <cell r="BG27">
            <v>0.22431426788946762</v>
          </cell>
        </row>
        <row r="29">
          <cell r="A29" t="str">
            <v>MINOCYCLINE</v>
          </cell>
        </row>
        <row r="30">
          <cell r="A30" t="str">
            <v>TRx</v>
          </cell>
          <cell r="J30">
            <v>2106</v>
          </cell>
          <cell r="K30">
            <v>2025</v>
          </cell>
          <cell r="L30">
            <v>1701</v>
          </cell>
          <cell r="M30">
            <v>5832</v>
          </cell>
          <cell r="N30">
            <v>2041</v>
          </cell>
          <cell r="O30">
            <v>2053</v>
          </cell>
          <cell r="P30">
            <v>2016</v>
          </cell>
          <cell r="Q30">
            <v>6110</v>
          </cell>
          <cell r="R30">
            <v>2212</v>
          </cell>
          <cell r="S30">
            <v>1769</v>
          </cell>
          <cell r="T30">
            <v>1958</v>
          </cell>
          <cell r="U30">
            <v>5939</v>
          </cell>
          <cell r="V30">
            <v>1877</v>
          </cell>
          <cell r="W30">
            <v>1742</v>
          </cell>
          <cell r="X30">
            <v>1477</v>
          </cell>
          <cell r="Y30">
            <v>5096</v>
          </cell>
          <cell r="Z30">
            <v>1651</v>
          </cell>
          <cell r="AA30">
            <v>2640</v>
          </cell>
          <cell r="AB30">
            <v>2838</v>
          </cell>
          <cell r="AC30">
            <v>7129</v>
          </cell>
          <cell r="AD30">
            <v>3726</v>
          </cell>
          <cell r="AE30">
            <v>5289</v>
          </cell>
          <cell r="AF30">
            <v>10742</v>
          </cell>
          <cell r="AG30">
            <v>19757</v>
          </cell>
          <cell r="AH30">
            <v>13465</v>
          </cell>
          <cell r="AI30">
            <v>12708</v>
          </cell>
          <cell r="AJ30">
            <v>17101</v>
          </cell>
          <cell r="AK30">
            <v>43274</v>
          </cell>
          <cell r="AL30">
            <v>23027</v>
          </cell>
          <cell r="AM30">
            <v>30970</v>
          </cell>
          <cell r="AN30">
            <v>32886</v>
          </cell>
          <cell r="AO30">
            <v>86883</v>
          </cell>
          <cell r="AP30">
            <v>35790</v>
          </cell>
          <cell r="AQ30">
            <v>34343</v>
          </cell>
          <cell r="AR30">
            <v>34011</v>
          </cell>
          <cell r="AS30">
            <v>104144</v>
          </cell>
          <cell r="AT30">
            <v>37797</v>
          </cell>
          <cell r="AU30">
            <v>32021</v>
          </cell>
          <cell r="AV30">
            <v>30565</v>
          </cell>
          <cell r="AW30">
            <v>100383</v>
          </cell>
          <cell r="AX30">
            <v>31826</v>
          </cell>
          <cell r="AY30">
            <v>28947</v>
          </cell>
          <cell r="AZ30">
            <v>31938</v>
          </cell>
          <cell r="BA30">
            <v>92711</v>
          </cell>
          <cell r="BB30">
            <v>29625</v>
          </cell>
          <cell r="BC30">
            <v>29681</v>
          </cell>
          <cell r="BD30">
            <v>30709</v>
          </cell>
          <cell r="BE30">
            <v>90015</v>
          </cell>
          <cell r="BF30">
            <v>28751</v>
          </cell>
          <cell r="BG30">
            <v>29361</v>
          </cell>
          <cell r="BH30">
            <v>27809</v>
          </cell>
          <cell r="BI30">
            <v>85921</v>
          </cell>
        </row>
        <row r="31">
          <cell r="A31" t="str">
            <v xml:space="preserve">  % Change</v>
          </cell>
          <cell r="Z31">
            <v>-0.21604938271604934</v>
          </cell>
          <cell r="AA31">
            <v>0.30370370370370381</v>
          </cell>
          <cell r="AB31">
            <v>0.66843033509700178</v>
          </cell>
          <cell r="AC31">
            <v>0.22239368998628262</v>
          </cell>
          <cell r="AD31">
            <v>0.82557569818716314</v>
          </cell>
          <cell r="AE31">
            <v>1.5762299074525083</v>
          </cell>
          <cell r="AF31">
            <v>4.3283730158730158</v>
          </cell>
          <cell r="AG31">
            <v>2.2335515548281504</v>
          </cell>
          <cell r="AH31">
            <v>5.0872513562386983</v>
          </cell>
          <cell r="AI31">
            <v>6.1837196156020351</v>
          </cell>
          <cell r="AJ31">
            <v>7.7339121552604695</v>
          </cell>
          <cell r="AK31">
            <v>6.2864118538474489</v>
          </cell>
          <cell r="AL31">
            <v>11.267980820458178</v>
          </cell>
          <cell r="AM31">
            <v>16.778415614236511</v>
          </cell>
          <cell r="AN31">
            <v>21.265402843601894</v>
          </cell>
          <cell r="AO31">
            <v>16.049254317111458</v>
          </cell>
          <cell r="AP31">
            <v>20.677771047849788</v>
          </cell>
          <cell r="AQ31">
            <v>12.00871212121212</v>
          </cell>
          <cell r="AR31">
            <v>10.984143763213531</v>
          </cell>
          <cell r="AS31">
            <v>13.608500490952448</v>
          </cell>
          <cell r="AT31">
            <v>9.1441223832528173</v>
          </cell>
          <cell r="AU31">
            <v>5.054263565891473</v>
          </cell>
          <cell r="AV31">
            <v>1.845373301061255</v>
          </cell>
          <cell r="AW31">
            <v>4.0808827251100874</v>
          </cell>
          <cell r="AX31">
            <v>1.3636093575937616</v>
          </cell>
          <cell r="AY31">
            <v>1.2778564683663833</v>
          </cell>
          <cell r="AZ31">
            <v>0.8676100812817964</v>
          </cell>
          <cell r="BA31">
            <v>1.1424180801405002</v>
          </cell>
          <cell r="BB31">
            <v>0.28653320015633832</v>
          </cell>
          <cell r="BC31">
            <v>-4.1620923474329996E-2</v>
          </cell>
          <cell r="BD31">
            <v>-6.6198382290336366E-2</v>
          </cell>
          <cell r="BE31">
            <v>3.6048478988985222E-2</v>
          </cell>
          <cell r="BF31">
            <v>-0.1966750488963398</v>
          </cell>
          <cell r="BG31">
            <v>-0.14506595230469088</v>
          </cell>
          <cell r="BH31">
            <v>-0.18235276822204582</v>
          </cell>
          <cell r="BI31">
            <v>-0.17497887540328771</v>
          </cell>
        </row>
        <row r="32">
          <cell r="A32" t="str">
            <v>NRx</v>
          </cell>
          <cell r="J32">
            <v>915</v>
          </cell>
          <cell r="K32">
            <v>965</v>
          </cell>
          <cell r="L32">
            <v>796</v>
          </cell>
          <cell r="M32">
            <v>2676</v>
          </cell>
          <cell r="N32">
            <v>943</v>
          </cell>
          <cell r="O32">
            <v>1004</v>
          </cell>
          <cell r="P32">
            <v>979</v>
          </cell>
          <cell r="Q32">
            <v>2926</v>
          </cell>
          <cell r="R32">
            <v>1084</v>
          </cell>
          <cell r="S32">
            <v>781</v>
          </cell>
          <cell r="T32">
            <v>928</v>
          </cell>
          <cell r="U32">
            <v>2793</v>
          </cell>
          <cell r="V32">
            <v>893</v>
          </cell>
          <cell r="W32">
            <v>769</v>
          </cell>
          <cell r="X32">
            <v>696</v>
          </cell>
          <cell r="Y32">
            <v>2358</v>
          </cell>
          <cell r="Z32">
            <v>757</v>
          </cell>
          <cell r="AA32">
            <v>1594</v>
          </cell>
          <cell r="AB32">
            <v>1586</v>
          </cell>
          <cell r="AC32">
            <v>3937</v>
          </cell>
          <cell r="AD32">
            <v>2056</v>
          </cell>
          <cell r="AE32">
            <v>2897</v>
          </cell>
          <cell r="AF32">
            <v>5443</v>
          </cell>
          <cell r="AG32">
            <v>10396</v>
          </cell>
          <cell r="AH32">
            <v>6795</v>
          </cell>
          <cell r="AI32">
            <v>5975</v>
          </cell>
          <cell r="AJ32">
            <v>7933</v>
          </cell>
          <cell r="AK32">
            <v>20703</v>
          </cell>
          <cell r="AL32">
            <v>10877</v>
          </cell>
          <cell r="AM32">
            <v>14439</v>
          </cell>
          <cell r="AN32">
            <v>15577</v>
          </cell>
          <cell r="AO32">
            <v>40893</v>
          </cell>
          <cell r="AP32">
            <v>16552</v>
          </cell>
          <cell r="AQ32">
            <v>15769</v>
          </cell>
          <cell r="AR32">
            <v>15259</v>
          </cell>
          <cell r="AS32">
            <v>47580</v>
          </cell>
          <cell r="AT32">
            <v>17470</v>
          </cell>
          <cell r="AU32">
            <v>13730</v>
          </cell>
          <cell r="AV32">
            <v>13219</v>
          </cell>
          <cell r="AW32">
            <v>44419</v>
          </cell>
          <cell r="AX32">
            <v>14295</v>
          </cell>
          <cell r="AY32">
            <v>12805</v>
          </cell>
          <cell r="AZ32">
            <v>14358</v>
          </cell>
          <cell r="BA32">
            <v>41458</v>
          </cell>
          <cell r="BB32">
            <v>13183</v>
          </cell>
          <cell r="BC32">
            <v>12950</v>
          </cell>
          <cell r="BD32">
            <v>13415</v>
          </cell>
          <cell r="BE32">
            <v>39548</v>
          </cell>
          <cell r="BF32">
            <v>12722</v>
          </cell>
          <cell r="BG32">
            <v>13360</v>
          </cell>
          <cell r="BH32">
            <v>12218</v>
          </cell>
          <cell r="BI32">
            <v>38300</v>
          </cell>
        </row>
        <row r="33">
          <cell r="A33" t="str">
            <v xml:space="preserve">  % Change</v>
          </cell>
          <cell r="Z33">
            <v>-0.17267759562841534</v>
          </cell>
          <cell r="AA33">
            <v>0.65181347150259072</v>
          </cell>
          <cell r="AB33">
            <v>0.99246231155778886</v>
          </cell>
          <cell r="AC33">
            <v>0.47122571001494773</v>
          </cell>
          <cell r="AD33">
            <v>1.1802757158006361</v>
          </cell>
          <cell r="AE33">
            <v>1.8854581673306772</v>
          </cell>
          <cell r="AF33">
            <v>4.5597548518896831</v>
          </cell>
          <cell r="AG33">
            <v>2.5529733424470265</v>
          </cell>
          <cell r="AH33">
            <v>5.2684501845018454</v>
          </cell>
          <cell r="AI33">
            <v>6.6504481434058897</v>
          </cell>
          <cell r="AJ33">
            <v>7.5484913793103452</v>
          </cell>
          <cell r="AK33">
            <v>6.4124597207303973</v>
          </cell>
          <cell r="AL33">
            <v>11.180291153415453</v>
          </cell>
          <cell r="AM33">
            <v>17.77633289986996</v>
          </cell>
          <cell r="AN33">
            <v>21.380747126436781</v>
          </cell>
          <cell r="AO33">
            <v>16.342239185750635</v>
          </cell>
          <cell r="AP33">
            <v>20.865257595772789</v>
          </cell>
          <cell r="AQ33">
            <v>8.8927227101631114</v>
          </cell>
          <cell r="AR33">
            <v>8.6210592686002521</v>
          </cell>
          <cell r="AS33">
            <v>11.085344170688341</v>
          </cell>
          <cell r="AT33">
            <v>7.4970817120622559</v>
          </cell>
          <cell r="AU33">
            <v>3.7393855712806348</v>
          </cell>
          <cell r="AV33">
            <v>1.4286239206320044</v>
          </cell>
          <cell r="AW33">
            <v>3.2727010388611006</v>
          </cell>
          <cell r="AX33">
            <v>1.1037527593818983</v>
          </cell>
          <cell r="AY33">
            <v>1.1430962343096236</v>
          </cell>
          <cell r="AZ33">
            <v>0.80990797932686243</v>
          </cell>
          <cell r="BA33">
            <v>1.002511713278269</v>
          </cell>
          <cell r="BB33">
            <v>0.21200698722074107</v>
          </cell>
          <cell r="BC33">
            <v>-0.10312348500588686</v>
          </cell>
          <cell r="BD33">
            <v>-0.13879437632406755</v>
          </cell>
          <cell r="BE33">
            <v>-3.2890714792262687E-2</v>
          </cell>
          <cell r="BF33">
            <v>-0.2313919768003867</v>
          </cell>
          <cell r="BG33">
            <v>-0.15276808928911156</v>
          </cell>
          <cell r="BH33">
            <v>-0.19929222098433708</v>
          </cell>
          <cell r="BI33">
            <v>-0.19503993274485076</v>
          </cell>
        </row>
        <row r="34">
          <cell r="A34" t="str">
            <v>Sales (IMS)</v>
          </cell>
          <cell r="J34">
            <v>4.5599999999999998E-3</v>
          </cell>
          <cell r="K34">
            <v>3.156E-3</v>
          </cell>
          <cell r="L34">
            <v>3.663E-3</v>
          </cell>
          <cell r="M34">
            <v>1.1379E-2</v>
          </cell>
          <cell r="N34">
            <v>3.7659999999999998E-3</v>
          </cell>
          <cell r="O34">
            <v>3.127E-3</v>
          </cell>
          <cell r="P34">
            <v>1.0690000000000001E-3</v>
          </cell>
          <cell r="Q34">
            <v>7.9620000000000003E-3</v>
          </cell>
          <cell r="R34">
            <v>0</v>
          </cell>
          <cell r="S34">
            <v>0</v>
          </cell>
          <cell r="T34">
            <v>1.2E-5</v>
          </cell>
          <cell r="U34">
            <v>1.2E-5</v>
          </cell>
          <cell r="V34">
            <v>5.8E-5</v>
          </cell>
          <cell r="W34">
            <v>2.4000000000000001E-5</v>
          </cell>
          <cell r="X34">
            <v>5.1E-5</v>
          </cell>
          <cell r="Y34">
            <v>1.3300000000000001E-4</v>
          </cell>
          <cell r="Z34">
            <v>5.0033000000000001E-2</v>
          </cell>
          <cell r="AA34">
            <v>9.6865999999999994E-2</v>
          </cell>
          <cell r="AB34">
            <v>0.141292</v>
          </cell>
          <cell r="AC34">
            <v>0.28819099999999997</v>
          </cell>
          <cell r="AD34">
            <v>0.13208400000000001</v>
          </cell>
          <cell r="AE34">
            <v>0.19513</v>
          </cell>
          <cell r="AF34">
            <v>0.29523199999999999</v>
          </cell>
          <cell r="AG34">
            <v>0.62244600000000005</v>
          </cell>
          <cell r="AH34">
            <v>0.268067</v>
          </cell>
          <cell r="AI34">
            <v>0.28626099999999999</v>
          </cell>
          <cell r="AJ34">
            <v>0.79322800000000004</v>
          </cell>
          <cell r="AK34">
            <v>1.347556</v>
          </cell>
          <cell r="AL34">
            <v>1.055936</v>
          </cell>
          <cell r="AM34">
            <v>1.0221499999999999</v>
          </cell>
          <cell r="AN34">
            <v>1.6212690000000001</v>
          </cell>
          <cell r="AO34">
            <v>3.6993549999999997</v>
          </cell>
          <cell r="AP34">
            <v>1.1178459999999999</v>
          </cell>
          <cell r="AQ34">
            <v>1.04661</v>
          </cell>
          <cell r="AR34">
            <v>1.4568000000000001</v>
          </cell>
          <cell r="AS34">
            <v>3.6212559999999998</v>
          </cell>
          <cell r="AT34">
            <v>1.302224</v>
          </cell>
          <cell r="AU34">
            <v>0.78763899999999998</v>
          </cell>
          <cell r="AV34">
            <v>1.226658</v>
          </cell>
          <cell r="AW34">
            <v>3.3165210000000003</v>
          </cell>
          <cell r="AX34">
            <v>1.220572</v>
          </cell>
          <cell r="AY34">
            <v>1.033455</v>
          </cell>
          <cell r="AZ34">
            <v>1.308595</v>
          </cell>
          <cell r="BA34">
            <v>3.5626219999999997</v>
          </cell>
          <cell r="BB34">
            <v>0.959561</v>
          </cell>
          <cell r="BC34">
            <v>0.98585999999999996</v>
          </cell>
          <cell r="BD34">
            <v>1.1989449999999999</v>
          </cell>
          <cell r="BE34">
            <v>3.1443659999999998</v>
          </cell>
          <cell r="BF34">
            <v>0.85269499999999998</v>
          </cell>
          <cell r="BG34">
            <v>0.91012400000000004</v>
          </cell>
        </row>
        <row r="35">
          <cell r="A35" t="str">
            <v xml:space="preserve">  % Change</v>
          </cell>
          <cell r="Z35">
            <v>9.9721491228070178</v>
          </cell>
          <cell r="AA35">
            <v>29.692648922686946</v>
          </cell>
          <cell r="AB35">
            <v>37.572754572754576</v>
          </cell>
          <cell r="AC35">
            <v>24.326566482116178</v>
          </cell>
          <cell r="AD35">
            <v>34.072756240042487</v>
          </cell>
          <cell r="AE35">
            <v>61.401662935721134</v>
          </cell>
          <cell r="AF35">
            <v>275.17586529466791</v>
          </cell>
          <cell r="AG35">
            <v>77.177091183119828</v>
          </cell>
          <cell r="AH35" t="e">
            <v>#DIV/0!</v>
          </cell>
          <cell r="AI35" t="e">
            <v>#DIV/0!</v>
          </cell>
          <cell r="AJ35">
            <v>66101.333333333328</v>
          </cell>
          <cell r="AK35">
            <v>112295.33333333333</v>
          </cell>
          <cell r="AL35">
            <v>18204.793103448275</v>
          </cell>
          <cell r="AM35">
            <v>42588.583333333328</v>
          </cell>
          <cell r="AN35">
            <v>31788.588235294119</v>
          </cell>
          <cell r="AO35">
            <v>27813.699248120298</v>
          </cell>
          <cell r="AP35">
            <v>21.342174165051063</v>
          </cell>
          <cell r="AQ35">
            <v>9.8047199223669814</v>
          </cell>
          <cell r="AR35">
            <v>9.3105625230020106</v>
          </cell>
          <cell r="AS35">
            <v>11.565472204197912</v>
          </cell>
          <cell r="AT35">
            <v>8.8590593864510456</v>
          </cell>
          <cell r="AU35">
            <v>3.036483370060985</v>
          </cell>
          <cell r="AV35">
            <v>3.1548951333188819</v>
          </cell>
          <cell r="AW35">
            <v>4.3282067842029672</v>
          </cell>
          <cell r="AX35">
            <v>3.5532348256219528</v>
          </cell>
          <cell r="AY35">
            <v>2.6101844121273943</v>
          </cell>
          <cell r="AZ35">
            <v>0.64970853272955553</v>
          </cell>
          <cell r="BA35">
            <v>1.6437654539032143</v>
          </cell>
          <cell r="BB35">
            <v>-9.1269736044608751E-2</v>
          </cell>
          <cell r="BC35">
            <v>-3.5503595362715745E-2</v>
          </cell>
          <cell r="BD35">
            <v>-0.26048977683530627</v>
          </cell>
          <cell r="BE35">
            <v>-0.15002317971646406</v>
          </cell>
          <cell r="BF35">
            <v>-0.23719814715085974</v>
          </cell>
          <cell r="BG35">
            <v>-0.13040769723201573</v>
          </cell>
        </row>
        <row r="37">
          <cell r="A37" t="str">
            <v>TERBUTALINE</v>
          </cell>
        </row>
        <row r="38">
          <cell r="A38" t="str">
            <v>TRx</v>
          </cell>
          <cell r="J38">
            <v>2249</v>
          </cell>
          <cell r="K38">
            <v>8648</v>
          </cell>
          <cell r="L38">
            <v>10911</v>
          </cell>
          <cell r="M38">
            <v>21808</v>
          </cell>
          <cell r="N38">
            <v>14522</v>
          </cell>
          <cell r="O38">
            <v>15560</v>
          </cell>
          <cell r="P38">
            <v>17057</v>
          </cell>
          <cell r="Q38">
            <v>47139</v>
          </cell>
          <cell r="R38">
            <v>19608</v>
          </cell>
          <cell r="S38">
            <v>19259</v>
          </cell>
          <cell r="T38">
            <v>21482</v>
          </cell>
          <cell r="U38">
            <v>60349</v>
          </cell>
          <cell r="V38">
            <v>22620</v>
          </cell>
          <cell r="W38">
            <v>23292</v>
          </cell>
          <cell r="X38">
            <v>22838</v>
          </cell>
          <cell r="Y38">
            <v>68750</v>
          </cell>
          <cell r="Z38">
            <v>25259</v>
          </cell>
          <cell r="AA38">
            <v>25622</v>
          </cell>
          <cell r="AB38">
            <v>24307</v>
          </cell>
          <cell r="AC38">
            <v>75188</v>
          </cell>
          <cell r="AD38">
            <v>25183</v>
          </cell>
          <cell r="AE38">
            <v>24924</v>
          </cell>
          <cell r="AF38">
            <v>25526</v>
          </cell>
          <cell r="AG38">
            <v>75633</v>
          </cell>
          <cell r="AH38">
            <v>26374</v>
          </cell>
          <cell r="AI38">
            <v>24323</v>
          </cell>
          <cell r="AJ38">
            <v>26334</v>
          </cell>
          <cell r="AK38">
            <v>77031</v>
          </cell>
          <cell r="AL38">
            <v>25784</v>
          </cell>
          <cell r="AM38">
            <v>27220</v>
          </cell>
          <cell r="AN38">
            <v>26548</v>
          </cell>
          <cell r="AO38">
            <v>79552</v>
          </cell>
          <cell r="AP38">
            <v>27083</v>
          </cell>
          <cell r="AQ38">
            <v>26694</v>
          </cell>
          <cell r="AR38">
            <v>25746</v>
          </cell>
          <cell r="AS38">
            <v>79523</v>
          </cell>
          <cell r="AT38">
            <v>26225</v>
          </cell>
          <cell r="AU38">
            <v>23625</v>
          </cell>
          <cell r="AV38">
            <v>25690</v>
          </cell>
          <cell r="AW38">
            <v>75540</v>
          </cell>
          <cell r="AX38">
            <v>25628</v>
          </cell>
          <cell r="AY38">
            <v>24025</v>
          </cell>
          <cell r="AZ38">
            <v>26813</v>
          </cell>
          <cell r="BA38">
            <v>76466</v>
          </cell>
          <cell r="BB38">
            <v>25139</v>
          </cell>
          <cell r="BC38">
            <v>24921</v>
          </cell>
          <cell r="BD38">
            <v>25500</v>
          </cell>
          <cell r="BE38">
            <v>75560</v>
          </cell>
          <cell r="BF38">
            <v>25242</v>
          </cell>
          <cell r="BG38">
            <v>25267</v>
          </cell>
          <cell r="BH38">
            <v>24915</v>
          </cell>
          <cell r="BI38">
            <v>75424</v>
          </cell>
        </row>
        <row r="39">
          <cell r="A39" t="str">
            <v xml:space="preserve">  % Change</v>
          </cell>
          <cell r="Z39">
            <v>10.23121387283237</v>
          </cell>
          <cell r="AA39">
            <v>1.9627659574468086</v>
          </cell>
          <cell r="AB39">
            <v>1.2277518100998992</v>
          </cell>
          <cell r="AC39">
            <v>2.4477256052824652</v>
          </cell>
          <cell r="AD39">
            <v>0.73412753064316205</v>
          </cell>
          <cell r="AE39">
            <v>0.60179948586118259</v>
          </cell>
          <cell r="AF39">
            <v>0.49651169607785661</v>
          </cell>
          <cell r="AG39">
            <v>0.60446763826131233</v>
          </cell>
          <cell r="AH39">
            <v>0.34506323949408402</v>
          </cell>
          <cell r="AI39">
            <v>0.26294200114232313</v>
          </cell>
          <cell r="AJ39">
            <v>0.22586351363932589</v>
          </cell>
          <cell r="AK39">
            <v>0.27642545858257805</v>
          </cell>
          <cell r="AL39">
            <v>0.13987621573828468</v>
          </cell>
          <cell r="AM39">
            <v>0.16864159368023346</v>
          </cell>
          <cell r="AN39">
            <v>0.1624485506611788</v>
          </cell>
          <cell r="AO39">
            <v>0.15711999999999993</v>
          </cell>
          <cell r="AP39">
            <v>7.2211884872718679E-2</v>
          </cell>
          <cell r="AQ39">
            <v>4.1839044571071682E-2</v>
          </cell>
          <cell r="AR39">
            <v>5.9201053194553044E-2</v>
          </cell>
          <cell r="AS39">
            <v>5.7655476937809258E-2</v>
          </cell>
          <cell r="AT39">
            <v>4.1377119485367153E-2</v>
          </cell>
          <cell r="AU39">
            <v>-5.2118440057775661E-2</v>
          </cell>
          <cell r="AV39">
            <v>6.4248217503721783E-3</v>
          </cell>
          <cell r="AW39">
            <v>-1.2296219904009975E-3</v>
          </cell>
          <cell r="AX39">
            <v>-2.8285432623037843E-2</v>
          </cell>
          <cell r="AY39">
            <v>-1.2251778152366111E-2</v>
          </cell>
          <cell r="AZ39">
            <v>1.8189412926254978E-2</v>
          </cell>
          <cell r="BA39">
            <v>-7.3347094027079729E-3</v>
          </cell>
          <cell r="BB39">
            <v>-2.5015513496742137E-2</v>
          </cell>
          <cell r="BC39">
            <v>-8.4459955914768514E-2</v>
          </cell>
          <cell r="BD39">
            <v>-3.9475666716890179E-2</v>
          </cell>
          <cell r="BE39">
            <v>-5.0181013676588893E-2</v>
          </cell>
          <cell r="BF39">
            <v>-6.7976221245799939E-2</v>
          </cell>
          <cell r="BG39">
            <v>-5.3457705851502224E-2</v>
          </cell>
          <cell r="BH39">
            <v>-3.2276858541132603E-2</v>
          </cell>
          <cell r="BI39">
            <v>-5.1544836085157808E-2</v>
          </cell>
        </row>
        <row r="40">
          <cell r="A40" t="str">
            <v>NRx</v>
          </cell>
          <cell r="J40">
            <v>2050</v>
          </cell>
          <cell r="K40">
            <v>6533</v>
          </cell>
          <cell r="L40">
            <v>7715</v>
          </cell>
          <cell r="M40">
            <v>16298</v>
          </cell>
          <cell r="N40">
            <v>10004</v>
          </cell>
          <cell r="O40">
            <v>10317</v>
          </cell>
          <cell r="P40">
            <v>11168</v>
          </cell>
          <cell r="Q40">
            <v>31489</v>
          </cell>
          <cell r="R40">
            <v>13317</v>
          </cell>
          <cell r="S40">
            <v>12635</v>
          </cell>
          <cell r="T40">
            <v>13968</v>
          </cell>
          <cell r="U40">
            <v>39920</v>
          </cell>
          <cell r="V40">
            <v>14669</v>
          </cell>
          <cell r="W40">
            <v>14542</v>
          </cell>
          <cell r="X40">
            <v>14581</v>
          </cell>
          <cell r="Y40">
            <v>43792</v>
          </cell>
          <cell r="Z40">
            <v>16037</v>
          </cell>
          <cell r="AA40">
            <v>16082</v>
          </cell>
          <cell r="AB40">
            <v>15427</v>
          </cell>
          <cell r="AC40">
            <v>47546</v>
          </cell>
          <cell r="AD40">
            <v>15731</v>
          </cell>
          <cell r="AE40">
            <v>15541</v>
          </cell>
          <cell r="AF40">
            <v>15575</v>
          </cell>
          <cell r="AG40">
            <v>46847</v>
          </cell>
          <cell r="AH40">
            <v>16682</v>
          </cell>
          <cell r="AI40">
            <v>14889</v>
          </cell>
          <cell r="AJ40">
            <v>16215</v>
          </cell>
          <cell r="AK40">
            <v>47786</v>
          </cell>
          <cell r="AL40">
            <v>15819</v>
          </cell>
          <cell r="AM40">
            <v>16994</v>
          </cell>
          <cell r="AN40">
            <v>16303</v>
          </cell>
          <cell r="AO40">
            <v>49116</v>
          </cell>
          <cell r="AP40">
            <v>16601</v>
          </cell>
          <cell r="AQ40">
            <v>16655</v>
          </cell>
          <cell r="AR40">
            <v>16024</v>
          </cell>
          <cell r="AS40">
            <v>49280</v>
          </cell>
          <cell r="AT40">
            <v>16340</v>
          </cell>
          <cell r="AU40">
            <v>14375</v>
          </cell>
          <cell r="AV40">
            <v>15672</v>
          </cell>
          <cell r="AW40">
            <v>46387</v>
          </cell>
          <cell r="AX40">
            <v>15972</v>
          </cell>
          <cell r="AY40">
            <v>14986</v>
          </cell>
          <cell r="AZ40">
            <v>16562</v>
          </cell>
          <cell r="BA40">
            <v>47520</v>
          </cell>
          <cell r="BB40">
            <v>15595</v>
          </cell>
          <cell r="BC40">
            <v>15602</v>
          </cell>
          <cell r="BD40">
            <v>16078</v>
          </cell>
          <cell r="BE40">
            <v>47275</v>
          </cell>
          <cell r="BF40">
            <v>16005</v>
          </cell>
          <cell r="BG40">
            <v>15837</v>
          </cell>
          <cell r="BH40">
            <v>15626</v>
          </cell>
          <cell r="BI40">
            <v>47468</v>
          </cell>
        </row>
        <row r="41">
          <cell r="A41" t="str">
            <v xml:space="preserve">  % Change</v>
          </cell>
          <cell r="Z41">
            <v>6.822926829268293</v>
          </cell>
          <cell r="AA41">
            <v>1.4616562069493342</v>
          </cell>
          <cell r="AB41">
            <v>0.99961114711600785</v>
          </cell>
          <cell r="AC41">
            <v>1.9172904650877407</v>
          </cell>
          <cell r="AD41">
            <v>0.57247101159536196</v>
          </cell>
          <cell r="AE41">
            <v>0.50634874479015224</v>
          </cell>
          <cell r="AF41">
            <v>0.39460959885386826</v>
          </cell>
          <cell r="AG41">
            <v>0.48772587252691424</v>
          </cell>
          <cell r="AH41">
            <v>0.25268453855973561</v>
          </cell>
          <cell r="AI41">
            <v>0.17839335180055405</v>
          </cell>
          <cell r="AJ41">
            <v>0.16086769759450181</v>
          </cell>
          <cell r="AK41">
            <v>0.19704408817635266</v>
          </cell>
          <cell r="AL41">
            <v>7.8396618719749123E-2</v>
          </cell>
          <cell r="AM41">
            <v>0.16861504607344235</v>
          </cell>
          <cell r="AN41">
            <v>0.11809889582333177</v>
          </cell>
          <cell r="AO41">
            <v>0.12157471684325905</v>
          </cell>
          <cell r="AP41">
            <v>3.5168672444970905E-2</v>
          </cell>
          <cell r="AQ41">
            <v>3.562989677900763E-2</v>
          </cell>
          <cell r="AR41">
            <v>3.8698385946716707E-2</v>
          </cell>
          <cell r="AS41">
            <v>3.646994489546973E-2</v>
          </cell>
          <cell r="AT41">
            <v>3.8713368508041412E-2</v>
          </cell>
          <cell r="AU41">
            <v>-7.5027347017566415E-2</v>
          </cell>
          <cell r="AV41">
            <v>6.2279293739968544E-3</v>
          </cell>
          <cell r="AW41">
            <v>-9.819198668004403E-3</v>
          </cell>
          <cell r="AX41">
            <v>-4.2560844023498356E-2</v>
          </cell>
          <cell r="AY41">
            <v>6.5148767546510111E-3</v>
          </cell>
          <cell r="AZ41">
            <v>2.1399938328708012E-2</v>
          </cell>
          <cell r="BA41">
            <v>-5.5664839074205386E-3</v>
          </cell>
          <cell r="BB41">
            <v>-1.4160187116758371E-2</v>
          </cell>
          <cell r="BC41">
            <v>-8.191126279863481E-2</v>
          </cell>
          <cell r="BD41">
            <v>-1.3801140894313946E-2</v>
          </cell>
          <cell r="BE41">
            <v>-3.7482694030458452E-2</v>
          </cell>
          <cell r="BF41">
            <v>-3.5901451719775879E-2</v>
          </cell>
          <cell r="BG41">
            <v>-4.9114380066046182E-2</v>
          </cell>
          <cell r="BH41">
            <v>-2.4837743384922617E-2</v>
          </cell>
          <cell r="BI41">
            <v>-3.676948051948048E-2</v>
          </cell>
        </row>
        <row r="42">
          <cell r="A42" t="str">
            <v>Sales (IMS)</v>
          </cell>
          <cell r="J42">
            <v>0.13547200000000001</v>
          </cell>
          <cell r="K42">
            <v>0.498863</v>
          </cell>
          <cell r="L42">
            <v>0.41917300000000002</v>
          </cell>
          <cell r="M42">
            <v>1.0535079999999999</v>
          </cell>
          <cell r="N42">
            <v>0.36694100000000002</v>
          </cell>
          <cell r="O42">
            <v>0.40532899999999999</v>
          </cell>
          <cell r="P42">
            <v>0.508135</v>
          </cell>
          <cell r="Q42">
            <v>1.280405</v>
          </cell>
          <cell r="R42">
            <v>0.47934900000000003</v>
          </cell>
          <cell r="S42">
            <v>0.497533</v>
          </cell>
          <cell r="T42">
            <v>0.62729599999999996</v>
          </cell>
          <cell r="U42">
            <v>1.6041780000000001</v>
          </cell>
          <cell r="V42">
            <v>0.52696600000000005</v>
          </cell>
          <cell r="W42">
            <v>0.55608000000000002</v>
          </cell>
          <cell r="X42">
            <v>0.71602399999999999</v>
          </cell>
          <cell r="Y42">
            <v>1.7990699999999999</v>
          </cell>
          <cell r="Z42">
            <v>0.61932600000000004</v>
          </cell>
          <cell r="AA42">
            <v>0.60755300000000001</v>
          </cell>
          <cell r="AB42">
            <v>0.73751100000000003</v>
          </cell>
          <cell r="AC42">
            <v>1.9643900000000001</v>
          </cell>
          <cell r="AD42">
            <v>0.599221</v>
          </cell>
          <cell r="AE42">
            <v>0.60291399999999995</v>
          </cell>
          <cell r="AF42">
            <v>0.77850299999999995</v>
          </cell>
          <cell r="AG42">
            <v>1.9806379999999999</v>
          </cell>
          <cell r="AH42">
            <v>0.65651599999999999</v>
          </cell>
          <cell r="AI42">
            <v>0.65413100000000002</v>
          </cell>
          <cell r="AJ42">
            <v>0.85866200000000004</v>
          </cell>
          <cell r="AK42">
            <v>2.1693090000000002</v>
          </cell>
          <cell r="AL42">
            <v>0.65390400000000004</v>
          </cell>
          <cell r="AM42">
            <v>0.67477100000000001</v>
          </cell>
          <cell r="AN42">
            <v>0.853522</v>
          </cell>
          <cell r="AO42">
            <v>2.1821969999999999</v>
          </cell>
          <cell r="AP42">
            <v>0.65353700000000003</v>
          </cell>
          <cell r="AQ42">
            <v>0.67874199999999996</v>
          </cell>
          <cell r="AR42">
            <v>0.78428600000000004</v>
          </cell>
          <cell r="AS42">
            <v>2.116565</v>
          </cell>
          <cell r="AT42">
            <v>0.65162200000000003</v>
          </cell>
          <cell r="AU42">
            <v>0.62275199999999997</v>
          </cell>
          <cell r="AV42">
            <v>0.75837500000000002</v>
          </cell>
          <cell r="AW42">
            <v>2.0327489999999999</v>
          </cell>
          <cell r="AX42">
            <v>0.62162200000000001</v>
          </cell>
          <cell r="AY42">
            <v>0.61995100000000003</v>
          </cell>
          <cell r="AZ42">
            <v>0.777138</v>
          </cell>
          <cell r="BA42">
            <v>2.0187110000000001</v>
          </cell>
          <cell r="BB42">
            <v>0.62830299999999994</v>
          </cell>
          <cell r="BC42">
            <v>0.63191399999999998</v>
          </cell>
          <cell r="BD42">
            <v>0.76594099999999998</v>
          </cell>
          <cell r="BE42">
            <v>2.0261579999999997</v>
          </cell>
          <cell r="BF42">
            <v>0.62513799999999997</v>
          </cell>
          <cell r="BG42">
            <v>0.63733600000000001</v>
          </cell>
        </row>
        <row r="43">
          <cell r="A43" t="str">
            <v xml:space="preserve">  % Change</v>
          </cell>
          <cell r="Z43">
            <v>3.5716162749498048</v>
          </cell>
          <cell r="AA43">
            <v>0.21787544877050413</v>
          </cell>
          <cell r="AB43">
            <v>0.75944299847556973</v>
          </cell>
          <cell r="AC43">
            <v>0.86461801903734981</v>
          </cell>
          <cell r="AD43">
            <v>0.63301729705865517</v>
          </cell>
          <cell r="AE43">
            <v>0.4874682048410055</v>
          </cell>
          <cell r="AF43">
            <v>0.53207907347456862</v>
          </cell>
          <cell r="AG43">
            <v>0.54688399373635677</v>
          </cell>
          <cell r="AH43">
            <v>0.36959918556208504</v>
          </cell>
          <cell r="AI43">
            <v>0.31474897142501113</v>
          </cell>
          <cell r="AJ43">
            <v>0.36883066367392758</v>
          </cell>
          <cell r="AK43">
            <v>0.35228696566091799</v>
          </cell>
          <cell r="AL43">
            <v>0.2408846111513836</v>
          </cell>
          <cell r="AM43">
            <v>0.2134423104589267</v>
          </cell>
          <cell r="AN43">
            <v>0.19202987609353883</v>
          </cell>
          <cell r="AO43">
            <v>0.21295836182027372</v>
          </cell>
          <cell r="AP43">
            <v>5.5239082486444824E-2</v>
          </cell>
          <cell r="AQ43">
            <v>0.11717331656662044</v>
          </cell>
          <cell r="AR43">
            <v>6.3422782846628722E-2</v>
          </cell>
          <cell r="AS43">
            <v>7.7466796308268693E-2</v>
          </cell>
          <cell r="AT43">
            <v>8.7448537350994116E-2</v>
          </cell>
          <cell r="AU43">
            <v>3.290353184699657E-2</v>
          </cell>
          <cell r="AV43">
            <v>-2.5854749435776037E-2</v>
          </cell>
          <cell r="AW43">
            <v>2.6310209134632334E-2</v>
          </cell>
          <cell r="AX43">
            <v>-5.3150265949344688E-2</v>
          </cell>
          <cell r="AY43">
            <v>-5.2252530456437629E-2</v>
          </cell>
          <cell r="AZ43">
            <v>-9.4943062578756288E-2</v>
          </cell>
          <cell r="BA43">
            <v>-6.9422106302052811E-2</v>
          </cell>
          <cell r="BB43">
            <v>-3.9151006875627115E-2</v>
          </cell>
          <cell r="BC43">
            <v>-6.3513399360672018E-2</v>
          </cell>
          <cell r="BD43">
            <v>-0.10261129765840837</v>
          </cell>
          <cell r="BE43">
            <v>-7.1505459864531162E-2</v>
          </cell>
          <cell r="BF43">
            <v>-4.3454310926542838E-2</v>
          </cell>
          <cell r="BG43">
            <v>-6.1004033933364843E-2</v>
          </cell>
        </row>
        <row r="45">
          <cell r="A45" t="str">
            <v>FLAVOXATE</v>
          </cell>
        </row>
        <row r="46">
          <cell r="A46" t="str">
            <v>TRx</v>
          </cell>
          <cell r="AR46">
            <v>10</v>
          </cell>
          <cell r="AS46">
            <v>10</v>
          </cell>
          <cell r="AT46">
            <v>176</v>
          </cell>
          <cell r="AU46">
            <v>1713</v>
          </cell>
          <cell r="AV46">
            <v>2757</v>
          </cell>
          <cell r="AW46">
            <v>4646</v>
          </cell>
          <cell r="AX46">
            <v>3028</v>
          </cell>
          <cell r="AY46">
            <v>3279</v>
          </cell>
          <cell r="AZ46">
            <v>3959</v>
          </cell>
          <cell r="BA46">
            <v>10266</v>
          </cell>
          <cell r="BB46">
            <v>4089</v>
          </cell>
          <cell r="BC46">
            <v>4342</v>
          </cell>
          <cell r="BD46">
            <v>4661</v>
          </cell>
          <cell r="BE46">
            <v>13092</v>
          </cell>
          <cell r="BF46">
            <v>5053</v>
          </cell>
          <cell r="BG46">
            <v>5205</v>
          </cell>
          <cell r="BH46">
            <v>5475</v>
          </cell>
          <cell r="BI46">
            <v>15733</v>
          </cell>
        </row>
        <row r="47">
          <cell r="A47" t="str">
            <v xml:space="preserve">  % Change</v>
          </cell>
        </row>
        <row r="48">
          <cell r="A48" t="str">
            <v>NRx</v>
          </cell>
          <cell r="AR48">
            <v>8</v>
          </cell>
          <cell r="AS48">
            <v>8</v>
          </cell>
          <cell r="AT48">
            <v>157</v>
          </cell>
          <cell r="AU48">
            <v>1494</v>
          </cell>
          <cell r="AV48">
            <v>2111</v>
          </cell>
          <cell r="AW48">
            <v>3762</v>
          </cell>
          <cell r="AX48">
            <v>2293</v>
          </cell>
          <cell r="AY48">
            <v>2335</v>
          </cell>
          <cell r="AZ48">
            <v>2897</v>
          </cell>
          <cell r="BA48">
            <v>7525</v>
          </cell>
          <cell r="BB48">
            <v>2818</v>
          </cell>
          <cell r="BC48">
            <v>3019</v>
          </cell>
          <cell r="BD48">
            <v>3208</v>
          </cell>
          <cell r="BE48">
            <v>9045</v>
          </cell>
          <cell r="BF48">
            <v>3349</v>
          </cell>
          <cell r="BG48">
            <v>3599</v>
          </cell>
          <cell r="BH48">
            <v>3599</v>
          </cell>
          <cell r="BI48">
            <v>10547</v>
          </cell>
        </row>
        <row r="49">
          <cell r="A49" t="str">
            <v xml:space="preserve">  % Change</v>
          </cell>
        </row>
        <row r="50">
          <cell r="A50" t="str">
            <v>Sales (IMS)</v>
          </cell>
          <cell r="AS50">
            <v>0</v>
          </cell>
          <cell r="AT50">
            <v>0.10143000000000001</v>
          </cell>
          <cell r="AU50">
            <v>0.26915299999999998</v>
          </cell>
          <cell r="AV50">
            <v>0.26153399999999999</v>
          </cell>
          <cell r="AW50">
            <v>0.63211700000000004</v>
          </cell>
          <cell r="AX50">
            <v>0.26298700000000003</v>
          </cell>
          <cell r="AY50">
            <v>0.26691199999999998</v>
          </cell>
          <cell r="AZ50">
            <v>0.354574</v>
          </cell>
          <cell r="BA50">
            <v>0.88447300000000006</v>
          </cell>
          <cell r="BB50">
            <v>0.27815899999999999</v>
          </cell>
          <cell r="BC50">
            <v>0.28571099999999999</v>
          </cell>
          <cell r="BD50">
            <v>0.36157800000000001</v>
          </cell>
          <cell r="BE50">
            <v>0.92544800000000005</v>
          </cell>
          <cell r="BF50">
            <v>0.304753</v>
          </cell>
          <cell r="BG50">
            <v>0.29656100000000002</v>
          </cell>
        </row>
        <row r="51">
          <cell r="A51" t="str">
            <v xml:space="preserve">  % Change</v>
          </cell>
        </row>
        <row r="53">
          <cell r="A53" t="str">
            <v>DEMECLOCYCLINE</v>
          </cell>
        </row>
        <row r="54">
          <cell r="A54" t="str">
            <v>TRx</v>
          </cell>
          <cell r="AZ54">
            <v>2</v>
          </cell>
          <cell r="BA54">
            <v>2</v>
          </cell>
          <cell r="BB54">
            <v>386</v>
          </cell>
          <cell r="BC54">
            <v>1188</v>
          </cell>
          <cell r="BD54">
            <v>1638</v>
          </cell>
          <cell r="BE54">
            <v>3212</v>
          </cell>
          <cell r="BF54">
            <v>2072</v>
          </cell>
          <cell r="BG54">
            <v>2394</v>
          </cell>
          <cell r="BH54">
            <v>2578</v>
          </cell>
          <cell r="BI54">
            <v>7044</v>
          </cell>
        </row>
        <row r="55">
          <cell r="A55" t="str">
            <v xml:space="preserve">  % Change</v>
          </cell>
        </row>
        <row r="56">
          <cell r="A56" t="str">
            <v>NRx</v>
          </cell>
          <cell r="AZ56">
            <v>2</v>
          </cell>
          <cell r="BA56">
            <v>2</v>
          </cell>
          <cell r="BB56">
            <v>306</v>
          </cell>
          <cell r="BC56">
            <v>838</v>
          </cell>
          <cell r="BD56">
            <v>1009</v>
          </cell>
          <cell r="BE56">
            <v>2153</v>
          </cell>
          <cell r="BF56">
            <v>1104</v>
          </cell>
          <cell r="BG56">
            <v>1248</v>
          </cell>
          <cell r="BH56">
            <v>1322</v>
          </cell>
          <cell r="BI56">
            <v>3674</v>
          </cell>
        </row>
        <row r="57">
          <cell r="A57" t="str">
            <v xml:space="preserve">  % Change</v>
          </cell>
        </row>
        <row r="58">
          <cell r="A58" t="str">
            <v>Sales (IMS)</v>
          </cell>
          <cell r="AZ58">
            <v>1.06E-3</v>
          </cell>
          <cell r="BA58">
            <v>1.06E-3</v>
          </cell>
          <cell r="BB58">
            <v>0.62908500000000001</v>
          </cell>
          <cell r="BC58">
            <v>0.94461600000000001</v>
          </cell>
          <cell r="BD58">
            <v>1.4227959999999999</v>
          </cell>
          <cell r="BE58">
            <v>2.9964969999999997</v>
          </cell>
          <cell r="BF58">
            <v>1.3164400000000001</v>
          </cell>
          <cell r="BG58">
            <v>1.400174</v>
          </cell>
        </row>
        <row r="59">
          <cell r="A59" t="str">
            <v xml:space="preserve">  % Change</v>
          </cell>
        </row>
        <row r="61">
          <cell r="A61" t="str">
            <v>BUDEPRION SR (Teva/Impax)</v>
          </cell>
        </row>
        <row r="62">
          <cell r="A62" t="str">
            <v>TRx</v>
          </cell>
          <cell r="AY62">
            <v>586</v>
          </cell>
          <cell r="AZ62">
            <v>45042</v>
          </cell>
          <cell r="BA62">
            <v>45628</v>
          </cell>
          <cell r="BB62">
            <v>277392</v>
          </cell>
          <cell r="BC62">
            <v>284107</v>
          </cell>
          <cell r="BD62">
            <v>297281</v>
          </cell>
          <cell r="BE62">
            <v>858780</v>
          </cell>
          <cell r="BF62">
            <v>294639</v>
          </cell>
          <cell r="BG62">
            <v>296537</v>
          </cell>
          <cell r="BH62">
            <v>285725</v>
          </cell>
          <cell r="BI62">
            <v>876901</v>
          </cell>
        </row>
        <row r="63">
          <cell r="A63" t="str">
            <v xml:space="preserve">  % Change</v>
          </cell>
        </row>
        <row r="64">
          <cell r="A64" t="str">
            <v>NRx</v>
          </cell>
          <cell r="AY64">
            <v>389</v>
          </cell>
          <cell r="AZ64">
            <v>33958</v>
          </cell>
          <cell r="BA64">
            <v>34347</v>
          </cell>
          <cell r="BB64">
            <v>192477</v>
          </cell>
          <cell r="BC64">
            <v>151136</v>
          </cell>
          <cell r="BD64">
            <v>145096</v>
          </cell>
          <cell r="BE64">
            <v>488709</v>
          </cell>
          <cell r="BF64">
            <v>137566</v>
          </cell>
          <cell r="BG64">
            <v>136503</v>
          </cell>
          <cell r="BH64">
            <v>132395</v>
          </cell>
          <cell r="BI64">
            <v>406464</v>
          </cell>
        </row>
        <row r="65">
          <cell r="A65" t="str">
            <v xml:space="preserve">  % Change</v>
          </cell>
        </row>
        <row r="66">
          <cell r="A66" t="str">
            <v>Sales (IMS)</v>
          </cell>
          <cell r="AZ66">
            <v>18.271754999999999</v>
          </cell>
          <cell r="BA66">
            <v>18.271754999999999</v>
          </cell>
          <cell r="BB66">
            <v>10.729727</v>
          </cell>
          <cell r="BC66">
            <v>11.390700000000001</v>
          </cell>
          <cell r="BD66">
            <v>14.352249</v>
          </cell>
          <cell r="BE66">
            <v>36.472676</v>
          </cell>
          <cell r="BF66">
            <v>11.387007000000001</v>
          </cell>
          <cell r="BG66">
            <v>11.785391000000001</v>
          </cell>
        </row>
        <row r="67">
          <cell r="A67" t="str">
            <v xml:space="preserve">  % Change</v>
          </cell>
        </row>
        <row r="69">
          <cell r="A69" t="str">
            <v>BUPROBAN SR (Teva/Impax)</v>
          </cell>
        </row>
        <row r="70">
          <cell r="A70" t="str">
            <v>TRx</v>
          </cell>
          <cell r="AZ70">
            <v>39</v>
          </cell>
          <cell r="BA70">
            <v>39</v>
          </cell>
          <cell r="BB70">
            <v>23</v>
          </cell>
          <cell r="BC70">
            <v>4</v>
          </cell>
          <cell r="BD70">
            <v>7339</v>
          </cell>
          <cell r="BE70">
            <v>7366</v>
          </cell>
          <cell r="BF70">
            <v>12940</v>
          </cell>
          <cell r="BG70">
            <v>14694</v>
          </cell>
          <cell r="BH70">
            <v>15735</v>
          </cell>
          <cell r="BI70">
            <v>43369</v>
          </cell>
        </row>
        <row r="71">
          <cell r="A71" t="str">
            <v xml:space="preserve">  % Change</v>
          </cell>
        </row>
        <row r="72">
          <cell r="A72" t="str">
            <v>NRx</v>
          </cell>
          <cell r="AZ72">
            <v>39</v>
          </cell>
          <cell r="BA72">
            <v>39</v>
          </cell>
          <cell r="BB72">
            <v>23</v>
          </cell>
          <cell r="BC72">
            <v>4</v>
          </cell>
          <cell r="BD72">
            <v>6831</v>
          </cell>
          <cell r="BE72">
            <v>6858</v>
          </cell>
          <cell r="BF72">
            <v>10895</v>
          </cell>
          <cell r="BG72">
            <v>11017</v>
          </cell>
          <cell r="BH72">
            <v>11505</v>
          </cell>
          <cell r="BI72">
            <v>33417</v>
          </cell>
        </row>
        <row r="73">
          <cell r="A73" t="str">
            <v xml:space="preserve">  % Change</v>
          </cell>
        </row>
        <row r="74">
          <cell r="A74" t="str">
            <v>Sales (IMS)</v>
          </cell>
          <cell r="AZ74">
            <v>5.0629999999999998E-3</v>
          </cell>
          <cell r="BA74">
            <v>5.0629999999999998E-3</v>
          </cell>
          <cell r="BB74">
            <v>2.689E-3</v>
          </cell>
          <cell r="BC74">
            <v>0</v>
          </cell>
          <cell r="BD74">
            <v>1.5213300000000001</v>
          </cell>
          <cell r="BE74">
            <v>1.524019</v>
          </cell>
          <cell r="BF74">
            <v>1.0565580000000001</v>
          </cell>
          <cell r="BG74">
            <v>0.98446800000000001</v>
          </cell>
        </row>
        <row r="75">
          <cell r="A75" t="str">
            <v xml:space="preserve">  % Change</v>
          </cell>
        </row>
        <row r="77">
          <cell r="A77" t="str">
            <v>METFORMIN ER (Teva/Impax)</v>
          </cell>
        </row>
        <row r="78">
          <cell r="A78" t="str">
            <v>TRx</v>
          </cell>
          <cell r="BD78">
            <v>0</v>
          </cell>
          <cell r="BE78">
            <v>0</v>
          </cell>
          <cell r="BF78">
            <v>10780</v>
          </cell>
          <cell r="BG78">
            <v>26938</v>
          </cell>
          <cell r="BH78">
            <v>31655</v>
          </cell>
          <cell r="BI78">
            <v>69373</v>
          </cell>
        </row>
        <row r="79">
          <cell r="A79" t="str">
            <v xml:space="preserve">  % Change</v>
          </cell>
        </row>
        <row r="80">
          <cell r="A80" t="str">
            <v>NRx</v>
          </cell>
          <cell r="BD80">
            <v>0</v>
          </cell>
          <cell r="BE80">
            <v>0</v>
          </cell>
          <cell r="BF80">
            <v>5417</v>
          </cell>
          <cell r="BG80">
            <v>12520</v>
          </cell>
          <cell r="BH80">
            <v>13303</v>
          </cell>
          <cell r="BI80">
            <v>31240</v>
          </cell>
        </row>
        <row r="81">
          <cell r="A81" t="str">
            <v xml:space="preserve">  % Change</v>
          </cell>
          <cell r="BI81">
            <v>0</v>
          </cell>
          <cell r="BM81">
            <v>0</v>
          </cell>
          <cell r="BQ81">
            <v>0</v>
          </cell>
          <cell r="BR81">
            <v>0</v>
          </cell>
          <cell r="BS81">
            <v>0</v>
          </cell>
          <cell r="BT81">
            <v>0</v>
          </cell>
          <cell r="BU81">
            <v>0</v>
          </cell>
        </row>
        <row r="82">
          <cell r="A82" t="str">
            <v>Sales (IMS)</v>
          </cell>
          <cell r="B82">
            <v>36892</v>
          </cell>
          <cell r="C82">
            <v>36923</v>
          </cell>
          <cell r="D82">
            <v>36951</v>
          </cell>
          <cell r="E82" t="str">
            <v>Q1:01</v>
          </cell>
          <cell r="F82">
            <v>36982</v>
          </cell>
          <cell r="G82">
            <v>37012</v>
          </cell>
          <cell r="H82">
            <v>37043</v>
          </cell>
          <cell r="I82" t="str">
            <v>Q2:01</v>
          </cell>
          <cell r="J82">
            <v>37073</v>
          </cell>
          <cell r="K82">
            <v>37104</v>
          </cell>
          <cell r="L82">
            <v>37135</v>
          </cell>
          <cell r="M82" t="str">
            <v>Q3:01</v>
          </cell>
          <cell r="N82">
            <v>37165</v>
          </cell>
          <cell r="O82">
            <v>37196</v>
          </cell>
          <cell r="P82">
            <v>37226</v>
          </cell>
          <cell r="Q82" t="str">
            <v>Q4:01</v>
          </cell>
          <cell r="R82">
            <v>37257</v>
          </cell>
          <cell r="S82">
            <v>37288</v>
          </cell>
          <cell r="T82">
            <v>37316</v>
          </cell>
          <cell r="U82" t="str">
            <v>Q1:02</v>
          </cell>
          <cell r="V82">
            <v>37347</v>
          </cell>
          <cell r="W82">
            <v>37377</v>
          </cell>
          <cell r="X82">
            <v>37408</v>
          </cell>
          <cell r="Y82" t="str">
            <v>Q2:02</v>
          </cell>
          <cell r="Z82">
            <v>37438</v>
          </cell>
          <cell r="AA82">
            <v>37469</v>
          </cell>
          <cell r="AB82">
            <v>37500</v>
          </cell>
          <cell r="AC82" t="str">
            <v>Q3:02</v>
          </cell>
          <cell r="AD82">
            <v>37530</v>
          </cell>
          <cell r="AE82">
            <v>37561</v>
          </cell>
          <cell r="AF82">
            <v>37591</v>
          </cell>
          <cell r="AG82" t="str">
            <v>Q4:02</v>
          </cell>
          <cell r="AH82">
            <v>37622</v>
          </cell>
          <cell r="AI82">
            <v>37653</v>
          </cell>
          <cell r="AJ82">
            <v>37681</v>
          </cell>
          <cell r="AK82" t="str">
            <v>Q1:03</v>
          </cell>
          <cell r="AL82" t="str">
            <v>Apr-03</v>
          </cell>
          <cell r="AM82">
            <v>37744</v>
          </cell>
          <cell r="AN82">
            <v>37775</v>
          </cell>
          <cell r="AO82" t="str">
            <v>Q2:03</v>
          </cell>
          <cell r="AP82">
            <v>37805</v>
          </cell>
          <cell r="AQ82">
            <v>37836</v>
          </cell>
          <cell r="AR82">
            <v>37867</v>
          </cell>
          <cell r="AS82" t="str">
            <v>Q3:03</v>
          </cell>
          <cell r="AT82">
            <v>37897</v>
          </cell>
          <cell r="AU82">
            <v>37928</v>
          </cell>
          <cell r="AV82">
            <v>37958</v>
          </cell>
          <cell r="AW82" t="str">
            <v>Q4:03</v>
          </cell>
          <cell r="AX82">
            <v>37987</v>
          </cell>
          <cell r="AY82">
            <v>38018</v>
          </cell>
          <cell r="AZ82">
            <v>38047</v>
          </cell>
          <cell r="BA82" t="str">
            <v>Q1:04</v>
          </cell>
          <cell r="BB82">
            <v>38078</v>
          </cell>
          <cell r="BC82">
            <v>38108</v>
          </cell>
          <cell r="BD82">
            <v>1.244E-2</v>
          </cell>
          <cell r="BE82">
            <v>1.244E-2</v>
          </cell>
          <cell r="BF82">
            <v>0.739541</v>
          </cell>
          <cell r="BG82">
            <v>0.39633400000000002</v>
          </cell>
          <cell r="BH82">
            <v>0.43750600000000001</v>
          </cell>
          <cell r="BI82">
            <v>1.5733809999999999</v>
          </cell>
          <cell r="BJ82">
            <v>0.32985300000000001</v>
          </cell>
          <cell r="BK82">
            <v>0.35804799999999998</v>
          </cell>
          <cell r="BL82">
            <v>0.53153399999999995</v>
          </cell>
          <cell r="BM82">
            <v>1.2194349999999998</v>
          </cell>
          <cell r="BN82">
            <v>0.390262</v>
          </cell>
          <cell r="BO82">
            <v>0.38535999999999998</v>
          </cell>
          <cell r="BP82">
            <v>0.47391899999999998</v>
          </cell>
          <cell r="BQ82">
            <v>1.249541</v>
          </cell>
          <cell r="BR82">
            <v>0.43031000000000003</v>
          </cell>
          <cell r="BS82">
            <v>0.49567600000000001</v>
          </cell>
          <cell r="BT82">
            <v>0.62581799999999999</v>
          </cell>
          <cell r="BU82">
            <v>1.551804</v>
          </cell>
        </row>
        <row r="83">
          <cell r="A83" t="str">
            <v xml:space="preserve">  % Change</v>
          </cell>
          <cell r="BH83">
            <v>49</v>
          </cell>
          <cell r="BI83">
            <v>0</v>
          </cell>
          <cell r="BJ83">
            <v>1099</v>
          </cell>
          <cell r="BK83">
            <v>2235</v>
          </cell>
          <cell r="BL83">
            <v>2405</v>
          </cell>
          <cell r="BM83">
            <v>0</v>
          </cell>
          <cell r="BN83">
            <v>2481</v>
          </cell>
          <cell r="BO83">
            <v>2414</v>
          </cell>
          <cell r="BP83">
            <v>2650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</row>
        <row r="84">
          <cell r="A84" t="str">
            <v>Sales (IMS)</v>
          </cell>
          <cell r="BH84">
            <v>6.2912999999999997E-2</v>
          </cell>
          <cell r="BI84">
            <v>6.2912999999999997E-2</v>
          </cell>
          <cell r="BJ84">
            <v>0.47831499999999999</v>
          </cell>
          <cell r="BK84">
            <v>1.035458</v>
          </cell>
          <cell r="BL84">
            <v>1.0209649999999999</v>
          </cell>
          <cell r="BM84">
            <v>2.5347379999999999</v>
          </cell>
          <cell r="BN84">
            <v>0.832758</v>
          </cell>
          <cell r="BO84">
            <v>0.88736499999999996</v>
          </cell>
          <cell r="BP84">
            <v>1.5970009999999999</v>
          </cell>
          <cell r="BQ84">
            <v>3.3171239999999997</v>
          </cell>
          <cell r="BR84">
            <v>2.9574820000000002</v>
          </cell>
          <cell r="BS84">
            <v>2.739017</v>
          </cell>
          <cell r="BT84">
            <v>3.6892969999999998</v>
          </cell>
          <cell r="BU84">
            <v>9.3857959999999991</v>
          </cell>
        </row>
        <row r="85">
          <cell r="A85" t="str">
            <v>Product</v>
          </cell>
          <cell r="B85">
            <v>36892</v>
          </cell>
          <cell r="C85">
            <v>36923</v>
          </cell>
          <cell r="D85">
            <v>36951</v>
          </cell>
          <cell r="E85" t="str">
            <v>Q1:01</v>
          </cell>
          <cell r="F85">
            <v>36982</v>
          </cell>
          <cell r="G85">
            <v>37012</v>
          </cell>
          <cell r="H85">
            <v>37043</v>
          </cell>
          <cell r="I85" t="str">
            <v>Q2:01</v>
          </cell>
          <cell r="J85">
            <v>37073</v>
          </cell>
          <cell r="K85">
            <v>37104</v>
          </cell>
          <cell r="L85">
            <v>37135</v>
          </cell>
          <cell r="M85" t="str">
            <v>Q3:01</v>
          </cell>
          <cell r="N85">
            <v>37165</v>
          </cell>
          <cell r="O85">
            <v>37196</v>
          </cell>
          <cell r="P85">
            <v>37226</v>
          </cell>
          <cell r="Q85" t="str">
            <v>Q4:01</v>
          </cell>
          <cell r="R85">
            <v>37257</v>
          </cell>
          <cell r="S85">
            <v>37288</v>
          </cell>
          <cell r="T85">
            <v>37316</v>
          </cell>
          <cell r="U85" t="str">
            <v>Q1:02</v>
          </cell>
          <cell r="V85">
            <v>37347</v>
          </cell>
          <cell r="W85">
            <v>37377</v>
          </cell>
          <cell r="X85">
            <v>37408</v>
          </cell>
          <cell r="Y85" t="str">
            <v>Q2:02</v>
          </cell>
          <cell r="Z85">
            <v>37438</v>
          </cell>
          <cell r="AA85">
            <v>37469</v>
          </cell>
          <cell r="AB85">
            <v>37500</v>
          </cell>
          <cell r="AC85" t="str">
            <v>Q3:02</v>
          </cell>
          <cell r="AD85">
            <v>37530</v>
          </cell>
          <cell r="AE85">
            <v>37561</v>
          </cell>
          <cell r="AF85">
            <v>37591</v>
          </cell>
          <cell r="AG85" t="str">
            <v>Q4:02</v>
          </cell>
          <cell r="AH85">
            <v>37622</v>
          </cell>
          <cell r="AI85">
            <v>37653</v>
          </cell>
          <cell r="AJ85">
            <v>37681</v>
          </cell>
          <cell r="AK85" t="str">
            <v>Q1:03</v>
          </cell>
          <cell r="AL85" t="str">
            <v>Apr-03</v>
          </cell>
          <cell r="AM85">
            <v>37744</v>
          </cell>
          <cell r="AN85">
            <v>37775</v>
          </cell>
          <cell r="AO85" t="str">
            <v>Q2:03</v>
          </cell>
          <cell r="AP85">
            <v>37805</v>
          </cell>
          <cell r="AQ85">
            <v>37836</v>
          </cell>
          <cell r="AR85">
            <v>37867</v>
          </cell>
          <cell r="AS85" t="str">
            <v>Q3:03</v>
          </cell>
          <cell r="AT85">
            <v>37897</v>
          </cell>
          <cell r="AU85">
            <v>37928</v>
          </cell>
          <cell r="AV85">
            <v>37958</v>
          </cell>
          <cell r="AW85" t="str">
            <v>Q4:03</v>
          </cell>
          <cell r="AX85">
            <v>37987</v>
          </cell>
          <cell r="AY85">
            <v>38018</v>
          </cell>
          <cell r="AZ85">
            <v>38047</v>
          </cell>
          <cell r="BA85" t="str">
            <v>Q1:04</v>
          </cell>
          <cell r="BB85">
            <v>38078</v>
          </cell>
          <cell r="BC85">
            <v>38108</v>
          </cell>
          <cell r="BD85">
            <v>38139</v>
          </cell>
          <cell r="BE85" t="str">
            <v>Q2:04</v>
          </cell>
          <cell r="BF85">
            <v>38169</v>
          </cell>
          <cell r="BG85">
            <v>38200</v>
          </cell>
          <cell r="BH85">
            <v>38231</v>
          </cell>
          <cell r="BI85" t="str">
            <v>Q3:04</v>
          </cell>
          <cell r="BJ85">
            <v>38261</v>
          </cell>
          <cell r="BK85">
            <v>38292</v>
          </cell>
          <cell r="BL85">
            <v>38322</v>
          </cell>
          <cell r="BM85" t="str">
            <v>Q4:04E</v>
          </cell>
          <cell r="BN85">
            <v>38353</v>
          </cell>
          <cell r="BO85">
            <v>38384</v>
          </cell>
          <cell r="BP85">
            <v>38412</v>
          </cell>
          <cell r="BQ85" t="str">
            <v>Q1:05E</v>
          </cell>
          <cell r="BR85">
            <v>38443</v>
          </cell>
          <cell r="BS85">
            <v>38473</v>
          </cell>
          <cell r="BT85">
            <v>38504</v>
          </cell>
          <cell r="BU85" t="str">
            <v>Q2:05E</v>
          </cell>
        </row>
        <row r="86">
          <cell r="A86" t="str">
            <v>TRx IPXL PRODUCTS</v>
          </cell>
          <cell r="J86">
            <v>28103</v>
          </cell>
          <cell r="K86">
            <v>34070</v>
          </cell>
          <cell r="L86">
            <v>35027</v>
          </cell>
          <cell r="M86">
            <v>97200</v>
          </cell>
          <cell r="N86">
            <v>42342</v>
          </cell>
          <cell r="O86">
            <v>43991</v>
          </cell>
          <cell r="P86">
            <v>46607</v>
          </cell>
          <cell r="Q86">
            <v>132940</v>
          </cell>
          <cell r="R86">
            <v>52273</v>
          </cell>
          <cell r="S86">
            <v>49301</v>
          </cell>
          <cell r="T86">
            <v>55287</v>
          </cell>
          <cell r="U86">
            <v>156861</v>
          </cell>
          <cell r="V86">
            <v>65111</v>
          </cell>
          <cell r="W86">
            <v>78200</v>
          </cell>
          <cell r="X86">
            <v>81227</v>
          </cell>
          <cell r="Y86">
            <v>224538</v>
          </cell>
          <cell r="Z86">
            <v>92981</v>
          </cell>
          <cell r="AA86">
            <v>98339</v>
          </cell>
          <cell r="AB86">
            <v>96529</v>
          </cell>
          <cell r="AC86">
            <v>287849</v>
          </cell>
          <cell r="AD86">
            <v>104641</v>
          </cell>
          <cell r="AE86">
            <v>104618</v>
          </cell>
          <cell r="AF86">
            <v>116339</v>
          </cell>
          <cell r="AG86">
            <v>325598</v>
          </cell>
          <cell r="AH86">
            <v>121408</v>
          </cell>
          <cell r="AI86">
            <v>113517</v>
          </cell>
          <cell r="AJ86">
            <v>127611</v>
          </cell>
          <cell r="AK86">
            <v>362536</v>
          </cell>
          <cell r="AL86">
            <v>131808</v>
          </cell>
          <cell r="AM86">
            <v>144204</v>
          </cell>
          <cell r="AN86">
            <v>143562</v>
          </cell>
          <cell r="AO86">
            <v>419574</v>
          </cell>
          <cell r="AP86">
            <v>150150</v>
          </cell>
          <cell r="AQ86">
            <v>145092</v>
          </cell>
          <cell r="AR86">
            <v>145804</v>
          </cell>
          <cell r="AS86">
            <v>441046</v>
          </cell>
          <cell r="AT86">
            <v>158671</v>
          </cell>
          <cell r="AU86">
            <v>149640</v>
          </cell>
          <cell r="AV86">
            <v>165531</v>
          </cell>
          <cell r="AW86">
            <v>473842</v>
          </cell>
          <cell r="AX86">
            <v>156722</v>
          </cell>
          <cell r="AY86">
            <v>147443</v>
          </cell>
          <cell r="AZ86">
            <v>164580</v>
          </cell>
          <cell r="BA86">
            <v>468745</v>
          </cell>
          <cell r="BB86">
            <v>156353</v>
          </cell>
          <cell r="BC86">
            <v>155667</v>
          </cell>
          <cell r="BD86">
            <v>160764</v>
          </cell>
          <cell r="BE86">
            <v>472784</v>
          </cell>
          <cell r="BF86">
            <v>163041</v>
          </cell>
          <cell r="BG86">
            <v>166574</v>
          </cell>
          <cell r="BH86">
            <v>163471</v>
          </cell>
          <cell r="BI86">
            <v>493086</v>
          </cell>
          <cell r="BJ86">
            <v>1099</v>
          </cell>
          <cell r="BK86">
            <v>2235</v>
          </cell>
          <cell r="BL86">
            <v>2405</v>
          </cell>
          <cell r="BM86">
            <v>5739</v>
          </cell>
          <cell r="BN86">
            <v>2481</v>
          </cell>
          <cell r="BO86">
            <v>2414</v>
          </cell>
          <cell r="BP86">
            <v>2650</v>
          </cell>
          <cell r="BQ86">
            <v>7545</v>
          </cell>
          <cell r="BR86">
            <v>6663</v>
          </cell>
          <cell r="BS86">
            <v>9729</v>
          </cell>
          <cell r="BT86">
            <v>11239</v>
          </cell>
          <cell r="BU86">
            <v>27631</v>
          </cell>
        </row>
        <row r="87">
          <cell r="A87" t="str">
            <v xml:space="preserve">  % Change</v>
          </cell>
          <cell r="J87">
            <v>28103</v>
          </cell>
          <cell r="K87">
            <v>34070</v>
          </cell>
          <cell r="L87">
            <v>35027</v>
          </cell>
          <cell r="M87">
            <v>97200</v>
          </cell>
          <cell r="N87">
            <v>42342</v>
          </cell>
          <cell r="O87">
            <v>43991</v>
          </cell>
          <cell r="P87">
            <v>46607</v>
          </cell>
          <cell r="Q87">
            <v>132940</v>
          </cell>
          <cell r="R87">
            <v>52273</v>
          </cell>
          <cell r="S87">
            <v>49301</v>
          </cell>
          <cell r="T87">
            <v>55287</v>
          </cell>
          <cell r="U87">
            <v>156861</v>
          </cell>
          <cell r="V87">
            <v>65111</v>
          </cell>
          <cell r="W87">
            <v>78200</v>
          </cell>
          <cell r="X87">
            <v>81227</v>
          </cell>
          <cell r="Y87">
            <v>224538</v>
          </cell>
          <cell r="Z87">
            <v>2.308579155250329</v>
          </cell>
          <cell r="AA87">
            <v>1.8863809803346054</v>
          </cell>
          <cell r="AB87">
            <v>1.7558454906215206</v>
          </cell>
          <cell r="AC87">
            <v>1.961409465020576</v>
          </cell>
          <cell r="AD87">
            <v>1.4713287043597374</v>
          </cell>
          <cell r="AE87">
            <v>1.3781682616898911</v>
          </cell>
          <cell r="AF87">
            <v>1.4961701032033816</v>
          </cell>
          <cell r="AG87">
            <v>1.4492101700015043</v>
          </cell>
          <cell r="AH87">
            <v>1.3225757083006524</v>
          </cell>
          <cell r="AI87">
            <v>1.3025293604592201</v>
          </cell>
          <cell r="AJ87">
            <v>1.3081556242878074</v>
          </cell>
          <cell r="AK87">
            <v>1.3111927120189213</v>
          </cell>
          <cell r="AL87">
            <v>1.024358403341985</v>
          </cell>
          <cell r="AM87">
            <v>0.84404092071611259</v>
          </cell>
          <cell r="AN87">
            <v>0.76741723811048046</v>
          </cell>
          <cell r="AO87">
            <v>0.86861021297063301</v>
          </cell>
          <cell r="AP87">
            <v>0.61484604381540309</v>
          </cell>
          <cell r="AQ87">
            <v>0.47542683980923139</v>
          </cell>
          <cell r="AR87">
            <v>0.51046835665965662</v>
          </cell>
          <cell r="AS87">
            <v>0.5322130700471428</v>
          </cell>
          <cell r="AT87">
            <v>0.51633680870786791</v>
          </cell>
          <cell r="AU87">
            <v>0.43034659427631961</v>
          </cell>
          <cell r="AV87">
            <v>0.42283327173174956</v>
          </cell>
          <cell r="AW87">
            <v>0.45529763696337211</v>
          </cell>
          <cell r="AX87">
            <v>0.2908704533473907</v>
          </cell>
          <cell r="AY87">
            <v>0.29886272540676728</v>
          </cell>
          <cell r="AZ87">
            <v>0.28970073112819428</v>
          </cell>
          <cell r="BA87">
            <v>0.29296125074475365</v>
          </cell>
          <cell r="BB87">
            <v>0.18621783199805786</v>
          </cell>
          <cell r="BC87">
            <v>7.9491553632354162E-2</v>
          </cell>
          <cell r="BD87">
            <v>0.11982279433276211</v>
          </cell>
          <cell r="BE87">
            <v>0.12681910699900367</v>
          </cell>
          <cell r="BF87">
            <v>8.5854145854145747E-2</v>
          </cell>
          <cell r="BG87">
            <v>0.14805778402668657</v>
          </cell>
          <cell r="BH87">
            <v>0.12116951523963682</v>
          </cell>
          <cell r="BI87">
            <v>0.11799222756809957</v>
          </cell>
          <cell r="BJ87">
            <v>0.47831499999999999</v>
          </cell>
          <cell r="BK87">
            <v>1.035458</v>
          </cell>
          <cell r="BL87">
            <v>1.0209649999999999</v>
          </cell>
          <cell r="BM87">
            <v>2.5347379999999999</v>
          </cell>
          <cell r="BN87">
            <v>2</v>
          </cell>
          <cell r="BO87">
            <v>3</v>
          </cell>
          <cell r="BP87">
            <v>8</v>
          </cell>
          <cell r="BQ87">
            <v>13</v>
          </cell>
          <cell r="BR87">
            <v>131</v>
          </cell>
          <cell r="BS87">
            <v>440</v>
          </cell>
          <cell r="BT87">
            <v>1289</v>
          </cell>
          <cell r="BU87">
            <v>1860</v>
          </cell>
        </row>
        <row r="88">
          <cell r="A88" t="str">
            <v xml:space="preserve">TOTAL IPXL REPORTED SALES </v>
          </cell>
          <cell r="M88">
            <v>1.6579999999999999</v>
          </cell>
          <cell r="Q88">
            <v>2.0249999999999999</v>
          </cell>
          <cell r="U88">
            <v>3.4320000000000004</v>
          </cell>
          <cell r="Y88">
            <v>5.1449999999999996</v>
          </cell>
          <cell r="Z88">
            <v>2.308579155250329</v>
          </cell>
          <cell r="AA88">
            <v>1.8863809803346054</v>
          </cell>
          <cell r="AB88">
            <v>1.7558454906215206</v>
          </cell>
          <cell r="AC88">
            <v>7.2830000000000004</v>
          </cell>
          <cell r="AD88">
            <v>1.4713287043597374</v>
          </cell>
          <cell r="AE88">
            <v>1.3781682616898911</v>
          </cell>
          <cell r="AF88">
            <v>1.4961701032033816</v>
          </cell>
          <cell r="AG88">
            <v>7.9980000000000002</v>
          </cell>
          <cell r="AH88">
            <v>1.3225757083006524</v>
          </cell>
          <cell r="AI88">
            <v>1.3025293604592201</v>
          </cell>
          <cell r="AJ88">
            <v>1.3081556242878074</v>
          </cell>
          <cell r="AK88">
            <v>7.2</v>
          </cell>
          <cell r="AL88">
            <v>1.024358403341985</v>
          </cell>
          <cell r="AM88">
            <v>0.84404092071611259</v>
          </cell>
          <cell r="AN88">
            <v>0.76741723811048046</v>
          </cell>
          <cell r="AO88">
            <v>9.6999999999999993</v>
          </cell>
          <cell r="AP88">
            <v>0.61484604381540309</v>
          </cell>
          <cell r="AQ88">
            <v>0.47542683980923139</v>
          </cell>
          <cell r="AR88">
            <v>0.51046835665965662</v>
          </cell>
          <cell r="AS88">
            <v>10.48</v>
          </cell>
          <cell r="AT88">
            <v>0.51633680870786791</v>
          </cell>
          <cell r="AU88">
            <v>0.43034659427631961</v>
          </cell>
          <cell r="AV88">
            <v>0.42283327173174956</v>
          </cell>
          <cell r="AW88">
            <v>11.446</v>
          </cell>
          <cell r="AX88">
            <v>0.2908704533473907</v>
          </cell>
          <cell r="AY88">
            <v>0.29886272540676728</v>
          </cell>
          <cell r="AZ88">
            <v>0.28970073112819428</v>
          </cell>
          <cell r="BA88">
            <v>9.1660000000000004</v>
          </cell>
          <cell r="BB88">
            <v>0.18621783199805786</v>
          </cell>
          <cell r="BC88">
            <v>7.9491553632354162E-2</v>
          </cell>
          <cell r="BD88">
            <v>0.11982279433276211</v>
          </cell>
          <cell r="BE88">
            <v>16.649000000000001</v>
          </cell>
          <cell r="BF88">
            <v>8.5854145854145747E-2</v>
          </cell>
          <cell r="BG88">
            <v>0.14805778402668657</v>
          </cell>
          <cell r="BH88">
            <v>95</v>
          </cell>
          <cell r="BI88">
            <v>17</v>
          </cell>
          <cell r="BJ88">
            <v>2543</v>
          </cell>
          <cell r="BK88">
            <v>5839</v>
          </cell>
          <cell r="BL88">
            <v>7018</v>
          </cell>
          <cell r="BM88">
            <v>15400</v>
          </cell>
          <cell r="BN88">
            <v>7890</v>
          </cell>
          <cell r="BO88">
            <v>7510</v>
          </cell>
          <cell r="BP88">
            <v>8427</v>
          </cell>
          <cell r="BQ88">
            <v>23827</v>
          </cell>
          <cell r="BR88">
            <v>18361</v>
          </cell>
          <cell r="BS88">
            <v>30238</v>
          </cell>
          <cell r="BT88">
            <v>34992</v>
          </cell>
          <cell r="BU88">
            <v>83591</v>
          </cell>
        </row>
        <row r="89">
          <cell r="A89" t="str">
            <v xml:space="preserve">  % Change</v>
          </cell>
          <cell r="M89">
            <v>1.6579999999999999</v>
          </cell>
          <cell r="Q89">
            <v>2.0249999999999999</v>
          </cell>
          <cell r="U89" t="e">
            <v>#DIV/0!</v>
          </cell>
          <cell r="Y89" t="e">
            <v>#DIV/0!</v>
          </cell>
          <cell r="AC89">
            <v>3.3926417370325694</v>
          </cell>
          <cell r="AG89">
            <v>2.94962962962963</v>
          </cell>
          <cell r="AK89">
            <v>1.0979020979020979</v>
          </cell>
          <cell r="AO89">
            <v>0.88532555879494668</v>
          </cell>
          <cell r="AS89">
            <v>0.43896745846491836</v>
          </cell>
          <cell r="AW89">
            <v>0.43110777694423597</v>
          </cell>
          <cell r="BA89">
            <v>0.27305555555555561</v>
          </cell>
          <cell r="BE89">
            <v>0.7163917525773198</v>
          </cell>
          <cell r="BH89">
            <v>49</v>
          </cell>
          <cell r="BI89">
            <v>0.62213740458015265</v>
          </cell>
          <cell r="BJ89">
            <v>1099</v>
          </cell>
          <cell r="BK89">
            <v>2235</v>
          </cell>
          <cell r="BL89">
            <v>2405</v>
          </cell>
          <cell r="BM89">
            <v>5739</v>
          </cell>
          <cell r="BN89">
            <v>2481</v>
          </cell>
          <cell r="BO89">
            <v>2414</v>
          </cell>
          <cell r="BP89">
            <v>2650</v>
          </cell>
          <cell r="BQ89">
            <v>7545</v>
          </cell>
          <cell r="BR89">
            <v>6663</v>
          </cell>
          <cell r="BS89">
            <v>9729</v>
          </cell>
          <cell r="BT89">
            <v>11239</v>
          </cell>
          <cell r="BU89">
            <v>27631</v>
          </cell>
        </row>
        <row r="90">
          <cell r="A90" t="str">
            <v>TOTAL SALES (IMS)</v>
          </cell>
          <cell r="J90">
            <v>0.99305699999999997</v>
          </cell>
          <cell r="K90">
            <v>1.393891</v>
          </cell>
          <cell r="L90">
            <v>1.5709949999999999</v>
          </cell>
          <cell r="M90">
            <v>3.9579429999999998</v>
          </cell>
          <cell r="N90">
            <v>1.4280839999999999</v>
          </cell>
          <cell r="O90">
            <v>1.5078689999999999</v>
          </cell>
          <cell r="P90">
            <v>2.0332789999999998</v>
          </cell>
          <cell r="Q90">
            <v>4.9692319999999999</v>
          </cell>
          <cell r="R90">
            <v>1.6972480000000001</v>
          </cell>
          <cell r="S90">
            <v>1.8002009999999999</v>
          </cell>
          <cell r="T90">
            <v>2.3927800000000001</v>
          </cell>
          <cell r="U90">
            <v>5.8902289999999997</v>
          </cell>
          <cell r="V90">
            <v>2.8124560000000001</v>
          </cell>
          <cell r="W90">
            <v>2.622128</v>
          </cell>
          <cell r="X90">
            <v>3.4927090000000001</v>
          </cell>
          <cell r="Y90">
            <v>8.9272930000000006</v>
          </cell>
          <cell r="Z90">
            <v>2.999288</v>
          </cell>
          <cell r="AA90">
            <v>3.0574970000000001</v>
          </cell>
          <cell r="AB90">
            <v>3.8633570000000002</v>
          </cell>
          <cell r="AC90">
            <v>9.9201420000000002</v>
          </cell>
          <cell r="AD90">
            <v>3.1571560000000001</v>
          </cell>
          <cell r="AE90">
            <v>3.2474699999999999</v>
          </cell>
          <cell r="AF90">
            <v>4.3264649999999998</v>
          </cell>
          <cell r="AG90">
            <v>10.731090999999999</v>
          </cell>
          <cell r="AH90">
            <v>3.6258400000000002</v>
          </cell>
          <cell r="AI90">
            <v>3.6743350000000001</v>
          </cell>
          <cell r="AJ90">
            <v>4.9975670000000001</v>
          </cell>
          <cell r="AK90">
            <v>12.297742</v>
          </cell>
          <cell r="AL90">
            <v>4.1837289999999996</v>
          </cell>
          <cell r="AM90">
            <v>4.1432019999999996</v>
          </cell>
          <cell r="AN90">
            <v>5.7452129999999997</v>
          </cell>
          <cell r="AO90">
            <v>14.072143999999998</v>
          </cell>
          <cell r="AP90">
            <v>4.3578939999999999</v>
          </cell>
          <cell r="AQ90">
            <v>4.3864999999999998</v>
          </cell>
          <cell r="AR90">
            <v>5.6138940000000002</v>
          </cell>
          <cell r="AS90">
            <v>14.358288</v>
          </cell>
          <cell r="AT90">
            <v>4.6986780000000001</v>
          </cell>
          <cell r="AU90">
            <v>4.5064630000000001</v>
          </cell>
          <cell r="AV90">
            <v>5.7705060000000001</v>
          </cell>
          <cell r="AW90">
            <v>14.975647000000002</v>
          </cell>
          <cell r="AX90">
            <v>5.140968</v>
          </cell>
          <cell r="AY90">
            <v>4.8685460000000003</v>
          </cell>
          <cell r="AZ90">
            <v>6.2687569999999999</v>
          </cell>
          <cell r="BA90">
            <v>16.278271</v>
          </cell>
          <cell r="BB90">
            <v>5.4733260000000001</v>
          </cell>
          <cell r="BC90">
            <v>5.8341609999999999</v>
          </cell>
          <cell r="BD90">
            <v>7.6978900000000001</v>
          </cell>
          <cell r="BE90">
            <v>19.005376999999999</v>
          </cell>
          <cell r="BF90">
            <v>6.8966529999999997</v>
          </cell>
          <cell r="BG90">
            <v>7.0326279999999999</v>
          </cell>
          <cell r="BH90">
            <v>6.2912999999999997E-2</v>
          </cell>
          <cell r="BI90">
            <v>6.2912999999999997E-2</v>
          </cell>
          <cell r="BJ90">
            <v>0.47831499999999999</v>
          </cell>
          <cell r="BK90">
            <v>1.035458</v>
          </cell>
          <cell r="BL90">
            <v>1.0209649999999999</v>
          </cell>
          <cell r="BM90">
            <v>2.5347379999999999</v>
          </cell>
          <cell r="BN90">
            <v>0.832758</v>
          </cell>
          <cell r="BO90">
            <v>0.88736499999999996</v>
          </cell>
          <cell r="BP90">
            <v>1.5970009999999999</v>
          </cell>
          <cell r="BQ90">
            <v>3.3171239999999997</v>
          </cell>
          <cell r="BR90">
            <v>2.9574820000000002</v>
          </cell>
          <cell r="BS90">
            <v>2.739017</v>
          </cell>
          <cell r="BT90">
            <v>3.6892969999999998</v>
          </cell>
          <cell r="BU90">
            <v>9.3857959999999991</v>
          </cell>
        </row>
        <row r="91">
          <cell r="A91" t="str">
            <v xml:space="preserve">  % Change</v>
          </cell>
          <cell r="J91">
            <v>28103</v>
          </cell>
          <cell r="K91">
            <v>34070</v>
          </cell>
          <cell r="L91">
            <v>35027</v>
          </cell>
          <cell r="M91">
            <v>97200</v>
          </cell>
          <cell r="N91">
            <v>42342</v>
          </cell>
          <cell r="O91">
            <v>43991</v>
          </cell>
          <cell r="P91">
            <v>46607</v>
          </cell>
          <cell r="Q91">
            <v>132940</v>
          </cell>
          <cell r="R91">
            <v>52273</v>
          </cell>
          <cell r="S91">
            <v>49301</v>
          </cell>
          <cell r="T91">
            <v>55287</v>
          </cell>
          <cell r="U91" t="e">
            <v>#DIV/0!</v>
          </cell>
          <cell r="V91">
            <v>65111</v>
          </cell>
          <cell r="W91">
            <v>78200</v>
          </cell>
          <cell r="X91">
            <v>81227</v>
          </cell>
          <cell r="Y91" t="e">
            <v>#DIV/0!</v>
          </cell>
          <cell r="Z91">
            <v>92981</v>
          </cell>
          <cell r="AA91">
            <v>98339</v>
          </cell>
          <cell r="AB91">
            <v>96529</v>
          </cell>
          <cell r="AC91">
            <v>1.5063882931108408</v>
          </cell>
          <cell r="AD91">
            <v>104641</v>
          </cell>
          <cell r="AE91">
            <v>104618</v>
          </cell>
          <cell r="AF91">
            <v>116339</v>
          </cell>
          <cell r="AG91">
            <v>1.159506941917785</v>
          </cell>
          <cell r="AH91">
            <v>121408</v>
          </cell>
          <cell r="AI91">
            <v>113517</v>
          </cell>
          <cell r="AJ91">
            <v>127611</v>
          </cell>
          <cell r="AK91">
            <v>1.0878206942378643</v>
          </cell>
          <cell r="AL91">
            <v>131808</v>
          </cell>
          <cell r="AM91">
            <v>144204</v>
          </cell>
          <cell r="AN91">
            <v>143562</v>
          </cell>
          <cell r="AO91">
            <v>0.57630582977393008</v>
          </cell>
          <cell r="AP91">
            <v>0.4529761730117281</v>
          </cell>
          <cell r="AQ91">
            <v>0.43467025478684018</v>
          </cell>
          <cell r="AR91">
            <v>0.45311292743590603</v>
          </cell>
          <cell r="AS91">
            <v>0.44738734586662154</v>
          </cell>
          <cell r="AT91">
            <v>0.48826285429038041</v>
          </cell>
          <cell r="AU91">
            <v>0.38768425882302227</v>
          </cell>
          <cell r="AV91">
            <v>0.33376925503846677</v>
          </cell>
          <cell r="AW91">
            <v>0.39553816103134376</v>
          </cell>
          <cell r="AX91">
            <v>0.41786951437460007</v>
          </cell>
          <cell r="AY91">
            <v>0.32501418624050338</v>
          </cell>
          <cell r="AZ91">
            <v>0.25436177243846858</v>
          </cell>
          <cell r="BA91">
            <v>0.32367966412045401</v>
          </cell>
          <cell r="BB91">
            <v>0.30824104524934581</v>
          </cell>
          <cell r="BC91">
            <v>0.40812854405843613</v>
          </cell>
          <cell r="BD91">
            <v>0.33987895662005929</v>
          </cell>
          <cell r="BE91">
            <v>0.35056726252943426</v>
          </cell>
          <cell r="BF91">
            <v>0.58256556951591754</v>
          </cell>
          <cell r="BG91">
            <v>0.60324358828222957</v>
          </cell>
          <cell r="BH91">
            <v>163471</v>
          </cell>
          <cell r="BI91">
            <v>493086</v>
          </cell>
          <cell r="BJ91">
            <v>164472</v>
          </cell>
          <cell r="BK91">
            <v>165688</v>
          </cell>
          <cell r="BL91">
            <v>174245</v>
          </cell>
          <cell r="BM91">
            <v>504405</v>
          </cell>
          <cell r="BN91">
            <v>200265</v>
          </cell>
          <cell r="BO91">
            <v>198464</v>
          </cell>
          <cell r="BP91">
            <v>211067</v>
          </cell>
          <cell r="BQ91">
            <v>609796</v>
          </cell>
          <cell r="BR91">
            <v>194961</v>
          </cell>
          <cell r="BS91">
            <v>201322</v>
          </cell>
          <cell r="BT91">
            <v>203690</v>
          </cell>
          <cell r="BU91">
            <v>599973</v>
          </cell>
        </row>
        <row r="92">
          <cell r="A92" t="str">
            <v>OXYCODONE HCL ER 80MG</v>
          </cell>
          <cell r="J92">
            <v>28103</v>
          </cell>
          <cell r="K92">
            <v>34070</v>
          </cell>
          <cell r="L92">
            <v>35027</v>
          </cell>
          <cell r="M92">
            <v>97200</v>
          </cell>
          <cell r="N92">
            <v>42342</v>
          </cell>
          <cell r="O92">
            <v>43991</v>
          </cell>
          <cell r="P92">
            <v>46607</v>
          </cell>
          <cell r="Q92">
            <v>132940</v>
          </cell>
          <cell r="R92">
            <v>52273</v>
          </cell>
          <cell r="S92">
            <v>49301</v>
          </cell>
          <cell r="T92">
            <v>55287</v>
          </cell>
          <cell r="U92">
            <v>156861</v>
          </cell>
          <cell r="V92">
            <v>65111</v>
          </cell>
          <cell r="W92">
            <v>78200</v>
          </cell>
          <cell r="X92">
            <v>81227</v>
          </cell>
          <cell r="Y92">
            <v>224538</v>
          </cell>
          <cell r="Z92">
            <v>2.308579155250329</v>
          </cell>
          <cell r="AA92">
            <v>1.8863809803346054</v>
          </cell>
          <cell r="AB92">
            <v>1.7558454906215206</v>
          </cell>
          <cell r="AC92">
            <v>1.961409465020576</v>
          </cell>
          <cell r="AD92">
            <v>1.4713287043597374</v>
          </cell>
          <cell r="AE92">
            <v>1.3781682616898911</v>
          </cell>
          <cell r="AF92">
            <v>1.4961701032033816</v>
          </cell>
          <cell r="AG92">
            <v>1.4492101700015043</v>
          </cell>
          <cell r="AH92">
            <v>1.3225757083006524</v>
          </cell>
          <cell r="AI92">
            <v>1.3025293604592201</v>
          </cell>
          <cell r="AJ92">
            <v>1.3081556242878074</v>
          </cell>
          <cell r="AK92">
            <v>1.3111927120189213</v>
          </cell>
          <cell r="AL92">
            <v>1.024358403341985</v>
          </cell>
          <cell r="AM92">
            <v>0.84404092071611259</v>
          </cell>
          <cell r="AN92">
            <v>0.76741723811048046</v>
          </cell>
          <cell r="AO92">
            <v>0.86861021297063301</v>
          </cell>
          <cell r="AP92">
            <v>0.61484604381540309</v>
          </cell>
          <cell r="AQ92">
            <v>0.47542683980923139</v>
          </cell>
          <cell r="AR92">
            <v>0.51046835665965662</v>
          </cell>
          <cell r="AS92">
            <v>0.5322130700471428</v>
          </cell>
          <cell r="AT92">
            <v>0.51633680870786791</v>
          </cell>
          <cell r="AU92">
            <v>0.43034659427631961</v>
          </cell>
          <cell r="AV92">
            <v>0.42283327173174956</v>
          </cell>
          <cell r="AW92">
            <v>0.45529763696337211</v>
          </cell>
          <cell r="AX92">
            <v>0.2908704533473907</v>
          </cell>
          <cell r="AY92">
            <v>0.29886272540676728</v>
          </cell>
          <cell r="AZ92">
            <v>0.28970073112819428</v>
          </cell>
          <cell r="BA92">
            <v>0.29296125074475365</v>
          </cell>
          <cell r="BB92">
            <v>0.18621783199805786</v>
          </cell>
          <cell r="BC92">
            <v>7.9491553632354162E-2</v>
          </cell>
          <cell r="BD92">
            <v>0.11982279433276211</v>
          </cell>
          <cell r="BE92">
            <v>0.12681910699900367</v>
          </cell>
          <cell r="BF92">
            <v>8.5854145854145747E-2</v>
          </cell>
          <cell r="BG92">
            <v>0.14805778402668657</v>
          </cell>
          <cell r="BH92">
            <v>0.12116951523963682</v>
          </cell>
          <cell r="BI92">
            <v>0.11799222756809957</v>
          </cell>
          <cell r="BJ92">
            <v>3.6559925884377176E-2</v>
          </cell>
          <cell r="BK92">
            <v>0.10724405239240853</v>
          </cell>
          <cell r="BL92">
            <v>5.2642707408280032E-2</v>
          </cell>
          <cell r="BM92">
            <v>6.4500403087949243E-2</v>
          </cell>
          <cell r="BN92">
            <v>0.27783591327318446</v>
          </cell>
          <cell r="BO92">
            <v>0.34603880821741284</v>
          </cell>
          <cell r="BP92">
            <v>0.28245837890387659</v>
          </cell>
          <cell r="BQ92">
            <v>0.30091200972810372</v>
          </cell>
          <cell r="BR92">
            <v>0.24692842478238353</v>
          </cell>
          <cell r="BS92">
            <v>0.29328630987942206</v>
          </cell>
          <cell r="BT92">
            <v>0.26701251523973024</v>
          </cell>
          <cell r="BU92">
            <v>0.26902137128160009</v>
          </cell>
        </row>
        <row r="93">
          <cell r="A93" t="str">
            <v>REPORTED SALES/TRx</v>
          </cell>
          <cell r="J93">
            <v>28103</v>
          </cell>
          <cell r="K93">
            <v>34070</v>
          </cell>
          <cell r="L93">
            <v>35027</v>
          </cell>
          <cell r="M93">
            <v>17.057613168724281</v>
          </cell>
          <cell r="N93">
            <v>42342</v>
          </cell>
          <cell r="O93">
            <v>43991</v>
          </cell>
          <cell r="P93">
            <v>46607</v>
          </cell>
          <cell r="Q93">
            <v>15.23243568527155</v>
          </cell>
          <cell r="R93">
            <v>52273</v>
          </cell>
          <cell r="S93">
            <v>49301</v>
          </cell>
          <cell r="T93">
            <v>55287</v>
          </cell>
          <cell r="U93">
            <v>21.879243406582898</v>
          </cell>
          <cell r="V93">
            <v>65111</v>
          </cell>
          <cell r="W93">
            <v>78200</v>
          </cell>
          <cell r="X93">
            <v>81227</v>
          </cell>
          <cell r="Y93">
            <v>22.913716163856453</v>
          </cell>
          <cell r="Z93">
            <v>2.308579155250329</v>
          </cell>
          <cell r="AA93">
            <v>1.8863809803346054</v>
          </cell>
          <cell r="AB93">
            <v>1.7558454906215206</v>
          </cell>
          <cell r="AC93">
            <v>25.301460140559808</v>
          </cell>
          <cell r="AD93">
            <v>1.4713287043597374</v>
          </cell>
          <cell r="AE93">
            <v>1.3781682616898911</v>
          </cell>
          <cell r="AF93">
            <v>1.4961701032033816</v>
          </cell>
          <cell r="AG93">
            <v>24.564032948605334</v>
          </cell>
          <cell r="AH93">
            <v>1.3225757083006524</v>
          </cell>
          <cell r="AI93">
            <v>1.3025293604592201</v>
          </cell>
          <cell r="AJ93">
            <v>1.3081556242878074</v>
          </cell>
          <cell r="AK93">
            <v>19.860096652470375</v>
          </cell>
          <cell r="AL93">
            <v>1.024358403341985</v>
          </cell>
          <cell r="AM93">
            <v>0.84404092071611259</v>
          </cell>
          <cell r="AN93">
            <v>0.76741723811048046</v>
          </cell>
          <cell r="AO93">
            <v>23.118687049245185</v>
          </cell>
          <cell r="AP93">
            <v>0.61484604381540309</v>
          </cell>
          <cell r="AQ93">
            <v>0.47542683980923139</v>
          </cell>
          <cell r="AR93">
            <v>0.51046835665965662</v>
          </cell>
          <cell r="AS93">
            <v>23.761693791577297</v>
          </cell>
          <cell r="AT93">
            <v>0.51633680870786791</v>
          </cell>
          <cell r="AU93">
            <v>0.43034659427631961</v>
          </cell>
          <cell r="AV93">
            <v>0.42283327173174956</v>
          </cell>
          <cell r="AW93">
            <v>24.155731235306284</v>
          </cell>
          <cell r="AX93">
            <v>0.2908704533473907</v>
          </cell>
          <cell r="AY93">
            <v>0.29886272540676728</v>
          </cell>
          <cell r="AZ93">
            <v>0.28970073112819428</v>
          </cell>
          <cell r="BA93">
            <v>19.554341912980409</v>
          </cell>
          <cell r="BB93">
            <v>0.18621783199805786</v>
          </cell>
          <cell r="BC93">
            <v>7.9491553632354162E-2</v>
          </cell>
          <cell r="BD93">
            <v>0.11982279433276211</v>
          </cell>
          <cell r="BE93">
            <v>35.21481268401638</v>
          </cell>
          <cell r="BF93">
            <v>8.5854145854145747E-2</v>
          </cell>
          <cell r="BG93">
            <v>0.14805778402668657</v>
          </cell>
          <cell r="BH93">
            <v>0.12116951523963682</v>
          </cell>
          <cell r="BI93">
            <v>34.476744421865554</v>
          </cell>
          <cell r="BJ93">
            <v>3.6559925884377176E-2</v>
          </cell>
          <cell r="BK93">
            <v>0.10724405239240853</v>
          </cell>
          <cell r="BL93">
            <v>5.2642707408280032E-2</v>
          </cell>
          <cell r="BM93">
            <v>21.693999999999999</v>
          </cell>
          <cell r="BN93">
            <v>2</v>
          </cell>
          <cell r="BO93">
            <v>3</v>
          </cell>
          <cell r="BP93">
            <v>8</v>
          </cell>
          <cell r="BQ93">
            <v>13</v>
          </cell>
          <cell r="BR93">
            <v>131</v>
          </cell>
          <cell r="BS93">
            <v>440</v>
          </cell>
          <cell r="BT93">
            <v>1289</v>
          </cell>
          <cell r="BU93">
            <v>1860</v>
          </cell>
        </row>
        <row r="94">
          <cell r="A94" t="str">
            <v>IMS SALES/REPORTED SALES</v>
          </cell>
          <cell r="J94">
            <v>28103</v>
          </cell>
          <cell r="K94">
            <v>34070</v>
          </cell>
          <cell r="L94">
            <v>35027</v>
          </cell>
          <cell r="M94">
            <v>2.3871791314837152</v>
          </cell>
          <cell r="N94">
            <v>42342</v>
          </cell>
          <cell r="O94">
            <v>43991</v>
          </cell>
          <cell r="P94">
            <v>46607</v>
          </cell>
          <cell r="Q94">
            <v>2.453941728395062</v>
          </cell>
          <cell r="R94">
            <v>52273</v>
          </cell>
          <cell r="S94">
            <v>49301</v>
          </cell>
          <cell r="T94">
            <v>55287</v>
          </cell>
          <cell r="U94">
            <v>1.716267191142191</v>
          </cell>
          <cell r="V94">
            <v>65111</v>
          </cell>
          <cell r="W94">
            <v>78200</v>
          </cell>
          <cell r="X94">
            <v>81227</v>
          </cell>
          <cell r="Y94">
            <v>1.735139552964043</v>
          </cell>
          <cell r="Z94">
            <v>92981</v>
          </cell>
          <cell r="AA94">
            <v>98339</v>
          </cell>
          <cell r="AB94">
            <v>96529</v>
          </cell>
          <cell r="AC94">
            <v>1.3620955650144171</v>
          </cell>
          <cell r="AD94">
            <v>104641</v>
          </cell>
          <cell r="AE94">
            <v>104618</v>
          </cell>
          <cell r="AF94">
            <v>116339</v>
          </cell>
          <cell r="AG94">
            <v>1.3417218054513627</v>
          </cell>
          <cell r="AH94">
            <v>121408</v>
          </cell>
          <cell r="AI94">
            <v>113517</v>
          </cell>
          <cell r="AJ94">
            <v>127611</v>
          </cell>
          <cell r="AK94">
            <v>1.7080197222222222</v>
          </cell>
          <cell r="AL94">
            <v>131808</v>
          </cell>
          <cell r="AM94">
            <v>144204</v>
          </cell>
          <cell r="AN94">
            <v>143562</v>
          </cell>
          <cell r="AO94">
            <v>1.4507364948453607</v>
          </cell>
          <cell r="AP94">
            <v>150150</v>
          </cell>
          <cell r="AQ94">
            <v>145092</v>
          </cell>
          <cell r="AR94">
            <v>145804</v>
          </cell>
          <cell r="AS94">
            <v>1.3700656488549618</v>
          </cell>
          <cell r="AT94">
            <v>158671</v>
          </cell>
          <cell r="AU94">
            <v>149640</v>
          </cell>
          <cell r="AV94">
            <v>165531</v>
          </cell>
          <cell r="AW94">
            <v>1.308373842390355</v>
          </cell>
          <cell r="AX94">
            <v>156722</v>
          </cell>
          <cell r="AY94">
            <v>147443</v>
          </cell>
          <cell r="AZ94">
            <v>164580</v>
          </cell>
          <cell r="BA94">
            <v>1.775940541130264</v>
          </cell>
          <cell r="BB94">
            <v>156353</v>
          </cell>
          <cell r="BC94">
            <v>155667</v>
          </cell>
          <cell r="BD94">
            <v>160764</v>
          </cell>
          <cell r="BE94">
            <v>1.1415326446032794</v>
          </cell>
          <cell r="BF94">
            <v>163041</v>
          </cell>
          <cell r="BG94">
            <v>166574</v>
          </cell>
          <cell r="BH94">
            <v>163471</v>
          </cell>
          <cell r="BI94">
            <v>0.39312977099236623</v>
          </cell>
          <cell r="BJ94">
            <v>164472</v>
          </cell>
          <cell r="BK94">
            <v>165688</v>
          </cell>
          <cell r="BL94">
            <v>174245</v>
          </cell>
          <cell r="BM94">
            <v>0.89533461471256337</v>
          </cell>
          <cell r="BN94">
            <v>2</v>
          </cell>
          <cell r="BO94">
            <v>3</v>
          </cell>
          <cell r="BP94">
            <v>8</v>
          </cell>
          <cell r="BQ94">
            <v>13</v>
          </cell>
          <cell r="BR94">
            <v>131</v>
          </cell>
          <cell r="BS94">
            <v>427</v>
          </cell>
          <cell r="BT94">
            <v>1258</v>
          </cell>
          <cell r="BU94">
            <v>1816</v>
          </cell>
        </row>
        <row r="95">
          <cell r="A95" t="str">
            <v>Sales (IMS)</v>
          </cell>
          <cell r="J95">
            <v>0.99305699999999997</v>
          </cell>
          <cell r="K95">
            <v>1.393891</v>
          </cell>
          <cell r="L95">
            <v>1.5709949999999999</v>
          </cell>
          <cell r="M95">
            <v>3.9579429999999998</v>
          </cell>
          <cell r="N95">
            <v>1.4280839999999999</v>
          </cell>
          <cell r="O95">
            <v>1.5078689999999999</v>
          </cell>
          <cell r="P95">
            <v>2.0332789999999998</v>
          </cell>
          <cell r="Q95">
            <v>4.9692319999999999</v>
          </cell>
          <cell r="R95">
            <v>1.6972480000000001</v>
          </cell>
          <cell r="S95">
            <v>1.8002009999999999</v>
          </cell>
          <cell r="T95">
            <v>2.3927800000000001</v>
          </cell>
          <cell r="U95">
            <v>5.8902289999999997</v>
          </cell>
          <cell r="V95">
            <v>2.8124560000000001</v>
          </cell>
          <cell r="W95">
            <v>2.622128</v>
          </cell>
          <cell r="X95">
            <v>3.4927090000000001</v>
          </cell>
          <cell r="Y95">
            <v>8.9272930000000006</v>
          </cell>
          <cell r="Z95">
            <v>2.999288</v>
          </cell>
          <cell r="AA95">
            <v>3.0574970000000001</v>
          </cell>
          <cell r="AB95">
            <v>3.8633570000000002</v>
          </cell>
          <cell r="AC95">
            <v>9.9201420000000002</v>
          </cell>
          <cell r="AD95">
            <v>3.1571560000000001</v>
          </cell>
          <cell r="AE95">
            <v>3.2474699999999999</v>
          </cell>
          <cell r="AF95">
            <v>4.3264649999999998</v>
          </cell>
          <cell r="AG95">
            <v>10.731090999999999</v>
          </cell>
          <cell r="AH95">
            <v>3.6258400000000002</v>
          </cell>
          <cell r="AI95">
            <v>3.6743350000000001</v>
          </cell>
          <cell r="AJ95">
            <v>4.9975670000000001</v>
          </cell>
          <cell r="AK95">
            <v>12.297742</v>
          </cell>
          <cell r="AL95">
            <v>4.1837289999999996</v>
          </cell>
          <cell r="AM95">
            <v>4.1432019999999996</v>
          </cell>
          <cell r="AN95">
            <v>5.7452129999999997</v>
          </cell>
          <cell r="AO95">
            <v>14.072143999999998</v>
          </cell>
          <cell r="AP95">
            <v>4.3578939999999999</v>
          </cell>
          <cell r="AQ95">
            <v>4.3864999999999998</v>
          </cell>
          <cell r="AR95">
            <v>5.6138940000000002</v>
          </cell>
          <cell r="AS95">
            <v>14.358288</v>
          </cell>
          <cell r="AT95">
            <v>4.6986780000000001</v>
          </cell>
          <cell r="AU95">
            <v>4.5064630000000001</v>
          </cell>
          <cell r="AV95">
            <v>5.7705060000000001</v>
          </cell>
          <cell r="AW95">
            <v>14.975647000000002</v>
          </cell>
          <cell r="AX95">
            <v>5.140968</v>
          </cell>
          <cell r="AY95">
            <v>4.8685460000000003</v>
          </cell>
          <cell r="AZ95">
            <v>6.2687569999999999</v>
          </cell>
          <cell r="BA95">
            <v>16.278271</v>
          </cell>
          <cell r="BB95">
            <v>5.4733260000000001</v>
          </cell>
          <cell r="BC95">
            <v>5.8341609999999999</v>
          </cell>
          <cell r="BD95">
            <v>7.6978900000000001</v>
          </cell>
          <cell r="BE95">
            <v>19.005376999999999</v>
          </cell>
          <cell r="BF95">
            <v>6.8966529999999997</v>
          </cell>
          <cell r="BG95">
            <v>7.0326279999999999</v>
          </cell>
          <cell r="BH95">
            <v>8.6184340000000006</v>
          </cell>
          <cell r="BI95">
            <v>22.547715</v>
          </cell>
          <cell r="BJ95">
            <v>6.7103060000000001</v>
          </cell>
          <cell r="BK95">
            <v>6.6599919999999999</v>
          </cell>
          <cell r="BL95">
            <v>8.3564430000000005</v>
          </cell>
          <cell r="BM95">
            <v>21.726741000000001</v>
          </cell>
          <cell r="BN95">
            <v>9.3656360000000003</v>
          </cell>
          <cell r="BO95">
            <v>12.122937</v>
          </cell>
          <cell r="BP95">
            <v>0.110053</v>
          </cell>
          <cell r="BQ95">
            <v>0.110053</v>
          </cell>
          <cell r="BR95">
            <v>0.22645599999999999</v>
          </cell>
          <cell r="BS95">
            <v>0.22645599999999999</v>
          </cell>
          <cell r="BT95">
            <v>2.6756850000000001</v>
          </cell>
          <cell r="BU95">
            <v>3.1285970000000001</v>
          </cell>
        </row>
        <row r="96">
          <cell r="A96" t="str">
            <v xml:space="preserve">  % Change</v>
          </cell>
          <cell r="J96">
            <v>0.99305699999999997</v>
          </cell>
          <cell r="K96">
            <v>1.393891</v>
          </cell>
          <cell r="L96">
            <v>1.5709949999999999</v>
          </cell>
          <cell r="M96">
            <v>1.6579999999999999</v>
          </cell>
          <cell r="N96">
            <v>1.4280839999999999</v>
          </cell>
          <cell r="O96">
            <v>1.5078689999999999</v>
          </cell>
          <cell r="P96">
            <v>2.0332789999999998</v>
          </cell>
          <cell r="Q96">
            <v>2.0249999999999999</v>
          </cell>
          <cell r="R96">
            <v>1.6972480000000001</v>
          </cell>
          <cell r="S96">
            <v>1.8002009999999999</v>
          </cell>
          <cell r="T96">
            <v>2.3927800000000001</v>
          </cell>
          <cell r="U96" t="e">
            <v>#DIV/0!</v>
          </cell>
          <cell r="V96">
            <v>2.8124560000000001</v>
          </cell>
          <cell r="W96">
            <v>2.622128</v>
          </cell>
          <cell r="X96">
            <v>3.4927090000000001</v>
          </cell>
          <cell r="Y96" t="e">
            <v>#DIV/0!</v>
          </cell>
          <cell r="Z96">
            <v>2.999288</v>
          </cell>
          <cell r="AA96">
            <v>3.0574970000000001</v>
          </cell>
          <cell r="AB96">
            <v>3.8633570000000002</v>
          </cell>
          <cell r="AC96">
            <v>1.5063882931108408</v>
          </cell>
          <cell r="AD96">
            <v>3.1571560000000001</v>
          </cell>
          <cell r="AE96">
            <v>3.2474699999999999</v>
          </cell>
          <cell r="AF96">
            <v>4.3264649999999998</v>
          </cell>
          <cell r="AG96">
            <v>1.159506941917785</v>
          </cell>
          <cell r="AH96">
            <v>3.6258400000000002</v>
          </cell>
          <cell r="AI96">
            <v>3.6743350000000001</v>
          </cell>
          <cell r="AJ96">
            <v>4.9975670000000001</v>
          </cell>
          <cell r="AK96">
            <v>1.0878206942378643</v>
          </cell>
          <cell r="AL96">
            <v>4.1837289999999996</v>
          </cell>
          <cell r="AM96">
            <v>4.1432019999999996</v>
          </cell>
          <cell r="AN96">
            <v>5.7452129999999997</v>
          </cell>
          <cell r="AO96">
            <v>0.57630582977393008</v>
          </cell>
          <cell r="AP96">
            <v>0.4529761730117281</v>
          </cell>
          <cell r="AQ96">
            <v>0.43467025478684018</v>
          </cell>
          <cell r="AR96">
            <v>0.45311292743590603</v>
          </cell>
          <cell r="AS96">
            <v>0.44738734586662154</v>
          </cell>
          <cell r="AT96">
            <v>0.48826285429038041</v>
          </cell>
          <cell r="AU96">
            <v>0.38768425882302227</v>
          </cell>
          <cell r="AV96">
            <v>0.33376925503846677</v>
          </cell>
          <cell r="AW96">
            <v>0.39553816103134376</v>
          </cell>
          <cell r="AX96">
            <v>0.41786951437460007</v>
          </cell>
          <cell r="AY96">
            <v>0.32501418624050338</v>
          </cell>
          <cell r="AZ96">
            <v>0.25436177243846858</v>
          </cell>
          <cell r="BA96">
            <v>0.32367966412045401</v>
          </cell>
          <cell r="BB96">
            <v>0.30824104524934581</v>
          </cell>
          <cell r="BC96">
            <v>0.40812854405843613</v>
          </cell>
          <cell r="BD96">
            <v>0.33987895662005929</v>
          </cell>
          <cell r="BE96">
            <v>0.35056726252943426</v>
          </cell>
          <cell r="BF96">
            <v>0.58256556951591754</v>
          </cell>
          <cell r="BG96">
            <v>0.60324358828222957</v>
          </cell>
          <cell r="BH96">
            <v>0.5351971376730662</v>
          </cell>
          <cell r="BI96">
            <v>0.57036235796356771</v>
          </cell>
          <cell r="BJ96">
            <v>0.42812637937734821</v>
          </cell>
          <cell r="BK96">
            <v>0.47787566435139928</v>
          </cell>
          <cell r="BL96">
            <v>0.4481300253391991</v>
          </cell>
          <cell r="BM96">
            <v>0.45080483000166849</v>
          </cell>
          <cell r="BN96">
            <v>0.82176508392971903</v>
          </cell>
          <cell r="BO96">
            <v>1.4900528823184582</v>
          </cell>
          <cell r="BP96">
            <v>1.7362529764672647</v>
          </cell>
          <cell r="BQ96">
            <v>1.3738072673688753</v>
          </cell>
          <cell r="BR96">
            <v>1.1895213257898396</v>
          </cell>
          <cell r="BS96">
            <v>1.4150595089850966</v>
          </cell>
          <cell r="BT96">
            <v>1.269969563088067</v>
          </cell>
          <cell r="BU96">
            <v>1.2913402875407316</v>
          </cell>
        </row>
        <row r="97">
          <cell r="A97" t="str">
            <v>TRx IPXL PRODUCTS</v>
          </cell>
          <cell r="J97">
            <v>28103</v>
          </cell>
          <cell r="K97">
            <v>34070</v>
          </cell>
          <cell r="L97">
            <v>35027</v>
          </cell>
          <cell r="M97">
            <v>97200</v>
          </cell>
          <cell r="N97">
            <v>42342</v>
          </cell>
          <cell r="O97">
            <v>43991</v>
          </cell>
          <cell r="P97">
            <v>46607</v>
          </cell>
          <cell r="Q97">
            <v>132940</v>
          </cell>
          <cell r="R97">
            <v>52273</v>
          </cell>
          <cell r="S97">
            <v>49301</v>
          </cell>
          <cell r="T97">
            <v>55287</v>
          </cell>
          <cell r="U97">
            <v>156861</v>
          </cell>
          <cell r="V97">
            <v>65111</v>
          </cell>
          <cell r="W97">
            <v>78200</v>
          </cell>
          <cell r="X97">
            <v>81227</v>
          </cell>
          <cell r="Y97">
            <v>224538</v>
          </cell>
          <cell r="Z97">
            <v>92981</v>
          </cell>
          <cell r="AA97">
            <v>98339</v>
          </cell>
          <cell r="AB97">
            <v>96529</v>
          </cell>
          <cell r="AC97">
            <v>287849</v>
          </cell>
          <cell r="AD97">
            <v>104641</v>
          </cell>
          <cell r="AE97">
            <v>104618</v>
          </cell>
          <cell r="AF97">
            <v>116339</v>
          </cell>
          <cell r="AG97">
            <v>325598</v>
          </cell>
          <cell r="AH97">
            <v>121408</v>
          </cell>
          <cell r="AI97">
            <v>113517</v>
          </cell>
          <cell r="AJ97">
            <v>127611</v>
          </cell>
          <cell r="AK97">
            <v>362536</v>
          </cell>
          <cell r="AL97">
            <v>131808</v>
          </cell>
          <cell r="AM97">
            <v>144204</v>
          </cell>
          <cell r="AN97">
            <v>143562</v>
          </cell>
          <cell r="AO97">
            <v>419574</v>
          </cell>
          <cell r="AP97">
            <v>150150</v>
          </cell>
          <cell r="AQ97">
            <v>145092</v>
          </cell>
          <cell r="AR97">
            <v>145804</v>
          </cell>
          <cell r="AS97">
            <v>441046</v>
          </cell>
          <cell r="AT97">
            <v>158671</v>
          </cell>
          <cell r="AU97">
            <v>149640</v>
          </cell>
          <cell r="AV97">
            <v>165531</v>
          </cell>
          <cell r="AW97">
            <v>473842</v>
          </cell>
          <cell r="AX97">
            <v>156722</v>
          </cell>
          <cell r="AY97">
            <v>147443</v>
          </cell>
          <cell r="AZ97">
            <v>164580</v>
          </cell>
          <cell r="BA97">
            <v>468745</v>
          </cell>
          <cell r="BB97">
            <v>156353</v>
          </cell>
          <cell r="BC97">
            <v>155667</v>
          </cell>
          <cell r="BD97">
            <v>160764</v>
          </cell>
          <cell r="BE97">
            <v>472784</v>
          </cell>
          <cell r="BF97">
            <v>163041</v>
          </cell>
          <cell r="BG97">
            <v>166574</v>
          </cell>
          <cell r="BH97">
            <v>163471</v>
          </cell>
          <cell r="BI97">
            <v>493086</v>
          </cell>
          <cell r="BJ97">
            <v>164472</v>
          </cell>
          <cell r="BK97">
            <v>165688</v>
          </cell>
          <cell r="BL97">
            <v>174245</v>
          </cell>
          <cell r="BM97">
            <v>504405</v>
          </cell>
          <cell r="BN97">
            <v>200265</v>
          </cell>
          <cell r="BO97">
            <v>198464</v>
          </cell>
          <cell r="BP97">
            <v>211067</v>
          </cell>
          <cell r="BQ97">
            <v>609796</v>
          </cell>
          <cell r="BR97">
            <v>194961</v>
          </cell>
          <cell r="BS97">
            <v>201322</v>
          </cell>
          <cell r="BT97">
            <v>203690</v>
          </cell>
          <cell r="BU97">
            <v>599973</v>
          </cell>
        </row>
        <row r="98">
          <cell r="A98" t="str">
            <v xml:space="preserve">  % Change</v>
          </cell>
          <cell r="J98">
            <v>0.99305699999999997</v>
          </cell>
          <cell r="K98">
            <v>1.393891</v>
          </cell>
          <cell r="L98">
            <v>1.5709949999999999</v>
          </cell>
          <cell r="M98">
            <v>17.057613168724281</v>
          </cell>
          <cell r="N98">
            <v>1.4280839999999999</v>
          </cell>
          <cell r="O98">
            <v>1.5078689999999999</v>
          </cell>
          <cell r="P98">
            <v>2.0332789999999998</v>
          </cell>
          <cell r="Q98">
            <v>15.23243568527155</v>
          </cell>
          <cell r="R98">
            <v>1.6972480000000001</v>
          </cell>
          <cell r="S98">
            <v>1.8002009999999999</v>
          </cell>
          <cell r="T98">
            <v>2.3927800000000001</v>
          </cell>
          <cell r="U98">
            <v>21.879243406582898</v>
          </cell>
          <cell r="V98">
            <v>2.8124560000000001</v>
          </cell>
          <cell r="W98">
            <v>2.622128</v>
          </cell>
          <cell r="X98">
            <v>3.4927090000000001</v>
          </cell>
          <cell r="Y98">
            <v>22.913716163856453</v>
          </cell>
          <cell r="Z98">
            <v>2.308579155250329</v>
          </cell>
          <cell r="AA98">
            <v>1.8863809803346054</v>
          </cell>
          <cell r="AB98">
            <v>1.7558454906215206</v>
          </cell>
          <cell r="AC98">
            <v>1.961409465020576</v>
          </cell>
          <cell r="AD98">
            <v>1.4713287043597374</v>
          </cell>
          <cell r="AE98">
            <v>1.3781682616898911</v>
          </cell>
          <cell r="AF98">
            <v>1.4961701032033816</v>
          </cell>
          <cell r="AG98">
            <v>1.4492101700015043</v>
          </cell>
          <cell r="AH98">
            <v>1.3225757083006524</v>
          </cell>
          <cell r="AI98">
            <v>1.3025293604592201</v>
          </cell>
          <cell r="AJ98">
            <v>1.3081556242878074</v>
          </cell>
          <cell r="AK98">
            <v>1.3111927120189213</v>
          </cell>
          <cell r="AL98">
            <v>1.024358403341985</v>
          </cell>
          <cell r="AM98">
            <v>0.84404092071611259</v>
          </cell>
          <cell r="AN98">
            <v>0.76741723811048046</v>
          </cell>
          <cell r="AO98">
            <v>0.86861021297063301</v>
          </cell>
          <cell r="AP98">
            <v>0.61484604381540309</v>
          </cell>
          <cell r="AQ98">
            <v>0.47542683980923139</v>
          </cell>
          <cell r="AR98">
            <v>0.51046835665965662</v>
          </cell>
          <cell r="AS98">
            <v>0.5322130700471428</v>
          </cell>
          <cell r="AT98">
            <v>0.51633680870786791</v>
          </cell>
          <cell r="AU98">
            <v>0.43034659427631961</v>
          </cell>
          <cell r="AV98">
            <v>0.42283327173174956</v>
          </cell>
          <cell r="AW98">
            <v>0.45529763696337211</v>
          </cell>
          <cell r="AX98">
            <v>0.2908704533473907</v>
          </cell>
          <cell r="AY98">
            <v>0.29886272540676728</v>
          </cell>
          <cell r="AZ98">
            <v>0.28970073112819428</v>
          </cell>
          <cell r="BA98">
            <v>0.29296125074475365</v>
          </cell>
          <cell r="BB98">
            <v>0.18621783199805786</v>
          </cell>
          <cell r="BC98">
            <v>7.9491553632354162E-2</v>
          </cell>
          <cell r="BD98">
            <v>0.11982279433276211</v>
          </cell>
          <cell r="BE98">
            <v>0.12681910699900367</v>
          </cell>
          <cell r="BF98">
            <v>8.5854145854145747E-2</v>
          </cell>
          <cell r="BG98">
            <v>0.14805778402668657</v>
          </cell>
          <cell r="BH98">
            <v>0.12116951523963682</v>
          </cell>
          <cell r="BI98">
            <v>0.11799222756809957</v>
          </cell>
          <cell r="BJ98">
            <v>3.6559925884377176E-2</v>
          </cell>
          <cell r="BK98">
            <v>0.10724405239240853</v>
          </cell>
          <cell r="BL98">
            <v>5.2642707408280032E-2</v>
          </cell>
          <cell r="BM98">
            <v>6.4500403087949243E-2</v>
          </cell>
          <cell r="BN98">
            <v>0.27783591327318446</v>
          </cell>
          <cell r="BO98">
            <v>0.34603880821741284</v>
          </cell>
          <cell r="BP98">
            <v>0.28245837890387659</v>
          </cell>
          <cell r="BQ98">
            <v>0.30091200972810372</v>
          </cell>
          <cell r="BR98">
            <v>0.24692842478238353</v>
          </cell>
          <cell r="BS98">
            <v>0.29328630987942206</v>
          </cell>
          <cell r="BT98">
            <v>0.26701251523973024</v>
          </cell>
          <cell r="BU98">
            <v>0.26902137128160009</v>
          </cell>
        </row>
        <row r="99">
          <cell r="A99" t="str">
            <v xml:space="preserve">TOTAL IPXL GLOBAL PRODUCTS SALES </v>
          </cell>
          <cell r="M99">
            <v>1.6579999999999999</v>
          </cell>
          <cell r="Q99">
            <v>2.0249999999999999</v>
          </cell>
          <cell r="U99">
            <v>3.4320000000000004</v>
          </cell>
          <cell r="Y99">
            <v>5.1449999999999996</v>
          </cell>
          <cell r="AC99">
            <v>7.2830000000000004</v>
          </cell>
          <cell r="AG99">
            <v>7.9980000000000002</v>
          </cell>
          <cell r="AK99">
            <v>7.2</v>
          </cell>
          <cell r="AO99">
            <v>9.6999999999999993</v>
          </cell>
          <cell r="AP99">
            <v>0.4529761730117281</v>
          </cell>
          <cell r="AQ99">
            <v>0.43467025478684018</v>
          </cell>
          <cell r="AR99">
            <v>0.45311292743590603</v>
          </cell>
          <cell r="AS99">
            <v>10.48</v>
          </cell>
          <cell r="AT99">
            <v>0.48826285429038041</v>
          </cell>
          <cell r="AU99">
            <v>0.38768425882302227</v>
          </cell>
          <cell r="AV99">
            <v>0.33376925503846677</v>
          </cell>
          <cell r="AW99">
            <v>11.446</v>
          </cell>
          <cell r="AX99">
            <v>0.41786951437460007</v>
          </cell>
          <cell r="AY99">
            <v>0.32501418624050338</v>
          </cell>
          <cell r="AZ99">
            <v>0.25436177243846858</v>
          </cell>
          <cell r="BA99">
            <v>9.1660000000000004</v>
          </cell>
          <cell r="BB99">
            <v>0.30824104524934581</v>
          </cell>
          <cell r="BC99">
            <v>0.40812854405843613</v>
          </cell>
          <cell r="BD99">
            <v>0.33987895662005929</v>
          </cell>
          <cell r="BE99">
            <v>16.649000000000001</v>
          </cell>
          <cell r="BF99">
            <v>0.58256556951591754</v>
          </cell>
          <cell r="BG99">
            <v>0.60324358828222957</v>
          </cell>
          <cell r="BH99">
            <v>0.5351971376730662</v>
          </cell>
          <cell r="BI99">
            <v>14.6</v>
          </cell>
          <cell r="BJ99">
            <v>0.42812637937734821</v>
          </cell>
          <cell r="BK99">
            <v>0.47787566435139928</v>
          </cell>
          <cell r="BL99">
            <v>0.4481300253391991</v>
          </cell>
          <cell r="BM99">
            <v>21.693999999999999</v>
          </cell>
          <cell r="BN99">
            <v>0.82176508392971903</v>
          </cell>
          <cell r="BO99">
            <v>1.4900528823184582</v>
          </cell>
          <cell r="BP99">
            <v>1.7362529764672647</v>
          </cell>
          <cell r="BQ99">
            <v>20.591999999999999</v>
          </cell>
          <cell r="BR99">
            <v>1.1895213257898396</v>
          </cell>
          <cell r="BS99">
            <v>1.4150595089850966</v>
          </cell>
          <cell r="BT99">
            <v>1.269969563088067</v>
          </cell>
          <cell r="BU99">
            <v>26.6</v>
          </cell>
        </row>
        <row r="100">
          <cell r="A100" t="str">
            <v xml:space="preserve">  % Change</v>
          </cell>
          <cell r="M100">
            <v>2.3871791314837152</v>
          </cell>
          <cell r="Q100">
            <v>2.453941728395062</v>
          </cell>
          <cell r="U100" t="e">
            <v>#DIV/0!</v>
          </cell>
          <cell r="Y100" t="e">
            <v>#DIV/0!</v>
          </cell>
          <cell r="AC100">
            <v>3.3926417370325694</v>
          </cell>
          <cell r="AG100">
            <v>2.94962962962963</v>
          </cell>
          <cell r="AK100">
            <v>1.0979020979020979</v>
          </cell>
          <cell r="AO100">
            <v>0.88532555879494668</v>
          </cell>
          <cell r="AS100">
            <v>0.43896745846491836</v>
          </cell>
          <cell r="AW100">
            <v>0.43110777694423597</v>
          </cell>
          <cell r="BA100">
            <v>0.27305555555555561</v>
          </cell>
          <cell r="BE100">
            <v>0.7163917525773198</v>
          </cell>
          <cell r="BI100">
            <v>0.39312977099236623</v>
          </cell>
          <cell r="BM100">
            <v>0.89533461471256337</v>
          </cell>
          <cell r="BQ100">
            <v>1.2465633864281038</v>
          </cell>
          <cell r="BU100">
            <v>0.59769355516847855</v>
          </cell>
        </row>
        <row r="101">
          <cell r="A101" t="str">
            <v>TOTAL SALES (IMS)</v>
          </cell>
          <cell r="J101">
            <v>0.99305699999999997</v>
          </cell>
          <cell r="K101">
            <v>1.393891</v>
          </cell>
          <cell r="L101">
            <v>1.5709949999999999</v>
          </cell>
          <cell r="M101">
            <v>3.9579429999999998</v>
          </cell>
          <cell r="N101">
            <v>1.4280839999999999</v>
          </cell>
          <cell r="O101">
            <v>1.5078689999999999</v>
          </cell>
          <cell r="P101">
            <v>2.0332789999999998</v>
          </cell>
          <cell r="Q101">
            <v>4.9692319999999999</v>
          </cell>
          <cell r="R101">
            <v>1.6972480000000001</v>
          </cell>
          <cell r="S101">
            <v>1.8002009999999999</v>
          </cell>
          <cell r="T101">
            <v>2.3927800000000001</v>
          </cell>
          <cell r="U101">
            <v>5.8902289999999997</v>
          </cell>
          <cell r="V101">
            <v>2.8124560000000001</v>
          </cell>
          <cell r="W101">
            <v>2.622128</v>
          </cell>
          <cell r="X101">
            <v>3.4927090000000001</v>
          </cell>
          <cell r="Y101">
            <v>8.9272930000000006</v>
          </cell>
          <cell r="Z101">
            <v>2.999288</v>
          </cell>
          <cell r="AA101">
            <v>3.0574970000000001</v>
          </cell>
          <cell r="AB101">
            <v>3.8633570000000002</v>
          </cell>
          <cell r="AC101">
            <v>9.9201420000000002</v>
          </cell>
          <cell r="AD101">
            <v>3.1571560000000001</v>
          </cell>
          <cell r="AE101">
            <v>3.2474699999999999</v>
          </cell>
          <cell r="AF101">
            <v>4.3264649999999998</v>
          </cell>
          <cell r="AG101">
            <v>10.731090999999999</v>
          </cell>
          <cell r="AH101">
            <v>3.6258400000000002</v>
          </cell>
          <cell r="AI101">
            <v>3.6743350000000001</v>
          </cell>
          <cell r="AJ101">
            <v>4.9975670000000001</v>
          </cell>
          <cell r="AK101">
            <v>12.297742</v>
          </cell>
          <cell r="AL101">
            <v>4.1837289999999996</v>
          </cell>
          <cell r="AM101">
            <v>4.1432019999999996</v>
          </cell>
          <cell r="AN101">
            <v>5.7452129999999997</v>
          </cell>
          <cell r="AO101">
            <v>14.072143999999998</v>
          </cell>
          <cell r="AP101">
            <v>4.3578939999999999</v>
          </cell>
          <cell r="AQ101">
            <v>4.3864999999999998</v>
          </cell>
          <cell r="AR101">
            <v>5.6138940000000002</v>
          </cell>
          <cell r="AS101">
            <v>14.358288</v>
          </cell>
          <cell r="AT101">
            <v>4.6986780000000001</v>
          </cell>
          <cell r="AU101">
            <v>4.5064630000000001</v>
          </cell>
          <cell r="AV101">
            <v>5.7705060000000001</v>
          </cell>
          <cell r="AW101">
            <v>14.975647000000002</v>
          </cell>
          <cell r="AX101">
            <v>5.140968</v>
          </cell>
          <cell r="AY101">
            <v>4.8685460000000003</v>
          </cell>
          <cell r="AZ101">
            <v>6.2687569999999999</v>
          </cell>
          <cell r="BA101">
            <v>16.278271</v>
          </cell>
          <cell r="BB101">
            <v>5.4733260000000001</v>
          </cell>
          <cell r="BC101">
            <v>5.8341609999999999</v>
          </cell>
          <cell r="BD101">
            <v>7.6978900000000001</v>
          </cell>
          <cell r="BE101">
            <v>19.005376999999999</v>
          </cell>
          <cell r="BF101">
            <v>6.8966529999999997</v>
          </cell>
          <cell r="BG101">
            <v>7.0326279999999999</v>
          </cell>
          <cell r="BH101">
            <v>8.6184340000000006</v>
          </cell>
          <cell r="BI101">
            <v>22.547715</v>
          </cell>
          <cell r="BJ101">
            <v>6.7103060000000001</v>
          </cell>
          <cell r="BK101">
            <v>6.6599919999999999</v>
          </cell>
          <cell r="BL101">
            <v>8.3564430000000005</v>
          </cell>
          <cell r="BM101">
            <v>21.726741000000001</v>
          </cell>
          <cell r="BN101">
            <v>9.3656360000000003</v>
          </cell>
          <cell r="BO101">
            <v>12.122937</v>
          </cell>
          <cell r="BP101">
            <v>17.152905000000001</v>
          </cell>
          <cell r="BQ101">
            <v>38.641478000000006</v>
          </cell>
          <cell r="BR101">
            <v>11.983964</v>
          </cell>
          <cell r="BS101">
            <v>14.089846</v>
          </cell>
          <cell r="BT101">
            <v>17.473976</v>
          </cell>
          <cell r="BU101">
            <v>43.547786000000002</v>
          </cell>
        </row>
        <row r="102">
          <cell r="A102" t="str">
            <v xml:space="preserve">  % Change</v>
          </cell>
          <cell r="M102">
            <v>2.3871791314837152</v>
          </cell>
          <cell r="Q102">
            <v>2.453941728395062</v>
          </cell>
          <cell r="U102" t="e">
            <v>#DIV/0!</v>
          </cell>
          <cell r="Y102" t="e">
            <v>#DIV/0!</v>
          </cell>
          <cell r="AC102">
            <v>1.5063882931108408</v>
          </cell>
          <cell r="AG102">
            <v>1.159506941917785</v>
          </cell>
          <cell r="AK102">
            <v>1.0878206942378643</v>
          </cell>
          <cell r="AO102">
            <v>0.57630582977393008</v>
          </cell>
          <cell r="AP102">
            <v>0.4529761730117281</v>
          </cell>
          <cell r="AQ102">
            <v>0.43467025478684018</v>
          </cell>
          <cell r="AR102">
            <v>0.45311292743590603</v>
          </cell>
          <cell r="AS102">
            <v>0.44738734586662154</v>
          </cell>
          <cell r="AT102">
            <v>0.48826285429038041</v>
          </cell>
          <cell r="AU102">
            <v>0.38768425882302227</v>
          </cell>
          <cell r="AV102">
            <v>0.33376925503846677</v>
          </cell>
          <cell r="AW102">
            <v>0.39553816103134376</v>
          </cell>
          <cell r="AX102">
            <v>0.41786951437460007</v>
          </cell>
          <cell r="AY102">
            <v>0.32501418624050338</v>
          </cell>
          <cell r="AZ102">
            <v>0.25436177243846858</v>
          </cell>
          <cell r="BA102">
            <v>0.32367966412045401</v>
          </cell>
          <cell r="BB102">
            <v>0.30824104524934581</v>
          </cell>
          <cell r="BC102">
            <v>0.40812854405843613</v>
          </cell>
          <cell r="BD102">
            <v>0.33987895662005929</v>
          </cell>
          <cell r="BE102">
            <v>0.35056726252943426</v>
          </cell>
          <cell r="BF102">
            <v>0.58256556951591754</v>
          </cell>
          <cell r="BG102">
            <v>0.60324358828222957</v>
          </cell>
          <cell r="BH102">
            <v>0.5351971376730662</v>
          </cell>
          <cell r="BI102">
            <v>0.57036235796356771</v>
          </cell>
          <cell r="BJ102">
            <v>0.42812637937734821</v>
          </cell>
          <cell r="BK102">
            <v>0.47787566435139928</v>
          </cell>
          <cell r="BL102">
            <v>0.4481300253391991</v>
          </cell>
          <cell r="BM102">
            <v>0.45080483000166849</v>
          </cell>
          <cell r="BN102">
            <v>0.82176508392971903</v>
          </cell>
          <cell r="BO102">
            <v>1.4900528823184582</v>
          </cell>
          <cell r="BP102">
            <v>1.7362529764672647</v>
          </cell>
          <cell r="BQ102">
            <v>1.3738072673688753</v>
          </cell>
          <cell r="BR102">
            <v>1.1895213257898396</v>
          </cell>
          <cell r="BS102">
            <v>1.4150595089850966</v>
          </cell>
          <cell r="BT102">
            <v>1.269969563088067</v>
          </cell>
          <cell r="BU102">
            <v>1.2913402875407316</v>
          </cell>
        </row>
      </sheetData>
      <sheetData sheetId="7"/>
      <sheetData sheetId="8"/>
      <sheetData sheetId="9">
        <row r="81">
          <cell r="A81" t="str">
            <v xml:space="preserve">  % Change</v>
          </cell>
        </row>
      </sheetData>
      <sheetData sheetId="10"/>
      <sheetData sheetId="11"/>
      <sheetData sheetId="12"/>
      <sheetData sheetId="13">
        <row r="81">
          <cell r="A81" t="str">
            <v xml:space="preserve">  % Change</v>
          </cell>
        </row>
      </sheetData>
      <sheetData sheetId="14">
        <row r="3">
          <cell r="A3" t="str">
            <v>Product</v>
          </cell>
        </row>
      </sheetData>
      <sheetData sheetId="15"/>
      <sheetData sheetId="16" refreshError="1"/>
      <sheetData sheetId="17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DEBT"/>
      <sheetName val="MKTD"/>
      <sheetName val="PPLN-brand"/>
      <sheetName val="PPLN-generic"/>
      <sheetName val="IVX"/>
      <sheetName val="P&amp;L Review"/>
      <sheetName val="SUMMARY"/>
      <sheetName val="iQ_US_CoreIndustrials "/>
      <sheetName val="VA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A3" t="str">
            <v>Product</v>
          </cell>
          <cell r="C3">
            <v>36739</v>
          </cell>
          <cell r="D3">
            <v>36770</v>
          </cell>
          <cell r="E3">
            <v>36800</v>
          </cell>
          <cell r="F3">
            <v>36831</v>
          </cell>
          <cell r="G3">
            <v>36861</v>
          </cell>
          <cell r="H3" t="str">
            <v>Q4:00</v>
          </cell>
          <cell r="I3">
            <v>36892</v>
          </cell>
          <cell r="J3">
            <v>36923</v>
          </cell>
          <cell r="K3">
            <v>36951</v>
          </cell>
          <cell r="L3" t="str">
            <v>Q1:01</v>
          </cell>
          <cell r="M3">
            <v>36982</v>
          </cell>
          <cell r="N3">
            <v>37012</v>
          </cell>
          <cell r="O3">
            <v>37043</v>
          </cell>
          <cell r="P3" t="str">
            <v>Q2:01</v>
          </cell>
          <cell r="Q3">
            <v>37073</v>
          </cell>
          <cell r="R3">
            <v>37104</v>
          </cell>
          <cell r="S3">
            <v>37135</v>
          </cell>
          <cell r="T3" t="str">
            <v>Q3:01</v>
          </cell>
          <cell r="U3">
            <v>37165</v>
          </cell>
          <cell r="V3">
            <v>37196</v>
          </cell>
          <cell r="W3">
            <v>37226</v>
          </cell>
          <cell r="X3" t="str">
            <v>Q4:01</v>
          </cell>
          <cell r="Y3">
            <v>37257</v>
          </cell>
          <cell r="Z3">
            <v>37288</v>
          </cell>
          <cell r="AA3">
            <v>37316</v>
          </cell>
          <cell r="AB3" t="str">
            <v>Q1:02</v>
          </cell>
          <cell r="AC3">
            <v>37347</v>
          </cell>
          <cell r="AD3">
            <v>37377</v>
          </cell>
          <cell r="AE3">
            <v>37408</v>
          </cell>
          <cell r="AF3" t="str">
            <v>Q2:02</v>
          </cell>
          <cell r="AG3">
            <v>37438</v>
          </cell>
          <cell r="AH3">
            <v>37469</v>
          </cell>
          <cell r="AI3">
            <v>37500</v>
          </cell>
          <cell r="AJ3" t="str">
            <v>Q3:02</v>
          </cell>
          <cell r="AK3">
            <v>37530</v>
          </cell>
          <cell r="AL3">
            <v>37561</v>
          </cell>
          <cell r="AM3">
            <v>37591</v>
          </cell>
          <cell r="AN3" t="str">
            <v>Q4:02</v>
          </cell>
          <cell r="AO3">
            <v>37622</v>
          </cell>
          <cell r="AP3">
            <v>37653</v>
          </cell>
          <cell r="AQ3">
            <v>37681</v>
          </cell>
          <cell r="AR3" t="str">
            <v>Q1:03</v>
          </cell>
          <cell r="AS3">
            <v>37712</v>
          </cell>
          <cell r="AT3">
            <v>37742</v>
          </cell>
          <cell r="AU3">
            <v>37773</v>
          </cell>
          <cell r="AV3" t="str">
            <v>Q2:03</v>
          </cell>
          <cell r="AW3">
            <v>37803</v>
          </cell>
          <cell r="AX3">
            <v>37834</v>
          </cell>
          <cell r="AY3">
            <v>37865</v>
          </cell>
          <cell r="AZ3" t="str">
            <v>Q3:03</v>
          </cell>
          <cell r="BA3">
            <v>37895</v>
          </cell>
          <cell r="BB3">
            <v>37926</v>
          </cell>
          <cell r="BC3">
            <v>37956</v>
          </cell>
          <cell r="BD3" t="str">
            <v>Q4:03</v>
          </cell>
          <cell r="BE3">
            <v>37987</v>
          </cell>
          <cell r="BF3">
            <v>38018</v>
          </cell>
          <cell r="BG3">
            <v>38047</v>
          </cell>
          <cell r="BH3" t="str">
            <v>Q1:04</v>
          </cell>
          <cell r="BI3">
            <v>38078</v>
          </cell>
          <cell r="BJ3">
            <v>38108</v>
          </cell>
          <cell r="BK3">
            <v>38139</v>
          </cell>
          <cell r="BL3" t="str">
            <v>Q2:04</v>
          </cell>
          <cell r="BM3">
            <v>38169</v>
          </cell>
          <cell r="BN3">
            <v>38200</v>
          </cell>
          <cell r="BO3">
            <v>38231</v>
          </cell>
          <cell r="BP3" t="str">
            <v>Q3:04E</v>
          </cell>
        </row>
        <row r="5">
          <cell r="A5" t="str">
            <v>Generics</v>
          </cell>
        </row>
        <row r="6">
          <cell r="A6" t="str">
            <v xml:space="preserve">VERAPAMIL SR </v>
          </cell>
        </row>
        <row r="7">
          <cell r="A7" t="str">
            <v>TRx</v>
          </cell>
          <cell r="D7">
            <v>511764</v>
          </cell>
          <cell r="E7">
            <v>508118</v>
          </cell>
          <cell r="F7">
            <v>479473</v>
          </cell>
          <cell r="G7">
            <v>492296</v>
          </cell>
          <cell r="H7">
            <v>1479887</v>
          </cell>
          <cell r="I7">
            <v>517989</v>
          </cell>
          <cell r="J7">
            <v>466912</v>
          </cell>
          <cell r="K7">
            <v>517003</v>
          </cell>
          <cell r="L7">
            <v>1501904</v>
          </cell>
          <cell r="M7">
            <v>491378</v>
          </cell>
          <cell r="N7">
            <v>509478</v>
          </cell>
          <cell r="O7">
            <v>491084</v>
          </cell>
          <cell r="P7">
            <v>1491940</v>
          </cell>
          <cell r="Q7">
            <v>494342</v>
          </cell>
          <cell r="R7">
            <v>499114</v>
          </cell>
          <cell r="S7">
            <v>459574</v>
          </cell>
          <cell r="T7">
            <v>1453030</v>
          </cell>
          <cell r="U7">
            <v>500793</v>
          </cell>
          <cell r="V7">
            <v>475240</v>
          </cell>
          <cell r="W7">
            <v>484718</v>
          </cell>
          <cell r="X7">
            <v>1460751</v>
          </cell>
          <cell r="Y7">
            <v>499790</v>
          </cell>
          <cell r="Z7">
            <v>453033</v>
          </cell>
          <cell r="AA7">
            <v>478446</v>
          </cell>
          <cell r="AB7">
            <v>1431269</v>
          </cell>
          <cell r="AC7">
            <v>474805</v>
          </cell>
          <cell r="AD7">
            <v>466140</v>
          </cell>
          <cell r="AE7">
            <v>430102</v>
          </cell>
          <cell r="AF7">
            <v>1371047</v>
          </cell>
          <cell r="AG7">
            <v>452011</v>
          </cell>
          <cell r="AH7">
            <v>417391</v>
          </cell>
          <cell r="AI7">
            <v>359552</v>
          </cell>
          <cell r="AJ7">
            <v>1228954</v>
          </cell>
          <cell r="AK7">
            <v>366852</v>
          </cell>
          <cell r="AL7">
            <v>342868</v>
          </cell>
          <cell r="AM7">
            <v>362036</v>
          </cell>
          <cell r="AN7">
            <v>1071756</v>
          </cell>
          <cell r="AO7">
            <v>352401</v>
          </cell>
          <cell r="AP7">
            <v>314059</v>
          </cell>
          <cell r="AQ7">
            <v>337432</v>
          </cell>
          <cell r="AR7">
            <v>1003892</v>
          </cell>
          <cell r="AS7">
            <v>325708</v>
          </cell>
          <cell r="AT7">
            <v>326985</v>
          </cell>
          <cell r="AU7">
            <v>317806</v>
          </cell>
          <cell r="AV7">
            <v>970499</v>
          </cell>
          <cell r="AW7">
            <v>339210</v>
          </cell>
          <cell r="AX7">
            <v>346825</v>
          </cell>
          <cell r="AY7">
            <v>368075</v>
          </cell>
          <cell r="AZ7">
            <v>1054110</v>
          </cell>
          <cell r="BA7">
            <v>391476</v>
          </cell>
          <cell r="BB7">
            <v>364844</v>
          </cell>
          <cell r="BC7">
            <v>419074</v>
          </cell>
          <cell r="BD7">
            <v>1175394</v>
          </cell>
          <cell r="BE7">
            <v>410109</v>
          </cell>
          <cell r="BF7">
            <v>384202</v>
          </cell>
          <cell r="BG7">
            <v>427018</v>
          </cell>
          <cell r="BH7">
            <v>1221329</v>
          </cell>
          <cell r="BI7">
            <v>403545</v>
          </cell>
          <cell r="BJ7">
            <v>394787</v>
          </cell>
          <cell r="BK7">
            <v>412025</v>
          </cell>
          <cell r="BL7">
            <v>1210357</v>
          </cell>
          <cell r="BM7">
            <v>406284</v>
          </cell>
          <cell r="BN7">
            <v>403495</v>
          </cell>
          <cell r="BO7">
            <v>390043</v>
          </cell>
          <cell r="BP7">
            <v>1199822</v>
          </cell>
        </row>
        <row r="8">
          <cell r="A8" t="str">
            <v xml:space="preserve">  % Change</v>
          </cell>
          <cell r="S8">
            <v>-0.10198060043301205</v>
          </cell>
          <cell r="U8">
            <v>-1.4415942753454924E-2</v>
          </cell>
          <cell r="V8">
            <v>-8.8284428945947235E-3</v>
          </cell>
          <cell r="W8">
            <v>-1.5393178087979575E-2</v>
          </cell>
          <cell r="X8">
            <v>-1.293071700744719E-2</v>
          </cell>
          <cell r="Y8">
            <v>-3.513395072096126E-2</v>
          </cell>
          <cell r="Z8">
            <v>-2.9725087382633131E-2</v>
          </cell>
          <cell r="AA8">
            <v>-7.4577903803266121E-2</v>
          </cell>
          <cell r="AB8">
            <v>-4.703030286889176E-2</v>
          </cell>
          <cell r="AC8">
            <v>-3.3727598712193108E-2</v>
          </cell>
          <cell r="AD8">
            <v>-8.506353561880986E-2</v>
          </cell>
          <cell r="AE8">
            <v>-0.12417834830701058</v>
          </cell>
          <cell r="AF8">
            <v>-8.1030738501548294E-2</v>
          </cell>
          <cell r="AG8">
            <v>-8.5631000400532398E-2</v>
          </cell>
          <cell r="AH8">
            <v>-0.16373614044086116</v>
          </cell>
          <cell r="AI8">
            <v>-0.21764068463403063</v>
          </cell>
          <cell r="AJ8">
            <v>-0.15421292058663616</v>
          </cell>
          <cell r="AK8">
            <v>-0.26745781191031026</v>
          </cell>
          <cell r="AL8">
            <v>-0.27853716017170271</v>
          </cell>
          <cell r="AM8">
            <v>-0.25309974046765338</v>
          </cell>
          <cell r="AN8">
            <v>-0.26629795221772912</v>
          </cell>
          <cell r="AO8">
            <v>-0.29490185878068786</v>
          </cell>
          <cell r="AP8">
            <v>-0.30676352495292836</v>
          </cell>
          <cell r="AQ8">
            <v>-0.29473336593889388</v>
          </cell>
          <cell r="AR8">
            <v>-0.29860005351894015</v>
          </cell>
          <cell r="AS8">
            <v>-0.31401733343161931</v>
          </cell>
          <cell r="AT8">
            <v>-0.29852619384734203</v>
          </cell>
          <cell r="AU8">
            <v>-0.26109155502648207</v>
          </cell>
          <cell r="AV8">
            <v>-0.29214753396491877</v>
          </cell>
          <cell r="AW8">
            <v>-0.2495536613047028</v>
          </cell>
          <cell r="AX8">
            <v>-0.16906449827619663</v>
          </cell>
          <cell r="AY8">
            <v>2.3704498932004325E-2</v>
          </cell>
          <cell r="AZ8">
            <v>-0.14227058132362969</v>
          </cell>
          <cell r="BA8">
            <v>6.712243629583603E-2</v>
          </cell>
          <cell r="BB8">
            <v>6.4094637003161647E-2</v>
          </cell>
          <cell r="BC8">
            <v>0.15754786816780642</v>
          </cell>
          <cell r="BD8">
            <v>9.6699248709594343E-2</v>
          </cell>
          <cell r="BE8">
            <v>0.16375662952148273</v>
          </cell>
          <cell r="BF8">
            <v>0.22334338452329017</v>
          </cell>
          <cell r="BG8">
            <v>0.26549349202209638</v>
          </cell>
          <cell r="BH8">
            <v>0.21659401608938023</v>
          </cell>
          <cell r="BI8">
            <v>0.23897785746742484</v>
          </cell>
          <cell r="BJ8">
            <v>0.2073550774500359</v>
          </cell>
          <cell r="BK8">
            <v>0.29646702705424066</v>
          </cell>
          <cell r="BL8">
            <v>0.24714914698521073</v>
          </cell>
          <cell r="BM8">
            <v>0.197735915804369</v>
          </cell>
          <cell r="BN8">
            <v>0.16339652562531537</v>
          </cell>
          <cell r="BO8">
            <v>5.968348841947968E-2</v>
          </cell>
          <cell r="BP8">
            <v>0.13823225280094098</v>
          </cell>
        </row>
        <row r="9">
          <cell r="A9" t="str">
            <v>31300:CALCIUM BLOCKERS</v>
          </cell>
          <cell r="C9">
            <v>8141171</v>
          </cell>
          <cell r="D9">
            <v>7735778</v>
          </cell>
          <cell r="E9">
            <v>8068670</v>
          </cell>
          <cell r="F9">
            <v>7831795</v>
          </cell>
          <cell r="G9">
            <v>8007040</v>
          </cell>
          <cell r="H9">
            <v>23907505</v>
          </cell>
          <cell r="I9">
            <v>8207044</v>
          </cell>
          <cell r="J9">
            <v>7400997</v>
          </cell>
          <cell r="K9">
            <v>8157756</v>
          </cell>
          <cell r="L9">
            <v>23765797</v>
          </cell>
          <cell r="M9">
            <v>7748947</v>
          </cell>
          <cell r="N9">
            <v>8027394</v>
          </cell>
          <cell r="O9">
            <v>7702158</v>
          </cell>
          <cell r="P9">
            <v>23478499</v>
          </cell>
          <cell r="Q9">
            <v>7867939</v>
          </cell>
          <cell r="R9">
            <v>7928543</v>
          </cell>
          <cell r="S9">
            <v>7363604</v>
          </cell>
          <cell r="T9">
            <v>23160086</v>
          </cell>
          <cell r="U9">
            <v>8007406</v>
          </cell>
          <cell r="V9">
            <v>7650658</v>
          </cell>
          <cell r="W9">
            <v>7835929</v>
          </cell>
          <cell r="X9">
            <v>23493993</v>
          </cell>
          <cell r="Y9">
            <v>7976857</v>
          </cell>
          <cell r="Z9">
            <v>7234606</v>
          </cell>
          <cell r="AA9">
            <v>7780456</v>
          </cell>
          <cell r="AB9">
            <v>22991919</v>
          </cell>
          <cell r="AC9">
            <v>7872028</v>
          </cell>
          <cell r="AD9">
            <v>7877609</v>
          </cell>
          <cell r="AE9">
            <v>7379542</v>
          </cell>
          <cell r="AF9">
            <v>23129179</v>
          </cell>
          <cell r="AG9">
            <v>7847721</v>
          </cell>
          <cell r="AH9">
            <v>7648233</v>
          </cell>
          <cell r="AI9">
            <v>7290185</v>
          </cell>
          <cell r="AJ9">
            <v>22786139</v>
          </cell>
          <cell r="AK9">
            <v>7663700</v>
          </cell>
          <cell r="AL9">
            <v>7299824</v>
          </cell>
          <cell r="AM9">
            <v>7752317</v>
          </cell>
          <cell r="AN9">
            <v>22715841</v>
          </cell>
          <cell r="AO9">
            <v>7642984</v>
          </cell>
          <cell r="AP9">
            <v>6943941</v>
          </cell>
          <cell r="AQ9">
            <v>7544795</v>
          </cell>
          <cell r="AR9">
            <v>22131720</v>
          </cell>
          <cell r="AS9">
            <v>7337052</v>
          </cell>
          <cell r="AT9">
            <v>7530839</v>
          </cell>
          <cell r="AU9">
            <v>7316117</v>
          </cell>
          <cell r="AV9">
            <v>22184008</v>
          </cell>
          <cell r="AW9">
            <v>7501238</v>
          </cell>
          <cell r="AX9">
            <v>7254079</v>
          </cell>
          <cell r="AY9">
            <v>7244401</v>
          </cell>
          <cell r="AZ9">
            <v>21999718</v>
          </cell>
          <cell r="BD9">
            <v>0</v>
          </cell>
          <cell r="BH9">
            <v>0</v>
          </cell>
          <cell r="BL9">
            <v>0</v>
          </cell>
          <cell r="BP9">
            <v>0</v>
          </cell>
        </row>
        <row r="10">
          <cell r="A10" t="str">
            <v>TRx Market Share</v>
          </cell>
          <cell r="H10">
            <v>6.1900520359610925E-2</v>
          </cell>
          <cell r="L10">
            <v>6.3196029150631897E-2</v>
          </cell>
          <cell r="P10">
            <v>6.354494808207288E-2</v>
          </cell>
          <cell r="T10">
            <v>6.273854078089347E-2</v>
          </cell>
          <cell r="X10">
            <v>6.2175510139974931E-2</v>
          </cell>
          <cell r="AB10">
            <v>6.2250958695531246E-2</v>
          </cell>
          <cell r="AC10">
            <v>6.0315461276306437E-2</v>
          </cell>
          <cell r="AD10">
            <v>5.9172776917463157E-2</v>
          </cell>
          <cell r="AE10">
            <v>5.8283020816196997E-2</v>
          </cell>
          <cell r="AF10">
            <v>5.9277806618211568E-2</v>
          </cell>
          <cell r="AG10">
            <v>5.7597740796340745E-2</v>
          </cell>
          <cell r="AH10">
            <v>5.4573520445833697E-2</v>
          </cell>
          <cell r="AI10">
            <v>4.9320010397541351E-2</v>
          </cell>
          <cell r="AJ10">
            <v>5.393427995853093E-2</v>
          </cell>
          <cell r="AK10">
            <v>4.7868784007724728E-2</v>
          </cell>
          <cell r="AL10">
            <v>4.6969351589846553E-2</v>
          </cell>
          <cell r="AM10">
            <v>4.6700360679265307E-2</v>
          </cell>
          <cell r="AN10">
            <v>4.7180995852189669E-2</v>
          </cell>
          <cell r="AO10">
            <v>4.6107776753163424E-2</v>
          </cell>
          <cell r="AP10">
            <v>4.522777483276428E-2</v>
          </cell>
          <cell r="AQ10">
            <v>4.4723812906778779E-2</v>
          </cell>
          <cell r="AR10">
            <v>4.5359872617220895E-2</v>
          </cell>
          <cell r="AS10">
            <v>4.4392216383364873E-2</v>
          </cell>
          <cell r="AT10">
            <v>4.3419464949390099E-2</v>
          </cell>
          <cell r="AU10">
            <v>4.343916315171012E-2</v>
          </cell>
          <cell r="AV10">
            <v>4.3747685269496836E-2</v>
          </cell>
          <cell r="AW10">
            <v>4.5220535596924134E-2</v>
          </cell>
          <cell r="AX10">
            <v>4.7811031558933945E-2</v>
          </cell>
          <cell r="AY10">
            <v>5.0808203466373547E-2</v>
          </cell>
          <cell r="AZ10">
            <v>4.79147050884925E-2</v>
          </cell>
          <cell r="BD10" t="e">
            <v>#DIV/0!</v>
          </cell>
          <cell r="BH10" t="e">
            <v>#DIV/0!</v>
          </cell>
          <cell r="BL10" t="e">
            <v>#DIV/0!</v>
          </cell>
          <cell r="BP10" t="e">
            <v>#DIV/0!</v>
          </cell>
        </row>
        <row r="11">
          <cell r="A11" t="str">
            <v>TRx Market Growth</v>
          </cell>
          <cell r="X11">
            <v>-1.7296325986337791E-2</v>
          </cell>
          <cell r="AB11">
            <v>-3.256267820515335E-2</v>
          </cell>
          <cell r="AF11">
            <v>-1.4878293539974607E-2</v>
          </cell>
          <cell r="AJ11">
            <v>-1.6146183567712136E-2</v>
          </cell>
          <cell r="AK11">
            <v>-4.2923513557324267E-2</v>
          </cell>
          <cell r="AL11">
            <v>-4.5856709318335742E-2</v>
          </cell>
          <cell r="AM11">
            <v>-1.0670336599527652E-2</v>
          </cell>
          <cell r="AN11">
            <v>-3.3121317436333619E-2</v>
          </cell>
          <cell r="AO11">
            <v>-4.1855206881607598E-2</v>
          </cell>
          <cell r="AP11">
            <v>-4.0177032446549243E-2</v>
          </cell>
          <cell r="AQ11">
            <v>-3.028884168228696E-2</v>
          </cell>
          <cell r="AR11">
            <v>-3.7413101533630089E-2</v>
          </cell>
          <cell r="AS11">
            <v>-6.7959107869026925E-2</v>
          </cell>
          <cell r="AT11">
            <v>-4.4019701917167975E-2</v>
          </cell>
          <cell r="AU11">
            <v>-8.5947068259791815E-3</v>
          </cell>
          <cell r="AV11">
            <v>-4.0864874624386816E-2</v>
          </cell>
          <cell r="AW11">
            <v>-4.4150779570272691E-2</v>
          </cell>
          <cell r="AX11">
            <v>-5.1535302337154199E-2</v>
          </cell>
          <cell r="AY11">
            <v>-6.2802247130903099E-3</v>
          </cell>
          <cell r="AZ11">
            <v>-3.4513130987219864E-2</v>
          </cell>
          <cell r="BD11">
            <v>-1</v>
          </cell>
          <cell r="BH11">
            <v>-1</v>
          </cell>
          <cell r="BL11">
            <v>-1</v>
          </cell>
          <cell r="BP11">
            <v>-1</v>
          </cell>
        </row>
        <row r="12">
          <cell r="A12" t="str">
            <v>NRx</v>
          </cell>
          <cell r="D12">
            <v>143244</v>
          </cell>
          <cell r="E12">
            <v>144910</v>
          </cell>
          <cell r="F12">
            <v>136332</v>
          </cell>
          <cell r="G12">
            <v>137233</v>
          </cell>
          <cell r="H12">
            <v>418475</v>
          </cell>
          <cell r="I12">
            <v>157032</v>
          </cell>
          <cell r="J12">
            <v>141164</v>
          </cell>
          <cell r="K12">
            <v>152996</v>
          </cell>
          <cell r="L12">
            <v>451192</v>
          </cell>
          <cell r="M12">
            <v>137570</v>
          </cell>
          <cell r="N12">
            <v>140788</v>
          </cell>
          <cell r="O12">
            <v>133416</v>
          </cell>
          <cell r="P12">
            <v>411774</v>
          </cell>
          <cell r="Q12">
            <v>131582</v>
          </cell>
          <cell r="R12">
            <v>133257</v>
          </cell>
          <cell r="S12">
            <v>120469</v>
          </cell>
          <cell r="T12">
            <v>385308</v>
          </cell>
          <cell r="U12">
            <v>135681</v>
          </cell>
          <cell r="V12">
            <v>129200</v>
          </cell>
          <cell r="W12">
            <v>127205</v>
          </cell>
          <cell r="X12">
            <v>392086</v>
          </cell>
          <cell r="Y12">
            <v>147669</v>
          </cell>
          <cell r="Z12">
            <v>134795</v>
          </cell>
          <cell r="AA12">
            <v>136384</v>
          </cell>
          <cell r="AB12">
            <v>418848</v>
          </cell>
          <cell r="AC12">
            <v>130427</v>
          </cell>
          <cell r="AD12">
            <v>125049</v>
          </cell>
          <cell r="AE12">
            <v>111596</v>
          </cell>
          <cell r="AF12">
            <v>367072</v>
          </cell>
          <cell r="AG12">
            <v>117672</v>
          </cell>
          <cell r="AH12">
            <v>107071</v>
          </cell>
          <cell r="AI12">
            <v>89823</v>
          </cell>
          <cell r="AJ12">
            <v>314566</v>
          </cell>
          <cell r="AK12">
            <v>95572</v>
          </cell>
          <cell r="AL12">
            <v>87985</v>
          </cell>
          <cell r="AM12">
            <v>92389</v>
          </cell>
          <cell r="AN12">
            <v>275946</v>
          </cell>
          <cell r="AO12">
            <v>99703</v>
          </cell>
          <cell r="AP12">
            <v>89741</v>
          </cell>
          <cell r="AQ12">
            <v>93331</v>
          </cell>
          <cell r="AR12">
            <v>282775</v>
          </cell>
          <cell r="AS12">
            <v>86768</v>
          </cell>
          <cell r="AT12">
            <v>85094</v>
          </cell>
          <cell r="AU12">
            <v>81716</v>
          </cell>
          <cell r="AV12">
            <v>253578</v>
          </cell>
          <cell r="AW12">
            <v>88597</v>
          </cell>
          <cell r="AX12">
            <v>92498</v>
          </cell>
          <cell r="AY12">
            <v>101878</v>
          </cell>
          <cell r="AZ12">
            <v>282973</v>
          </cell>
          <cell r="BA12">
            <v>110562</v>
          </cell>
          <cell r="BB12">
            <v>98500</v>
          </cell>
          <cell r="BC12">
            <v>114630</v>
          </cell>
          <cell r="BD12">
            <v>323692</v>
          </cell>
          <cell r="BE12">
            <v>118808</v>
          </cell>
          <cell r="BF12">
            <v>114469</v>
          </cell>
          <cell r="BG12">
            <v>123667</v>
          </cell>
          <cell r="BH12">
            <v>356944</v>
          </cell>
          <cell r="BI12">
            <v>111920</v>
          </cell>
          <cell r="BJ12">
            <v>108005</v>
          </cell>
          <cell r="BK12">
            <v>112245</v>
          </cell>
          <cell r="BL12">
            <v>332170</v>
          </cell>
          <cell r="BM12">
            <v>108382</v>
          </cell>
          <cell r="BN12">
            <v>107639</v>
          </cell>
          <cell r="BO12">
            <v>104628</v>
          </cell>
          <cell r="BP12">
            <v>320649</v>
          </cell>
        </row>
        <row r="13">
          <cell r="A13" t="str">
            <v xml:space="preserve">  % Change</v>
          </cell>
          <cell r="S13">
            <v>-0.15899444304822541</v>
          </cell>
          <cell r="U13">
            <v>-6.3687806224553167E-2</v>
          </cell>
          <cell r="V13">
            <v>-5.2313470058386824E-2</v>
          </cell>
          <cell r="W13">
            <v>-7.3072803188737434E-2</v>
          </cell>
          <cell r="X13">
            <v>-6.3059919947428211E-2</v>
          </cell>
          <cell r="Y13">
            <v>-5.9624789851750015E-2</v>
          </cell>
          <cell r="Z13">
            <v>-4.5117735399960335E-2</v>
          </cell>
          <cell r="AA13">
            <v>-0.10857800203926904</v>
          </cell>
          <cell r="AB13">
            <v>-7.1685668185606177E-2</v>
          </cell>
          <cell r="AC13">
            <v>-5.1922657556153218E-2</v>
          </cell>
          <cell r="AD13">
            <v>-0.11179219819871011</v>
          </cell>
          <cell r="AE13">
            <v>-0.16354859986808179</v>
          </cell>
          <cell r="AF13">
            <v>-0.10855954965587922</v>
          </cell>
          <cell r="AG13">
            <v>-0.10571354744569927</v>
          </cell>
          <cell r="AH13">
            <v>-0.19650750054406152</v>
          </cell>
          <cell r="AI13">
            <v>-0.25438909594999548</v>
          </cell>
          <cell r="AJ13">
            <v>-0.18359857568490667</v>
          </cell>
          <cell r="AK13">
            <v>-0.29561250285596363</v>
          </cell>
          <cell r="AL13">
            <v>-0.31900154798761615</v>
          </cell>
          <cell r="AM13">
            <v>-0.27369993317872721</v>
          </cell>
          <cell r="AN13">
            <v>-0.29621052524191116</v>
          </cell>
          <cell r="AO13">
            <v>-0.32482105248901261</v>
          </cell>
          <cell r="AP13">
            <v>-0.33424088430579768</v>
          </cell>
          <cell r="AQ13">
            <v>-0.31567485922102301</v>
          </cell>
          <cell r="AR13">
            <v>-0.32487441744976697</v>
          </cell>
          <cell r="AS13">
            <v>-0.3347389727587079</v>
          </cell>
          <cell r="AT13">
            <v>-0.31951475021791453</v>
          </cell>
          <cell r="AU13">
            <v>-0.2677515323129861</v>
          </cell>
          <cell r="AV13">
            <v>-0.30918729840467263</v>
          </cell>
          <cell r="AW13">
            <v>-0.24708511795499355</v>
          </cell>
          <cell r="AX13">
            <v>-0.1361059483893865</v>
          </cell>
          <cell r="AY13">
            <v>0.1342083876067377</v>
          </cell>
          <cell r="AZ13">
            <v>-0.10043361329577893</v>
          </cell>
          <cell r="BA13">
            <v>0.15684510107562888</v>
          </cell>
          <cell r="BB13">
            <v>0.1195090072171392</v>
          </cell>
          <cell r="BC13">
            <v>0.24073212178939052</v>
          </cell>
          <cell r="BD13">
            <v>0.17302660665492531</v>
          </cell>
          <cell r="BE13">
            <v>0.19161910875299637</v>
          </cell>
          <cell r="BF13">
            <v>0.27554852297166299</v>
          </cell>
          <cell r="BG13">
            <v>0.32503669734600504</v>
          </cell>
          <cell r="BH13">
            <v>0.2622898063831669</v>
          </cell>
          <cell r="BI13">
            <v>0.28987645214825752</v>
          </cell>
          <cell r="BJ13">
            <v>0.26924342491832554</v>
          </cell>
          <cell r="BK13">
            <v>0.37359880561946257</v>
          </cell>
          <cell r="BL13">
            <v>0.30993224964310784</v>
          </cell>
          <cell r="BM13">
            <v>0.22331455918371956</v>
          </cell>
          <cell r="BN13">
            <v>0.16369002573028602</v>
          </cell>
          <cell r="BO13">
            <v>2.6993070142719677E-2</v>
          </cell>
          <cell r="BP13">
            <v>0.13314344478095075</v>
          </cell>
        </row>
        <row r="14">
          <cell r="A14" t="str">
            <v>Price Change (YoY)</v>
          </cell>
          <cell r="N14">
            <v>0.25</v>
          </cell>
          <cell r="P14">
            <v>0.25</v>
          </cell>
          <cell r="T14">
            <v>0.25</v>
          </cell>
          <cell r="X14">
            <v>0.25</v>
          </cell>
          <cell r="AB14">
            <v>0.25</v>
          </cell>
          <cell r="AF14">
            <v>0</v>
          </cell>
          <cell r="AJ14">
            <v>0</v>
          </cell>
          <cell r="AN14">
            <v>0</v>
          </cell>
          <cell r="AR14">
            <v>0</v>
          </cell>
          <cell r="AV14">
            <v>0</v>
          </cell>
          <cell r="AZ14">
            <v>0</v>
          </cell>
        </row>
        <row r="15">
          <cell r="A15" t="str">
            <v>Sales (IMS)</v>
          </cell>
          <cell r="C15">
            <v>2.8451149999999998</v>
          </cell>
          <cell r="D15">
            <v>3.3486769999999999</v>
          </cell>
          <cell r="E15">
            <v>2.5994649999999999</v>
          </cell>
          <cell r="F15">
            <v>2.6163910000000001</v>
          </cell>
          <cell r="G15">
            <v>3.4802680000000001</v>
          </cell>
          <cell r="H15">
            <v>8.6961240000000011</v>
          </cell>
          <cell r="I15">
            <v>2.795747</v>
          </cell>
          <cell r="J15">
            <v>2.7131699999999999</v>
          </cell>
          <cell r="K15">
            <v>3.4768379999999999</v>
          </cell>
          <cell r="L15">
            <v>8.9857549999999993</v>
          </cell>
          <cell r="M15">
            <v>2.6920630000000001</v>
          </cell>
          <cell r="N15">
            <v>3.6565750000000001</v>
          </cell>
          <cell r="O15">
            <v>4.3469199999999999</v>
          </cell>
          <cell r="P15">
            <v>10.695558000000002</v>
          </cell>
          <cell r="Q15">
            <v>3.6228030000000002</v>
          </cell>
          <cell r="R15">
            <v>3.5034960000000002</v>
          </cell>
          <cell r="S15">
            <v>4.4261860000000004</v>
          </cell>
          <cell r="T15">
            <v>11.552485000000001</v>
          </cell>
          <cell r="U15">
            <v>3.7343500000000001</v>
          </cell>
          <cell r="V15">
            <v>4.5562110000000002</v>
          </cell>
          <cell r="W15">
            <v>4.7425119999999996</v>
          </cell>
          <cell r="X15">
            <v>13.033072999999998</v>
          </cell>
          <cell r="Y15">
            <v>3.6461929999999998</v>
          </cell>
          <cell r="Z15">
            <v>3.5046360000000001</v>
          </cell>
          <cell r="AA15">
            <v>4.1726910000000004</v>
          </cell>
          <cell r="AB15">
            <v>11.32352</v>
          </cell>
          <cell r="AC15">
            <v>3.2558340000000001</v>
          </cell>
          <cell r="AD15">
            <v>3.893024</v>
          </cell>
          <cell r="AE15">
            <v>4.822749</v>
          </cell>
          <cell r="AF15">
            <v>11.971607000000001</v>
          </cell>
          <cell r="AG15">
            <v>3.7649430000000002</v>
          </cell>
          <cell r="AH15">
            <v>3.5928209999999998</v>
          </cell>
          <cell r="AI15">
            <v>4.7111140000000002</v>
          </cell>
          <cell r="AJ15">
            <v>12.068878</v>
          </cell>
          <cell r="AK15">
            <v>3.7957869999999998</v>
          </cell>
          <cell r="AL15">
            <v>4.2261139999999999</v>
          </cell>
          <cell r="AM15">
            <v>4.7829600000000001</v>
          </cell>
          <cell r="AN15">
            <v>12.804860999999999</v>
          </cell>
          <cell r="AO15">
            <v>3.0530940000000002</v>
          </cell>
          <cell r="AP15">
            <v>3.0579830000000001</v>
          </cell>
          <cell r="AQ15">
            <v>4.2072700000000003</v>
          </cell>
          <cell r="AR15">
            <v>10.318347000000001</v>
          </cell>
          <cell r="AS15">
            <v>4.5257670000000001</v>
          </cell>
          <cell r="AT15">
            <v>4.1183949999999996</v>
          </cell>
          <cell r="AU15">
            <v>5.7994519999999996</v>
          </cell>
          <cell r="AV15">
            <v>14.443614</v>
          </cell>
          <cell r="AW15">
            <v>4.413303</v>
          </cell>
          <cell r="AX15">
            <v>4.9460790000000001</v>
          </cell>
          <cell r="AY15">
            <v>5.9320880000000002</v>
          </cell>
          <cell r="AZ15">
            <v>15.29147</v>
          </cell>
          <cell r="BA15">
            <v>4.8953569999999997</v>
          </cell>
          <cell r="BB15">
            <v>4.812011</v>
          </cell>
          <cell r="BC15">
            <v>6.1336380000000004</v>
          </cell>
          <cell r="BD15">
            <v>15.841006</v>
          </cell>
          <cell r="BE15">
            <v>5.2415950000000002</v>
          </cell>
          <cell r="BF15">
            <v>5.159065</v>
          </cell>
          <cell r="BG15">
            <v>6.4525649999999999</v>
          </cell>
          <cell r="BH15">
            <v>16.853225000000002</v>
          </cell>
          <cell r="BI15">
            <v>5.2060180000000003</v>
          </cell>
          <cell r="BJ15">
            <v>5.2999809999999998</v>
          </cell>
          <cell r="BK15">
            <v>6.8569279999999999</v>
          </cell>
          <cell r="BL15">
            <v>17.362926999999999</v>
          </cell>
          <cell r="BM15">
            <v>5.2118719999999996</v>
          </cell>
          <cell r="BN15">
            <v>5.3721379999999996</v>
          </cell>
        </row>
        <row r="16">
          <cell r="A16" t="str">
            <v xml:space="preserve">  % Change</v>
          </cell>
          <cell r="S16">
            <v>0.32177155336271634</v>
          </cell>
          <cell r="U16">
            <v>0.43658406633672708</v>
          </cell>
          <cell r="V16">
            <v>0.74141059191840974</v>
          </cell>
          <cell r="W16">
            <v>0.36268586212326159</v>
          </cell>
          <cell r="X16">
            <v>0.49872207434024585</v>
          </cell>
          <cell r="Y16">
            <v>0.30419276136216888</v>
          </cell>
          <cell r="Z16">
            <v>0.29171264609294667</v>
          </cell>
          <cell r="AA16">
            <v>0.20013960961080168</v>
          </cell>
          <cell r="AB16">
            <v>0.26016344759010246</v>
          </cell>
          <cell r="AC16">
            <v>0.20941969040100483</v>
          </cell>
          <cell r="AD16">
            <v>6.4664064049007486E-2</v>
          </cell>
          <cell r="AE16">
            <v>0.10946348218968827</v>
          </cell>
          <cell r="AF16">
            <v>0.11930644478763974</v>
          </cell>
          <cell r="AG16">
            <v>3.923481348558E-2</v>
          </cell>
          <cell r="AH16">
            <v>2.5495961747922458E-2</v>
          </cell>
          <cell r="AI16">
            <v>6.4373254987476702E-2</v>
          </cell>
          <cell r="AJ16">
            <v>4.4699733433975375E-2</v>
          </cell>
          <cell r="AK16">
            <v>1.6451859091943577E-2</v>
          </cell>
          <cell r="AL16">
            <v>-7.2449893123913811E-2</v>
          </cell>
          <cell r="AM16">
            <v>8.5288134220853351E-3</v>
          </cell>
          <cell r="AN16">
            <v>-1.7510221879367904E-2</v>
          </cell>
          <cell r="AO16">
            <v>-0.16266253596559466</v>
          </cell>
          <cell r="AP16">
            <v>-0.12744633108830705</v>
          </cell>
          <cell r="AQ16">
            <v>8.2869783552148579E-3</v>
          </cell>
          <cell r="AR16">
            <v>-8.876859845701679E-2</v>
          </cell>
          <cell r="AS16">
            <v>0.39004844841598185</v>
          </cell>
          <cell r="AT16">
            <v>5.7890986544136158E-2</v>
          </cell>
          <cell r="AU16">
            <v>0.20251997356694273</v>
          </cell>
          <cell r="AV16">
            <v>0.20648915387884004</v>
          </cell>
          <cell r="AW16">
            <v>0.17220977847473384</v>
          </cell>
          <cell r="AX16">
            <v>0.37665611506946783</v>
          </cell>
          <cell r="AY16">
            <v>0.2591688505096672</v>
          </cell>
          <cell r="AZ16">
            <v>0.26701670196682747</v>
          </cell>
          <cell r="BA16">
            <v>0.28968169183360404</v>
          </cell>
          <cell r="BB16">
            <v>0.13863729184778273</v>
          </cell>
          <cell r="BC16">
            <v>0.28239374780470672</v>
          </cell>
          <cell r="BD16">
            <v>0.23710878236007416</v>
          </cell>
          <cell r="BE16">
            <v>0.71681415639348156</v>
          </cell>
          <cell r="BF16">
            <v>0.68708099423705105</v>
          </cell>
          <cell r="BG16">
            <v>0.53367028976034336</v>
          </cell>
          <cell r="BH16">
            <v>0.63332605503575334</v>
          </cell>
          <cell r="BI16">
            <v>0.15030623538507393</v>
          </cell>
          <cell r="BJ16">
            <v>0.28690448584946338</v>
          </cell>
          <cell r="BK16">
            <v>0.18234067632597006</v>
          </cell>
          <cell r="BL16">
            <v>0.20211790484015979</v>
          </cell>
          <cell r="BM16">
            <v>0.18094588112350318</v>
          </cell>
          <cell r="BN16">
            <v>8.6140759175096004E-2</v>
          </cell>
        </row>
        <row r="18">
          <cell r="A18" t="str">
            <v xml:space="preserve">CLOZAPINE </v>
          </cell>
        </row>
        <row r="19">
          <cell r="A19" t="str">
            <v>TRx</v>
          </cell>
          <cell r="D19">
            <v>66707</v>
          </cell>
          <cell r="E19">
            <v>73137</v>
          </cell>
          <cell r="F19">
            <v>69824</v>
          </cell>
          <cell r="G19">
            <v>68645</v>
          </cell>
          <cell r="H19">
            <v>211606</v>
          </cell>
          <cell r="I19">
            <v>81253</v>
          </cell>
          <cell r="J19">
            <v>73869</v>
          </cell>
          <cell r="K19">
            <v>80496</v>
          </cell>
          <cell r="L19">
            <v>235618</v>
          </cell>
          <cell r="M19">
            <v>79122</v>
          </cell>
          <cell r="N19">
            <v>88293</v>
          </cell>
          <cell r="O19">
            <v>79622</v>
          </cell>
          <cell r="P19">
            <v>247037</v>
          </cell>
          <cell r="Q19">
            <v>85449</v>
          </cell>
          <cell r="R19">
            <v>82651</v>
          </cell>
          <cell r="S19">
            <v>76315</v>
          </cell>
          <cell r="T19">
            <v>244415</v>
          </cell>
          <cell r="U19">
            <v>88372</v>
          </cell>
          <cell r="V19">
            <v>82032</v>
          </cell>
          <cell r="W19">
            <v>85191</v>
          </cell>
          <cell r="X19">
            <v>255595</v>
          </cell>
          <cell r="Y19">
            <v>92241</v>
          </cell>
          <cell r="Z19">
            <v>86028</v>
          </cell>
          <cell r="AA19">
            <v>91127</v>
          </cell>
          <cell r="AB19">
            <v>269396</v>
          </cell>
          <cell r="AC19">
            <v>91158</v>
          </cell>
          <cell r="AD19">
            <v>102578</v>
          </cell>
          <cell r="AE19">
            <v>92814</v>
          </cell>
          <cell r="AF19">
            <v>286550</v>
          </cell>
          <cell r="AG19">
            <v>104687</v>
          </cell>
          <cell r="AH19">
            <v>97473</v>
          </cell>
          <cell r="AI19">
            <v>95655</v>
          </cell>
          <cell r="AJ19">
            <v>297815</v>
          </cell>
          <cell r="AK19">
            <v>105479</v>
          </cell>
          <cell r="AL19">
            <v>97864</v>
          </cell>
          <cell r="AM19">
            <v>107026</v>
          </cell>
          <cell r="AN19">
            <v>310369</v>
          </cell>
          <cell r="AO19">
            <v>95496</v>
          </cell>
          <cell r="AP19">
            <v>85612</v>
          </cell>
          <cell r="AQ19">
            <v>94731</v>
          </cell>
          <cell r="AR19">
            <v>275839</v>
          </cell>
          <cell r="AS19">
            <v>99955</v>
          </cell>
          <cell r="AT19">
            <v>94225</v>
          </cell>
          <cell r="AU19">
            <v>94409</v>
          </cell>
          <cell r="AV19">
            <v>288589</v>
          </cell>
          <cell r="AW19">
            <v>102881</v>
          </cell>
          <cell r="AX19">
            <v>93058</v>
          </cell>
          <cell r="AY19">
            <v>100797</v>
          </cell>
          <cell r="AZ19">
            <v>296736</v>
          </cell>
          <cell r="BA19">
            <v>105450</v>
          </cell>
          <cell r="BB19">
            <v>100303</v>
          </cell>
          <cell r="BC19">
            <v>117278</v>
          </cell>
          <cell r="BD19">
            <v>323031</v>
          </cell>
          <cell r="BE19">
            <v>105088</v>
          </cell>
          <cell r="BF19">
            <v>95757</v>
          </cell>
          <cell r="BG19">
            <v>109152</v>
          </cell>
          <cell r="BH19">
            <v>309997</v>
          </cell>
          <cell r="BI19">
            <v>102459</v>
          </cell>
          <cell r="BJ19">
            <v>99689</v>
          </cell>
          <cell r="BK19">
            <v>105823</v>
          </cell>
          <cell r="BL19">
            <v>307971</v>
          </cell>
          <cell r="BM19">
            <v>100219</v>
          </cell>
          <cell r="BN19">
            <v>111381</v>
          </cell>
          <cell r="BO19">
            <v>106365</v>
          </cell>
          <cell r="BP19">
            <v>317965</v>
          </cell>
        </row>
        <row r="20">
          <cell r="A20" t="str">
            <v xml:space="preserve">  % Change</v>
          </cell>
          <cell r="S20">
            <v>0.14403286011962768</v>
          </cell>
          <cell r="U20">
            <v>0.20830769651475989</v>
          </cell>
          <cell r="V20">
            <v>0.17483959670027494</v>
          </cell>
          <cell r="W20">
            <v>0.24103722048219089</v>
          </cell>
          <cell r="X20">
            <v>0.20788162906533847</v>
          </cell>
          <cell r="Y20">
            <v>0.13523192989797295</v>
          </cell>
          <cell r="Z20">
            <v>0.16460220119400559</v>
          </cell>
          <cell r="AA20">
            <v>0.13206867421983692</v>
          </cell>
          <cell r="AB20">
            <v>0.1433591661078526</v>
          </cell>
          <cell r="AC20">
            <v>0.15211951164025184</v>
          </cell>
          <cell r="AD20">
            <v>0.16179085544720428</v>
          </cell>
          <cell r="AE20">
            <v>0.16568285147321093</v>
          </cell>
          <cell r="AF20">
            <v>0.15994770014208393</v>
          </cell>
          <cell r="AG20">
            <v>0.22514014207304944</v>
          </cell>
          <cell r="AH20">
            <v>0.1793323734740051</v>
          </cell>
          <cell r="AI20">
            <v>0.25342331127563389</v>
          </cell>
          <cell r="AJ20">
            <v>0.21848086246752452</v>
          </cell>
          <cell r="AK20">
            <v>0.19357941429412029</v>
          </cell>
          <cell r="AL20">
            <v>0.19299785449580642</v>
          </cell>
          <cell r="AM20">
            <v>0.25630641734455528</v>
          </cell>
          <cell r="AN20">
            <v>0.21429996674426333</v>
          </cell>
          <cell r="AO20">
            <v>3.5287995576804176E-2</v>
          </cell>
          <cell r="AP20">
            <v>-4.8356349095642903E-3</v>
          </cell>
          <cell r="AQ20">
            <v>3.9549200566242781E-2</v>
          </cell>
          <cell r="AR20">
            <v>2.391646498092026E-2</v>
          </cell>
          <cell r="AS20">
            <v>9.6502775400952201E-2</v>
          </cell>
          <cell r="AT20">
            <v>-8.1430716137963266E-2</v>
          </cell>
          <cell r="AU20">
            <v>1.7184907449307119E-2</v>
          </cell>
          <cell r="AV20">
            <v>7.1156866166464106E-3</v>
          </cell>
          <cell r="AW20">
            <v>-1.7251425678450949E-2</v>
          </cell>
          <cell r="AX20">
            <v>-4.5294594400500654E-2</v>
          </cell>
          <cell r="AY20">
            <v>5.3755684491139988E-2</v>
          </cell>
          <cell r="AZ20">
            <v>-3.6230545808639825E-3</v>
          </cell>
          <cell r="BA20">
            <v>-2.7493624323327026E-4</v>
          </cell>
          <cell r="BB20">
            <v>2.4922341208207355E-2</v>
          </cell>
          <cell r="BC20">
            <v>9.5789808084016936E-2</v>
          </cell>
          <cell r="BD20">
            <v>4.0796600175919684E-2</v>
          </cell>
          <cell r="BE20">
            <v>0.10044399765435208</v>
          </cell>
          <cell r="BF20">
            <v>0.11849974302667854</v>
          </cell>
          <cell r="BG20">
            <v>0.15223105424834538</v>
          </cell>
          <cell r="BH20">
            <v>0.12383310554345117</v>
          </cell>
          <cell r="BI20">
            <v>2.5051273072882907E-2</v>
          </cell>
          <cell r="BJ20">
            <v>5.7988856460599703E-2</v>
          </cell>
          <cell r="BK20">
            <v>0.12089949051467541</v>
          </cell>
          <cell r="BL20">
            <v>6.7161257012568143E-2</v>
          </cell>
          <cell r="BM20">
            <v>-2.5874554096480429E-2</v>
          </cell>
          <cell r="BN20">
            <v>0.19689870833243783</v>
          </cell>
          <cell r="BO20">
            <v>5.5239739277954669E-2</v>
          </cell>
          <cell r="BP20">
            <v>7.1541707106653751E-2</v>
          </cell>
        </row>
        <row r="21">
          <cell r="A21" t="str">
            <v>64190:ANTIPSYCHOTICS,OTH</v>
          </cell>
          <cell r="C21">
            <v>2204425</v>
          </cell>
          <cell r="D21">
            <v>2133217</v>
          </cell>
          <cell r="E21">
            <v>2272293</v>
          </cell>
          <cell r="F21">
            <v>2208533</v>
          </cell>
          <cell r="G21">
            <v>2235711</v>
          </cell>
          <cell r="H21">
            <v>6716537</v>
          </cell>
          <cell r="I21">
            <v>2411872</v>
          </cell>
          <cell r="J21">
            <v>2213510</v>
          </cell>
          <cell r="K21">
            <v>2475184</v>
          </cell>
          <cell r="L21">
            <v>7100566</v>
          </cell>
          <cell r="M21">
            <v>2399151</v>
          </cell>
          <cell r="N21">
            <v>2512012</v>
          </cell>
          <cell r="O21">
            <v>2411223</v>
          </cell>
          <cell r="P21">
            <v>7322386</v>
          </cell>
          <cell r="Q21">
            <v>2486869</v>
          </cell>
          <cell r="R21">
            <v>2578685</v>
          </cell>
          <cell r="S21">
            <v>2431378</v>
          </cell>
          <cell r="T21">
            <v>7496932</v>
          </cell>
          <cell r="U21">
            <v>2698318</v>
          </cell>
          <cell r="V21">
            <v>2614797</v>
          </cell>
          <cell r="W21">
            <v>2648774</v>
          </cell>
          <cell r="X21">
            <v>7961889</v>
          </cell>
          <cell r="Y21">
            <v>2821495</v>
          </cell>
          <cell r="Z21">
            <v>2591270</v>
          </cell>
          <cell r="AA21">
            <v>2799905</v>
          </cell>
          <cell r="AB21">
            <v>8212670</v>
          </cell>
          <cell r="AC21">
            <v>2855490</v>
          </cell>
          <cell r="AD21">
            <v>2929124</v>
          </cell>
          <cell r="AE21">
            <v>2750048</v>
          </cell>
          <cell r="AF21">
            <v>8534662</v>
          </cell>
          <cell r="AG21">
            <v>2960598</v>
          </cell>
          <cell r="AH21">
            <v>2952823</v>
          </cell>
          <cell r="AI21">
            <v>2879386</v>
          </cell>
          <cell r="AJ21">
            <v>8792807</v>
          </cell>
          <cell r="AK21">
            <v>3081222</v>
          </cell>
          <cell r="AL21">
            <v>2971369</v>
          </cell>
          <cell r="AM21">
            <v>3112893</v>
          </cell>
          <cell r="AN21">
            <v>9165484</v>
          </cell>
          <cell r="AO21">
            <v>3168109</v>
          </cell>
          <cell r="AP21">
            <v>2891563</v>
          </cell>
          <cell r="AQ21">
            <v>3194540</v>
          </cell>
          <cell r="AR21">
            <v>9254212</v>
          </cell>
          <cell r="AS21">
            <v>3206863</v>
          </cell>
          <cell r="AT21">
            <v>3255034</v>
          </cell>
          <cell r="AU21">
            <v>3255034</v>
          </cell>
          <cell r="AV21">
            <v>9716931</v>
          </cell>
          <cell r="AW21">
            <v>3306063</v>
          </cell>
          <cell r="AX21">
            <v>3165848</v>
          </cell>
          <cell r="AY21">
            <v>1405200</v>
          </cell>
          <cell r="AZ21">
            <v>7877111</v>
          </cell>
          <cell r="BD21">
            <v>0</v>
          </cell>
          <cell r="BH21">
            <v>0</v>
          </cell>
          <cell r="BL21">
            <v>0</v>
          </cell>
          <cell r="BP21">
            <v>0</v>
          </cell>
        </row>
        <row r="22">
          <cell r="A22" t="str">
            <v>TRx Market Share</v>
          </cell>
          <cell r="H22">
            <v>3.1505223599601999E-2</v>
          </cell>
          <cell r="L22">
            <v>3.3182988511056721E-2</v>
          </cell>
          <cell r="P22">
            <v>3.3737227182505811E-2</v>
          </cell>
          <cell r="T22">
            <v>3.2602003059384828E-2</v>
          </cell>
          <cell r="X22">
            <v>3.2102306374781162E-2</v>
          </cell>
          <cell r="AB22">
            <v>3.2802486889160286E-2</v>
          </cell>
          <cell r="AC22">
            <v>3.1923767899729991E-2</v>
          </cell>
          <cell r="AD22">
            <v>3.5020026465250362E-2</v>
          </cell>
          <cell r="AE22">
            <v>3.3749956364398002E-2</v>
          </cell>
          <cell r="AF22">
            <v>3.3574850415868843E-2</v>
          </cell>
          <cell r="AG22">
            <v>3.5360086036672324E-2</v>
          </cell>
          <cell r="AH22">
            <v>3.3010105922366494E-2</v>
          </cell>
          <cell r="AI22">
            <v>3.3220624119169852E-2</v>
          </cell>
          <cell r="AJ22">
            <v>3.3870298756699654E-2</v>
          </cell>
          <cell r="AK22">
            <v>3.4232846578402983E-2</v>
          </cell>
          <cell r="AL22">
            <v>3.293566029665114E-2</v>
          </cell>
          <cell r="AM22">
            <v>3.4381522268834813E-2</v>
          </cell>
          <cell r="AN22">
            <v>3.3862805281205006E-2</v>
          </cell>
          <cell r="AO22">
            <v>3.014290228019301E-2</v>
          </cell>
          <cell r="AP22">
            <v>2.9607516765154347E-2</v>
          </cell>
          <cell r="AQ22">
            <v>2.9654034696701248E-2</v>
          </cell>
          <cell r="AR22">
            <v>2.9806859838525421E-2</v>
          </cell>
          <cell r="AS22">
            <v>3.1169089543270169E-2</v>
          </cell>
          <cell r="AT22">
            <v>2.8947470287560745E-2</v>
          </cell>
          <cell r="AU22">
            <v>2.9003998114919844E-2</v>
          </cell>
          <cell r="AV22">
            <v>2.9699603712324395E-2</v>
          </cell>
          <cell r="AW22">
            <v>3.1118886724179184E-2</v>
          </cell>
          <cell r="AX22">
            <v>2.9394336051509738E-2</v>
          </cell>
          <cell r="AY22">
            <v>7.1731426131511525E-2</v>
          </cell>
          <cell r="AZ22">
            <v>3.7670663775082006E-2</v>
          </cell>
          <cell r="BD22" t="e">
            <v>#DIV/0!</v>
          </cell>
          <cell r="BH22" t="e">
            <v>#DIV/0!</v>
          </cell>
          <cell r="BL22" t="e">
            <v>#DIV/0!</v>
          </cell>
          <cell r="BP22" t="e">
            <v>#DIV/0!</v>
          </cell>
        </row>
        <row r="23">
          <cell r="A23" t="str">
            <v>TRx Market Growth</v>
          </cell>
          <cell r="X23">
            <v>0.18541578792761815</v>
          </cell>
          <cell r="AB23">
            <v>0.15662188056557746</v>
          </cell>
          <cell r="AF23">
            <v>0.16555751089876991</v>
          </cell>
          <cell r="AJ23">
            <v>0.17285404216017963</v>
          </cell>
          <cell r="AK23">
            <v>0.14190469766721336</v>
          </cell>
          <cell r="AL23">
            <v>0.1363669913955079</v>
          </cell>
          <cell r="AM23">
            <v>0.17522030947147615</v>
          </cell>
          <cell r="AN23">
            <v>0.15116952773393355</v>
          </cell>
          <cell r="AO23">
            <v>0.12284763928342946</v>
          </cell>
          <cell r="AP23">
            <v>0.11588641862870319</v>
          </cell>
          <cell r="AQ23">
            <v>0.14094585352003008</v>
          </cell>
          <cell r="AR23">
            <v>0.126821362601931</v>
          </cell>
          <cell r="AS23">
            <v>0.12305173542894554</v>
          </cell>
          <cell r="AT23">
            <v>0.11126534759197626</v>
          </cell>
          <cell r="AU23">
            <v>0.18362806758282035</v>
          </cell>
          <cell r="AV23">
            <v>0.13852557957186828</v>
          </cell>
          <cell r="AW23">
            <v>0.11668757460486034</v>
          </cell>
          <cell r="AX23">
            <v>7.2142827389247488E-2</v>
          </cell>
          <cell r="AY23">
            <v>-0.51197929002919373</v>
          </cell>
          <cell r="AZ23">
            <v>-0.10414148746810892</v>
          </cell>
          <cell r="BD23">
            <v>-1</v>
          </cell>
          <cell r="BH23">
            <v>-1</v>
          </cell>
          <cell r="BL23">
            <v>-1</v>
          </cell>
          <cell r="BP23">
            <v>-1</v>
          </cell>
        </row>
        <row r="24">
          <cell r="A24" t="str">
            <v>NRx</v>
          </cell>
          <cell r="D24">
            <v>19319</v>
          </cell>
          <cell r="E24">
            <v>20200</v>
          </cell>
          <cell r="F24">
            <v>18916</v>
          </cell>
          <cell r="G24">
            <v>18044</v>
          </cell>
          <cell r="H24">
            <v>57160</v>
          </cell>
          <cell r="I24">
            <v>20758</v>
          </cell>
          <cell r="J24">
            <v>18817</v>
          </cell>
          <cell r="K24">
            <v>21132</v>
          </cell>
          <cell r="L24">
            <v>60707</v>
          </cell>
          <cell r="M24">
            <v>19688</v>
          </cell>
          <cell r="N24">
            <v>20507</v>
          </cell>
          <cell r="O24">
            <v>19838</v>
          </cell>
          <cell r="P24">
            <v>60033</v>
          </cell>
          <cell r="Q24">
            <v>20298</v>
          </cell>
          <cell r="R24">
            <v>20806</v>
          </cell>
          <cell r="S24">
            <v>19622</v>
          </cell>
          <cell r="T24">
            <v>60726</v>
          </cell>
          <cell r="U24">
            <v>22333</v>
          </cell>
          <cell r="V24">
            <v>21088</v>
          </cell>
          <cell r="W24">
            <v>21177</v>
          </cell>
          <cell r="X24">
            <v>64598</v>
          </cell>
          <cell r="Y24">
            <v>22698</v>
          </cell>
          <cell r="Z24">
            <v>21207</v>
          </cell>
          <cell r="AA24">
            <v>22178</v>
          </cell>
          <cell r="AB24">
            <v>66083</v>
          </cell>
          <cell r="AC24">
            <v>22780</v>
          </cell>
          <cell r="AD24">
            <v>28240</v>
          </cell>
          <cell r="AE24">
            <v>25396</v>
          </cell>
          <cell r="AF24">
            <v>76416</v>
          </cell>
          <cell r="AG24">
            <v>29799</v>
          </cell>
          <cell r="AH24">
            <v>28471</v>
          </cell>
          <cell r="AI24">
            <v>28147</v>
          </cell>
          <cell r="AJ24">
            <v>86417</v>
          </cell>
          <cell r="AK24">
            <v>32362</v>
          </cell>
          <cell r="AL24">
            <v>29643</v>
          </cell>
          <cell r="AM24">
            <v>32276</v>
          </cell>
          <cell r="AN24">
            <v>94281</v>
          </cell>
          <cell r="AO24">
            <v>28549</v>
          </cell>
          <cell r="AP24">
            <v>26114</v>
          </cell>
          <cell r="AQ24">
            <v>28261</v>
          </cell>
          <cell r="AR24">
            <v>82924</v>
          </cell>
          <cell r="AS24">
            <v>27329</v>
          </cell>
          <cell r="AT24">
            <v>26808</v>
          </cell>
          <cell r="AU24">
            <v>26203</v>
          </cell>
          <cell r="AV24">
            <v>80340</v>
          </cell>
          <cell r="AW24">
            <v>29372</v>
          </cell>
          <cell r="AX24">
            <v>26005</v>
          </cell>
          <cell r="AY24">
            <v>27957</v>
          </cell>
          <cell r="AZ24">
            <v>83334</v>
          </cell>
          <cell r="BA24">
            <v>29996</v>
          </cell>
          <cell r="BB24">
            <v>27390</v>
          </cell>
          <cell r="BC24">
            <v>30856</v>
          </cell>
          <cell r="BD24">
            <v>88242</v>
          </cell>
          <cell r="BE24">
            <v>28569</v>
          </cell>
          <cell r="BF24">
            <v>26876</v>
          </cell>
          <cell r="BG24">
            <v>29371</v>
          </cell>
          <cell r="BH24">
            <v>84816</v>
          </cell>
          <cell r="BI24">
            <v>28761</v>
          </cell>
          <cell r="BJ24">
            <v>27377</v>
          </cell>
          <cell r="BK24">
            <v>28974</v>
          </cell>
          <cell r="BL24">
            <v>85112</v>
          </cell>
          <cell r="BM24">
            <v>29582</v>
          </cell>
          <cell r="BN24">
            <v>29738</v>
          </cell>
          <cell r="BO24">
            <v>30702</v>
          </cell>
          <cell r="BP24">
            <v>90022</v>
          </cell>
        </row>
        <row r="25">
          <cell r="A25" t="str">
            <v xml:space="preserve">  % Change</v>
          </cell>
          <cell r="S25">
            <v>1.568404161706094E-2</v>
          </cell>
          <cell r="U25">
            <v>0.10559405940594058</v>
          </cell>
          <cell r="V25">
            <v>0.11482342990061323</v>
          </cell>
          <cell r="W25">
            <v>0.17363112391930846</v>
          </cell>
          <cell r="X25">
            <v>0.13012596221133665</v>
          </cell>
          <cell r="Y25">
            <v>9.3457943925233655E-2</v>
          </cell>
          <cell r="Z25">
            <v>0.12701280756762512</v>
          </cell>
          <cell r="AA25">
            <v>4.9498391065682323E-2</v>
          </cell>
          <cell r="AB25">
            <v>8.8556509134037231E-2</v>
          </cell>
          <cell r="AC25">
            <v>0.15704997968305556</v>
          </cell>
          <cell r="AD25">
            <v>0.37709074950017074</v>
          </cell>
          <cell r="AE25">
            <v>0.28016937191249114</v>
          </cell>
          <cell r="AF25">
            <v>0.27289990505222117</v>
          </cell>
          <cell r="AG25">
            <v>0.46807567248004722</v>
          </cell>
          <cell r="AH25">
            <v>0.36840334518888773</v>
          </cell>
          <cell r="AI25">
            <v>0.43446131892773421</v>
          </cell>
          <cell r="AJ25">
            <v>0.42306425583769713</v>
          </cell>
          <cell r="AK25">
            <v>0.4490664039761787</v>
          </cell>
          <cell r="AL25">
            <v>0.40568095599393028</v>
          </cell>
          <cell r="AM25">
            <v>0.52410634178589977</v>
          </cell>
          <cell r="AN25">
            <v>0.45950339019783892</v>
          </cell>
          <cell r="AO25">
            <v>0.25777601550797424</v>
          </cell>
          <cell r="AP25">
            <v>0.23138586315839116</v>
          </cell>
          <cell r="AQ25">
            <v>0.27428081882947075</v>
          </cell>
          <cell r="AR25">
            <v>0.25484617829093725</v>
          </cell>
          <cell r="AS25">
            <v>0.19969271290605795</v>
          </cell>
          <cell r="AT25">
            <v>-5.0708215297450399E-2</v>
          </cell>
          <cell r="AU25">
            <v>3.1776657741376502E-2</v>
          </cell>
          <cell r="AV25">
            <v>5.1350502512562901E-2</v>
          </cell>
          <cell r="AW25">
            <v>-1.4329339910735261E-2</v>
          </cell>
          <cell r="AX25">
            <v>-8.6614449791015402E-2</v>
          </cell>
          <cell r="AY25">
            <v>-6.7502753401783577E-3</v>
          </cell>
          <cell r="AZ25">
            <v>-3.5675850816390242E-2</v>
          </cell>
          <cell r="BA25">
            <v>-7.3110438168221936E-2</v>
          </cell>
          <cell r="BB25">
            <v>-7.6004452990588001E-2</v>
          </cell>
          <cell r="BC25">
            <v>-4.3995538480604779E-2</v>
          </cell>
          <cell r="BD25">
            <v>-6.4053202660133035E-2</v>
          </cell>
          <cell r="BE25">
            <v>7.0054993169632596E-4</v>
          </cell>
          <cell r="BF25">
            <v>2.9179750325495801E-2</v>
          </cell>
          <cell r="BG25">
            <v>3.9276741799653125E-2</v>
          </cell>
          <cell r="BH25">
            <v>2.2816072548357491E-2</v>
          </cell>
          <cell r="BI25">
            <v>5.2398550989791071E-2</v>
          </cell>
          <cell r="BJ25">
            <v>2.1225007460459633E-2</v>
          </cell>
          <cell r="BK25">
            <v>0.10575124985688666</v>
          </cell>
          <cell r="BL25">
            <v>5.9397560368434243E-2</v>
          </cell>
          <cell r="BM25">
            <v>7.1496663489036827E-3</v>
          </cell>
          <cell r="BN25">
            <v>0.14354931743895394</v>
          </cell>
          <cell r="BO25">
            <v>9.818650069749979E-2</v>
          </cell>
          <cell r="BP25">
            <v>8.0255357957136342E-2</v>
          </cell>
        </row>
        <row r="26">
          <cell r="A26" t="str">
            <v>Price Change (YoY)</v>
          </cell>
          <cell r="H26">
            <v>0</v>
          </cell>
          <cell r="L26">
            <v>0</v>
          </cell>
          <cell r="P26">
            <v>0</v>
          </cell>
          <cell r="T26">
            <v>0</v>
          </cell>
          <cell r="X26">
            <v>0</v>
          </cell>
          <cell r="AB26">
            <v>0</v>
          </cell>
          <cell r="AF26">
            <v>0</v>
          </cell>
          <cell r="AJ26">
            <v>0</v>
          </cell>
          <cell r="AN26">
            <v>0</v>
          </cell>
          <cell r="AR26">
            <v>0</v>
          </cell>
          <cell r="AV26">
            <v>0</v>
          </cell>
          <cell r="AZ26">
            <v>0</v>
          </cell>
        </row>
        <row r="27">
          <cell r="A27" t="str">
            <v>Sales (IMS)</v>
          </cell>
          <cell r="C27">
            <v>2.8361149999999999</v>
          </cell>
          <cell r="D27">
            <v>3.7571940000000001</v>
          </cell>
          <cell r="E27">
            <v>3.1383580000000002</v>
          </cell>
          <cell r="F27">
            <v>2.9221569999999999</v>
          </cell>
          <cell r="G27">
            <v>3.9023669999999999</v>
          </cell>
          <cell r="H27">
            <v>9.9628820000000005</v>
          </cell>
          <cell r="I27">
            <v>3.07558</v>
          </cell>
          <cell r="J27">
            <v>3.219001</v>
          </cell>
          <cell r="K27">
            <v>3.9311289999999999</v>
          </cell>
          <cell r="L27">
            <v>10.225709999999999</v>
          </cell>
          <cell r="M27">
            <v>2.951438</v>
          </cell>
          <cell r="N27">
            <v>3.2015530000000001</v>
          </cell>
          <cell r="O27">
            <v>3.9944030000000001</v>
          </cell>
          <cell r="P27">
            <v>10.147394</v>
          </cell>
          <cell r="Q27">
            <v>3.2862939999999998</v>
          </cell>
          <cell r="R27">
            <v>3.6953640000000001</v>
          </cell>
          <cell r="S27">
            <v>4.0381679999999998</v>
          </cell>
          <cell r="T27">
            <v>11.019826</v>
          </cell>
          <cell r="U27">
            <v>3.1192289999999998</v>
          </cell>
          <cell r="V27">
            <v>3.8975949999999999</v>
          </cell>
          <cell r="W27">
            <v>3.8699059999999998</v>
          </cell>
          <cell r="X27">
            <v>10.88673</v>
          </cell>
          <cell r="Y27">
            <v>3.4023430000000001</v>
          </cell>
          <cell r="Z27">
            <v>2.8753160000000002</v>
          </cell>
          <cell r="AA27">
            <v>4.0849609999999998</v>
          </cell>
          <cell r="AB27">
            <v>10.36262</v>
          </cell>
          <cell r="AC27">
            <v>3.4148139999999998</v>
          </cell>
          <cell r="AD27">
            <v>3.2448920000000001</v>
          </cell>
          <cell r="AE27">
            <v>4.5328419999999996</v>
          </cell>
          <cell r="AF27">
            <v>11.192547999999999</v>
          </cell>
          <cell r="AG27">
            <v>3.4745469999999998</v>
          </cell>
          <cell r="AH27">
            <v>3.533299</v>
          </cell>
          <cell r="AI27">
            <v>4.327337</v>
          </cell>
          <cell r="AJ27">
            <v>11.335182999999999</v>
          </cell>
          <cell r="AK27">
            <v>3.341418</v>
          </cell>
          <cell r="AL27">
            <v>3.2476889999999998</v>
          </cell>
          <cell r="AM27">
            <v>4.3442980000000002</v>
          </cell>
          <cell r="AN27">
            <v>10.933405</v>
          </cell>
          <cell r="AO27">
            <v>3.402825</v>
          </cell>
          <cell r="AP27">
            <v>3.4490609999999999</v>
          </cell>
          <cell r="AQ27">
            <v>4.6511230000000001</v>
          </cell>
          <cell r="AR27">
            <v>11.503009</v>
          </cell>
          <cell r="AS27">
            <v>3.629016</v>
          </cell>
          <cell r="AT27">
            <v>3.5763259999999999</v>
          </cell>
          <cell r="AU27">
            <v>5.3868309999999999</v>
          </cell>
          <cell r="AV27">
            <v>12.592172999999999</v>
          </cell>
          <cell r="AW27">
            <v>4.1313940000000002</v>
          </cell>
          <cell r="AX27">
            <v>4.5914910000000004</v>
          </cell>
          <cell r="AY27">
            <v>5.3338289999999997</v>
          </cell>
          <cell r="AZ27">
            <v>14.056714000000001</v>
          </cell>
          <cell r="BA27">
            <v>4.1902100000000004</v>
          </cell>
          <cell r="BB27">
            <v>4.2745259999999998</v>
          </cell>
          <cell r="BC27">
            <v>4.8923639999999997</v>
          </cell>
          <cell r="BD27">
            <v>13.357099999999999</v>
          </cell>
          <cell r="BE27">
            <v>4.1563499999999998</v>
          </cell>
          <cell r="BF27">
            <v>4.0938150000000002</v>
          </cell>
          <cell r="BG27">
            <v>5.3530280000000001</v>
          </cell>
          <cell r="BH27">
            <v>13.603192999999999</v>
          </cell>
          <cell r="BI27">
            <v>3.920458</v>
          </cell>
          <cell r="BJ27">
            <v>4.2641210000000003</v>
          </cell>
          <cell r="BK27">
            <v>5.834111</v>
          </cell>
          <cell r="BL27">
            <v>14.018689999999999</v>
          </cell>
          <cell r="BM27">
            <v>4.7188689999999998</v>
          </cell>
          <cell r="BN27">
            <v>4.509061</v>
          </cell>
        </row>
        <row r="28">
          <cell r="A28" t="str">
            <v xml:space="preserve">  % Change</v>
          </cell>
          <cell r="S28">
            <v>7.4782936414781842E-2</v>
          </cell>
          <cell r="U28">
            <v>-6.0952255924915377E-3</v>
          </cell>
          <cell r="V28">
            <v>0.33380752642654032</v>
          </cell>
          <cell r="W28">
            <v>-8.3182847743433763E-3</v>
          </cell>
          <cell r="X28">
            <v>9.2728991470540256E-2</v>
          </cell>
          <cell r="Y28">
            <v>0.10624435065906268</v>
          </cell>
          <cell r="Z28">
            <v>-0.10676759653072487</v>
          </cell>
          <cell r="AA28">
            <v>3.913176087581971E-2</v>
          </cell>
          <cell r="AB28">
            <v>1.3388801364404124E-2</v>
          </cell>
          <cell r="AC28">
            <v>0.15700007928338655</v>
          </cell>
          <cell r="AD28">
            <v>1.3536867888802817E-2</v>
          </cell>
          <cell r="AE28">
            <v>0.13479836661448519</v>
          </cell>
          <cell r="AF28">
            <v>0.10299728186369794</v>
          </cell>
          <cell r="AG28">
            <v>5.7284284364089055E-2</v>
          </cell>
          <cell r="AH28">
            <v>-4.3856302112592949E-2</v>
          </cell>
          <cell r="AI28">
            <v>7.1608957329165168E-2</v>
          </cell>
          <cell r="AJ28">
            <v>2.8617239509952208E-2</v>
          </cell>
          <cell r="AK28">
            <v>7.1232025606327687E-2</v>
          </cell>
          <cell r="AL28">
            <v>-0.16674539042666059</v>
          </cell>
          <cell r="AM28">
            <v>0.12258488965881864</v>
          </cell>
          <cell r="AN28">
            <v>4.2873296205563349E-3</v>
          </cell>
          <cell r="AO28">
            <v>1.4166708059715205E-4</v>
          </cell>
          <cell r="AP28">
            <v>0.19954154604224361</v>
          </cell>
          <cell r="AQ28">
            <v>0.13859667203677106</v>
          </cell>
          <cell r="AR28">
            <v>0.11004832754650851</v>
          </cell>
          <cell r="AS28">
            <v>6.2727281778744093E-2</v>
          </cell>
          <cell r="AT28">
            <v>0.10214022531412437</v>
          </cell>
          <cell r="AU28">
            <v>0.18840034574335496</v>
          </cell>
          <cell r="AV28">
            <v>0.1250497205819443</v>
          </cell>
          <cell r="AW28">
            <v>0.18904536332362198</v>
          </cell>
          <cell r="AX28">
            <v>0.29949121203724927</v>
          </cell>
          <cell r="AY28">
            <v>0.23258923444141266</v>
          </cell>
          <cell r="AZ28">
            <v>0.24009590317156793</v>
          </cell>
          <cell r="BA28">
            <v>0.25402149626296389</v>
          </cell>
          <cell r="BB28">
            <v>0.31617467066581817</v>
          </cell>
          <cell r="BC28">
            <v>0.12615755180698929</v>
          </cell>
          <cell r="BD28">
            <v>0.22167796765966297</v>
          </cell>
          <cell r="BE28">
            <v>0.22144100857375859</v>
          </cell>
          <cell r="BF28">
            <v>0.18693609652018339</v>
          </cell>
          <cell r="BG28">
            <v>0.15091086604245896</v>
          </cell>
          <cell r="BH28">
            <v>0.1825769240031021</v>
          </cell>
          <cell r="BI28">
            <v>8.0308822005744851E-2</v>
          </cell>
          <cell r="BJ28">
            <v>0.19231887697038808</v>
          </cell>
          <cell r="BK28">
            <v>8.3032120369100237E-2</v>
          </cell>
          <cell r="BL28">
            <v>0.11328600710933689</v>
          </cell>
          <cell r="BM28">
            <v>0.1421977666618095</v>
          </cell>
          <cell r="BN28">
            <v>-1.7952773946415368E-2</v>
          </cell>
        </row>
        <row r="30">
          <cell r="A30" t="str">
            <v xml:space="preserve">NITROFURANT MACRO </v>
          </cell>
        </row>
        <row r="31">
          <cell r="A31" t="str">
            <v>TRx</v>
          </cell>
          <cell r="D31">
            <v>87737</v>
          </cell>
          <cell r="E31">
            <v>90937</v>
          </cell>
          <cell r="F31">
            <v>85814</v>
          </cell>
          <cell r="G31">
            <v>84975</v>
          </cell>
          <cell r="H31">
            <v>261726</v>
          </cell>
          <cell r="I31">
            <v>90661</v>
          </cell>
          <cell r="J31">
            <v>82624</v>
          </cell>
          <cell r="K31">
            <v>92688</v>
          </cell>
          <cell r="L31">
            <v>265973</v>
          </cell>
          <cell r="M31">
            <v>91077</v>
          </cell>
          <cell r="N31">
            <v>96086</v>
          </cell>
          <cell r="O31">
            <v>93627</v>
          </cell>
          <cell r="P31">
            <v>280790</v>
          </cell>
          <cell r="Q31">
            <v>96192</v>
          </cell>
          <cell r="R31">
            <v>99654</v>
          </cell>
          <cell r="S31">
            <v>91976</v>
          </cell>
          <cell r="T31">
            <v>287822</v>
          </cell>
          <cell r="U31">
            <v>104809</v>
          </cell>
          <cell r="V31">
            <v>94839</v>
          </cell>
          <cell r="W31">
            <v>91817</v>
          </cell>
          <cell r="X31">
            <v>291465</v>
          </cell>
          <cell r="Y31">
            <v>99659</v>
          </cell>
          <cell r="Z31">
            <v>91657</v>
          </cell>
          <cell r="AA31">
            <v>100448</v>
          </cell>
          <cell r="AB31">
            <v>291764</v>
          </cell>
          <cell r="AC31">
            <v>104831</v>
          </cell>
          <cell r="AD31">
            <v>99592</v>
          </cell>
          <cell r="AE31">
            <v>94857</v>
          </cell>
          <cell r="AF31">
            <v>299280</v>
          </cell>
          <cell r="AG31">
            <v>103444</v>
          </cell>
          <cell r="AH31">
            <v>112963</v>
          </cell>
          <cell r="AI31">
            <v>116920</v>
          </cell>
          <cell r="AJ31">
            <v>333327</v>
          </cell>
          <cell r="AK31">
            <v>126735</v>
          </cell>
          <cell r="AL31">
            <v>125568</v>
          </cell>
          <cell r="AM31">
            <v>135112</v>
          </cell>
          <cell r="AN31">
            <v>387415</v>
          </cell>
          <cell r="AO31">
            <v>139707</v>
          </cell>
          <cell r="AP31">
            <v>128810</v>
          </cell>
          <cell r="AQ31">
            <v>142324</v>
          </cell>
          <cell r="AR31">
            <v>410841</v>
          </cell>
          <cell r="AS31">
            <v>144918</v>
          </cell>
          <cell r="AT31">
            <v>149874</v>
          </cell>
          <cell r="AU31">
            <v>150334</v>
          </cell>
          <cell r="AV31">
            <v>445126</v>
          </cell>
          <cell r="AW31">
            <v>159418</v>
          </cell>
          <cell r="AX31">
            <v>157741</v>
          </cell>
          <cell r="AY31">
            <v>159779</v>
          </cell>
          <cell r="AZ31">
            <v>476938</v>
          </cell>
          <cell r="BA31">
            <v>164612</v>
          </cell>
          <cell r="BB31">
            <v>152615</v>
          </cell>
          <cell r="BC31">
            <v>164625</v>
          </cell>
          <cell r="BD31">
            <v>481852</v>
          </cell>
          <cell r="BE31">
            <v>162630</v>
          </cell>
          <cell r="BF31">
            <v>151141</v>
          </cell>
          <cell r="BG31">
            <v>170418</v>
          </cell>
          <cell r="BH31">
            <v>484189</v>
          </cell>
          <cell r="BI31">
            <v>161195</v>
          </cell>
          <cell r="BJ31">
            <v>160317</v>
          </cell>
          <cell r="BK31">
            <v>169923</v>
          </cell>
          <cell r="BL31">
            <v>491435</v>
          </cell>
          <cell r="BM31">
            <v>172268</v>
          </cell>
          <cell r="BN31">
            <v>174867</v>
          </cell>
          <cell r="BO31">
            <v>167858</v>
          </cell>
          <cell r="BP31">
            <v>514993</v>
          </cell>
        </row>
        <row r="32">
          <cell r="A32" t="str">
            <v xml:space="preserve">  % Change</v>
          </cell>
          <cell r="S32">
            <v>4.8314850063257309E-2</v>
          </cell>
          <cell r="U32">
            <v>0.15254516863322953</v>
          </cell>
          <cell r="V32">
            <v>0.10516931969142562</v>
          </cell>
          <cell r="W32">
            <v>8.051779935275083E-2</v>
          </cell>
          <cell r="X32">
            <v>0.11362646431764523</v>
          </cell>
          <cell r="Y32">
            <v>9.92488501119555E-2</v>
          </cell>
          <cell r="Z32">
            <v>0.10932658791634386</v>
          </cell>
          <cell r="AA32">
            <v>8.3721733126186804E-2</v>
          </cell>
          <cell r="AB32">
            <v>9.6968489282746706E-2</v>
          </cell>
          <cell r="AC32">
            <v>0.15101507515618651</v>
          </cell>
          <cell r="AD32">
            <v>3.6488146035842828E-2</v>
          </cell>
          <cell r="AE32">
            <v>1.3137236053702539E-2</v>
          </cell>
          <cell r="AF32">
            <v>6.5849923430321589E-2</v>
          </cell>
          <cell r="AG32">
            <v>7.5390884896872956E-2</v>
          </cell>
          <cell r="AH32">
            <v>0.13355209023220338</v>
          </cell>
          <cell r="AI32">
            <v>0.27120118291728268</v>
          </cell>
          <cell r="AJ32">
            <v>0.15810118753952085</v>
          </cell>
          <cell r="AK32">
            <v>0.20919959163812263</v>
          </cell>
          <cell r="AL32">
            <v>0.32401227343181604</v>
          </cell>
          <cell r="AM32">
            <v>0.471535772242613</v>
          </cell>
          <cell r="AN32">
            <v>0.32919904619765661</v>
          </cell>
          <cell r="AO32">
            <v>0.40185030955558454</v>
          </cell>
          <cell r="AP32">
            <v>0.40534820035567387</v>
          </cell>
          <cell r="AQ32">
            <v>0.41689232239566731</v>
          </cell>
          <cell r="AR32">
            <v>0.40812780192210152</v>
          </cell>
          <cell r="AS32">
            <v>0.38239642853736022</v>
          </cell>
          <cell r="AT32">
            <v>0.50487991003293442</v>
          </cell>
          <cell r="AU32">
            <v>0.58484877236260902</v>
          </cell>
          <cell r="AV32">
            <v>0.48732290831328529</v>
          </cell>
          <cell r="AW32">
            <v>0.54110436564711351</v>
          </cell>
          <cell r="AX32">
            <v>0.39639527987040002</v>
          </cell>
          <cell r="AY32">
            <v>0.3665668833390352</v>
          </cell>
          <cell r="AZ32">
            <v>0.43084118598253363</v>
          </cell>
          <cell r="BA32">
            <v>0.29886771610052465</v>
          </cell>
          <cell r="BB32">
            <v>0.21539723496432206</v>
          </cell>
          <cell r="BC32">
            <v>0.21843359583160638</v>
          </cell>
          <cell r="BD32">
            <v>0.24376185743969647</v>
          </cell>
          <cell r="BE32">
            <v>0.16407910841976414</v>
          </cell>
          <cell r="BF32">
            <v>0.17336386926480873</v>
          </cell>
          <cell r="BG32">
            <v>0.19739467693431889</v>
          </cell>
          <cell r="BH32">
            <v>0.17853135397878983</v>
          </cell>
          <cell r="BI32">
            <v>0.11231869056983945</v>
          </cell>
          <cell r="BJ32">
            <v>6.9678529965170766E-2</v>
          </cell>
          <cell r="BK32">
            <v>0.13030319156012604</v>
          </cell>
          <cell r="BL32">
            <v>0.10403571123681843</v>
          </cell>
          <cell r="BM32">
            <v>8.0605703245555604E-2</v>
          </cell>
          <cell r="BN32">
            <v>0.10857037802473668</v>
          </cell>
          <cell r="BO32">
            <v>5.0563590960013505E-2</v>
          </cell>
          <cell r="BP32">
            <v>7.9790245272970406E-2</v>
          </cell>
        </row>
        <row r="33">
          <cell r="A33" t="str">
            <v>NRx</v>
          </cell>
          <cell r="D33">
            <v>48396</v>
          </cell>
          <cell r="E33">
            <v>49527</v>
          </cell>
          <cell r="F33">
            <v>45510</v>
          </cell>
          <cell r="G33">
            <v>43400</v>
          </cell>
          <cell r="H33">
            <v>138437</v>
          </cell>
          <cell r="I33">
            <v>48708</v>
          </cell>
          <cell r="J33">
            <v>44539</v>
          </cell>
          <cell r="K33">
            <v>50057</v>
          </cell>
          <cell r="L33">
            <v>143304</v>
          </cell>
          <cell r="M33">
            <v>48649</v>
          </cell>
          <cell r="N33">
            <v>52024</v>
          </cell>
          <cell r="O33">
            <v>49985</v>
          </cell>
          <cell r="P33">
            <v>150658</v>
          </cell>
          <cell r="Q33">
            <v>51280</v>
          </cell>
          <cell r="R33">
            <v>53663</v>
          </cell>
          <cell r="S33">
            <v>48403</v>
          </cell>
          <cell r="T33">
            <v>153346</v>
          </cell>
          <cell r="U33">
            <v>56187</v>
          </cell>
          <cell r="V33">
            <v>48397</v>
          </cell>
          <cell r="W33">
            <v>45065</v>
          </cell>
          <cell r="X33">
            <v>149649</v>
          </cell>
          <cell r="Y33">
            <v>53862</v>
          </cell>
          <cell r="Z33">
            <v>49765</v>
          </cell>
          <cell r="AA33">
            <v>54835</v>
          </cell>
          <cell r="AB33">
            <v>158462</v>
          </cell>
          <cell r="AC33">
            <v>59443</v>
          </cell>
          <cell r="AD33">
            <v>57890</v>
          </cell>
          <cell r="AE33">
            <v>54848</v>
          </cell>
          <cell r="AF33">
            <v>172181</v>
          </cell>
          <cell r="AG33">
            <v>59999</v>
          </cell>
          <cell r="AH33">
            <v>67058</v>
          </cell>
          <cell r="AI33">
            <v>67839</v>
          </cell>
          <cell r="AJ33">
            <v>194896</v>
          </cell>
          <cell r="AK33">
            <v>72665</v>
          </cell>
          <cell r="AL33">
            <v>70671</v>
          </cell>
          <cell r="AM33">
            <v>72031</v>
          </cell>
          <cell r="AN33">
            <v>215367</v>
          </cell>
          <cell r="AO33">
            <v>78565</v>
          </cell>
          <cell r="AP33">
            <v>71486</v>
          </cell>
          <cell r="AQ33">
            <v>78414</v>
          </cell>
          <cell r="AR33">
            <v>228465</v>
          </cell>
          <cell r="AS33">
            <v>79815</v>
          </cell>
          <cell r="AT33">
            <v>81947</v>
          </cell>
          <cell r="AU33">
            <v>82205</v>
          </cell>
          <cell r="AV33">
            <v>243967</v>
          </cell>
          <cell r="AW33">
            <v>87775</v>
          </cell>
          <cell r="AX33">
            <v>87129</v>
          </cell>
          <cell r="AY33">
            <v>87649</v>
          </cell>
          <cell r="AZ33">
            <v>262553</v>
          </cell>
          <cell r="BA33">
            <v>90885</v>
          </cell>
          <cell r="BB33">
            <v>80861</v>
          </cell>
          <cell r="BC33">
            <v>84609</v>
          </cell>
          <cell r="BD33">
            <v>256355</v>
          </cell>
          <cell r="BE33">
            <v>87178</v>
          </cell>
          <cell r="BF33">
            <v>81326</v>
          </cell>
          <cell r="BG33">
            <v>92386</v>
          </cell>
          <cell r="BH33">
            <v>260890</v>
          </cell>
          <cell r="BI33">
            <v>86912</v>
          </cell>
          <cell r="BJ33">
            <v>86222</v>
          </cell>
          <cell r="BK33">
            <v>91828</v>
          </cell>
          <cell r="BL33">
            <v>264962</v>
          </cell>
          <cell r="BM33">
            <v>93524</v>
          </cell>
          <cell r="BN33">
            <v>95329</v>
          </cell>
          <cell r="BO33">
            <v>91214</v>
          </cell>
          <cell r="BP33">
            <v>280067</v>
          </cell>
        </row>
        <row r="34">
          <cell r="A34" t="str">
            <v xml:space="preserve">  % Change</v>
          </cell>
          <cell r="S34">
            <v>1.4464005289682724E-4</v>
          </cell>
          <cell r="U34">
            <v>0.13447210612393246</v>
          </cell>
          <cell r="V34">
            <v>6.3436607339046436E-2</v>
          </cell>
          <cell r="W34">
            <v>3.8364055299539235E-2</v>
          </cell>
          <cell r="X34">
            <v>8.0989908767164831E-2</v>
          </cell>
          <cell r="Y34">
            <v>0.10581423996058148</v>
          </cell>
          <cell r="Z34">
            <v>0.11733536900244723</v>
          </cell>
          <cell r="AA34">
            <v>9.5451185648360859E-2</v>
          </cell>
          <cell r="AB34">
            <v>0.10577513537654215</v>
          </cell>
          <cell r="AC34">
            <v>0.22187506423564729</v>
          </cell>
          <cell r="AD34">
            <v>0.11275565123789022</v>
          </cell>
          <cell r="AE34">
            <v>9.7289186756026824E-2</v>
          </cell>
          <cell r="AF34">
            <v>0.14285998752140605</v>
          </cell>
          <cell r="AG34">
            <v>0.17002730109204367</v>
          </cell>
          <cell r="AH34">
            <v>0.24961332761865718</v>
          </cell>
          <cell r="AI34">
            <v>0.40154535875875452</v>
          </cell>
          <cell r="AJ34">
            <v>0.27095587755794082</v>
          </cell>
          <cell r="AK34">
            <v>0.29327068538985879</v>
          </cell>
          <cell r="AL34">
            <v>0.46023513854164522</v>
          </cell>
          <cell r="AM34">
            <v>0.59838011760789978</v>
          </cell>
          <cell r="AN34">
            <v>0.43914760539662812</v>
          </cell>
          <cell r="AO34">
            <v>0.45863503026252284</v>
          </cell>
          <cell r="AP34">
            <v>0.43647141565357184</v>
          </cell>
          <cell r="AQ34">
            <v>0.42999908817361177</v>
          </cell>
          <cell r="AR34">
            <v>0.44176521815955883</v>
          </cell>
          <cell r="AS34">
            <v>0.34271486970711429</v>
          </cell>
          <cell r="AT34">
            <v>0.41556400069096555</v>
          </cell>
          <cell r="AU34">
            <v>0.49877844224037338</v>
          </cell>
          <cell r="AV34">
            <v>0.41692172771676317</v>
          </cell>
          <cell r="AW34">
            <v>0.46294104901748367</v>
          </cell>
          <cell r="AX34">
            <v>0.29930806167795043</v>
          </cell>
          <cell r="AY34">
            <v>0.29201491767272514</v>
          </cell>
          <cell r="AZ34">
            <v>0.34714411788851485</v>
          </cell>
          <cell r="BA34">
            <v>0.250739695864584</v>
          </cell>
          <cell r="BB34">
            <v>0.14418927141260207</v>
          </cell>
          <cell r="BC34">
            <v>0.17461926115144877</v>
          </cell>
          <cell r="BD34">
            <v>0.19031699378270583</v>
          </cell>
          <cell r="BE34">
            <v>0.10962896964297086</v>
          </cell>
          <cell r="BF34">
            <v>0.13764932993872936</v>
          </cell>
          <cell r="BG34">
            <v>0.17818246741653265</v>
          </cell>
          <cell r="BH34">
            <v>0.14192545904186638</v>
          </cell>
          <cell r="BI34">
            <v>8.8918123159807072E-2</v>
          </cell>
          <cell r="BJ34">
            <v>5.2167864595409119E-2</v>
          </cell>
          <cell r="BK34">
            <v>0.11706100602153158</v>
          </cell>
          <cell r="BL34">
            <v>8.6056720786007901E-2</v>
          </cell>
          <cell r="BM34">
            <v>6.5497009399031692E-2</v>
          </cell>
          <cell r="BN34">
            <v>9.4113326217447613E-2</v>
          </cell>
          <cell r="BO34">
            <v>4.0673595819689989E-2</v>
          </cell>
          <cell r="BP34">
            <v>6.6706531633613064E-2</v>
          </cell>
        </row>
        <row r="35">
          <cell r="A35" t="str">
            <v>Sales (IMS)</v>
          </cell>
          <cell r="C35">
            <v>0.61169799999999996</v>
          </cell>
          <cell r="D35">
            <v>0.71082299999999998</v>
          </cell>
          <cell r="E35">
            <v>0.57748900000000003</v>
          </cell>
          <cell r="F35">
            <v>0.55276000000000003</v>
          </cell>
          <cell r="G35">
            <v>0.71258500000000002</v>
          </cell>
          <cell r="H35">
            <v>1.8428339999999999</v>
          </cell>
          <cell r="I35">
            <v>0.56383700000000003</v>
          </cell>
          <cell r="J35">
            <v>0.58622099999999999</v>
          </cell>
          <cell r="K35">
            <v>0.71353500000000003</v>
          </cell>
          <cell r="L35">
            <v>1.8635929999999998</v>
          </cell>
          <cell r="M35">
            <v>0.63601700000000005</v>
          </cell>
          <cell r="N35">
            <v>0.60848999999999998</v>
          </cell>
          <cell r="O35">
            <v>0.72523099999999996</v>
          </cell>
          <cell r="P35">
            <v>1.969738</v>
          </cell>
          <cell r="Q35">
            <v>0.62846400000000002</v>
          </cell>
          <cell r="R35">
            <v>0.66547100000000003</v>
          </cell>
          <cell r="S35">
            <v>0.75107100000000004</v>
          </cell>
          <cell r="T35">
            <v>2.0450060000000003</v>
          </cell>
          <cell r="U35">
            <v>0.61796499999999999</v>
          </cell>
          <cell r="V35">
            <v>0.68317300000000003</v>
          </cell>
          <cell r="W35">
            <v>0.71396999999999999</v>
          </cell>
          <cell r="X35">
            <v>2.0151080000000001</v>
          </cell>
          <cell r="Y35">
            <v>0.72382500000000005</v>
          </cell>
          <cell r="Z35">
            <v>0.78485400000000005</v>
          </cell>
          <cell r="AA35">
            <v>1.1564000000000001</v>
          </cell>
          <cell r="AB35">
            <v>2.6650790000000004</v>
          </cell>
          <cell r="AC35">
            <v>1.0241180000000001</v>
          </cell>
          <cell r="AD35">
            <v>0.943241</v>
          </cell>
          <cell r="AE35">
            <v>2.72383</v>
          </cell>
          <cell r="AF35">
            <v>4.6911889999999996</v>
          </cell>
          <cell r="AG35">
            <v>2.1777920000000002</v>
          </cell>
          <cell r="AH35">
            <v>3.0490339999999998</v>
          </cell>
          <cell r="AI35">
            <v>3.0485630000000001</v>
          </cell>
          <cell r="AJ35">
            <v>8.2753890000000006</v>
          </cell>
          <cell r="AK35">
            <v>2.719379</v>
          </cell>
          <cell r="AL35">
            <v>2.659888</v>
          </cell>
          <cell r="AM35">
            <v>3.36409</v>
          </cell>
          <cell r="AN35">
            <v>8.7433569999999996</v>
          </cell>
          <cell r="AO35">
            <v>3.1426959999999999</v>
          </cell>
          <cell r="AP35">
            <v>3.1432760000000002</v>
          </cell>
          <cell r="AQ35">
            <v>4.2957650000000003</v>
          </cell>
          <cell r="AR35">
            <v>10.581737</v>
          </cell>
          <cell r="AS35">
            <v>4.1277670000000004</v>
          </cell>
          <cell r="AT35">
            <v>3.8139560000000001</v>
          </cell>
          <cell r="AU35">
            <v>5.3592639999999996</v>
          </cell>
          <cell r="AV35">
            <v>13.300986999999999</v>
          </cell>
          <cell r="AW35">
            <v>4.1837650000000002</v>
          </cell>
          <cell r="AX35">
            <v>4.4807969999999999</v>
          </cell>
          <cell r="AY35">
            <v>5.2106459999999997</v>
          </cell>
          <cell r="AZ35">
            <v>13.875208000000001</v>
          </cell>
          <cell r="BA35">
            <v>4.2347049999999999</v>
          </cell>
          <cell r="BB35">
            <v>4.1109140000000002</v>
          </cell>
          <cell r="BC35">
            <v>4.8382589999999999</v>
          </cell>
          <cell r="BD35">
            <v>13.183878</v>
          </cell>
          <cell r="BE35">
            <v>1.936633</v>
          </cell>
          <cell r="BF35">
            <v>4.0170880000000002</v>
          </cell>
          <cell r="BG35">
            <v>5.0482310000000004</v>
          </cell>
          <cell r="BH35">
            <v>11.001951999999999</v>
          </cell>
          <cell r="BI35">
            <v>4.0238170000000002</v>
          </cell>
          <cell r="BJ35">
            <v>4.0945320000000001</v>
          </cell>
          <cell r="BK35">
            <v>5.199446</v>
          </cell>
          <cell r="BL35">
            <v>13.317795</v>
          </cell>
          <cell r="BM35">
            <v>4.1963299999999997</v>
          </cell>
          <cell r="BN35">
            <v>4.1292020000000003</v>
          </cell>
        </row>
        <row r="36">
          <cell r="A36" t="str">
            <v xml:space="preserve">  % Change</v>
          </cell>
          <cell r="U36">
            <v>7.0089646729201593E-2</v>
          </cell>
          <cell r="V36">
            <v>0.23593060279325573</v>
          </cell>
          <cell r="W36">
            <v>1.9436277777387101E-3</v>
          </cell>
          <cell r="X36">
            <v>9.3483189478813733E-2</v>
          </cell>
          <cell r="Y36">
            <v>0.28374867204528975</v>
          </cell>
          <cell r="Z36">
            <v>0.33883637740715544</v>
          </cell>
          <cell r="AA36">
            <v>0.62066331714632095</v>
          </cell>
          <cell r="AB36">
            <v>0.43007566566305022</v>
          </cell>
          <cell r="AC36">
            <v>0.61020538759184118</v>
          </cell>
          <cell r="AD36">
            <v>0.55013393810908973</v>
          </cell>
          <cell r="AE36">
            <v>2.7558102177099437</v>
          </cell>
          <cell r="AF36">
            <v>1.3816309580258896</v>
          </cell>
          <cell r="AG36">
            <v>2.4652613355737163</v>
          </cell>
          <cell r="AH36">
            <v>3.5817684016283202</v>
          </cell>
          <cell r="AI36">
            <v>3.0589544796696986</v>
          </cell>
          <cell r="AJ36">
            <v>3.0466331150128649</v>
          </cell>
          <cell r="AK36">
            <v>3.4005388654697271</v>
          </cell>
          <cell r="AL36">
            <v>2.8934325566145032</v>
          </cell>
          <cell r="AM36">
            <v>3.711808619409779</v>
          </cell>
          <cell r="AN36">
            <v>3.3389024310359536</v>
          </cell>
          <cell r="AO36">
            <v>3.3417897972576238</v>
          </cell>
          <cell r="AP36">
            <v>3.0049181121584398</v>
          </cell>
          <cell r="AQ36">
            <v>2.7147742995503283</v>
          </cell>
          <cell r="AR36">
            <v>2.9705153205589774</v>
          </cell>
          <cell r="AS36">
            <v>3.0305580021052263</v>
          </cell>
          <cell r="AT36">
            <v>3.0434586706896756</v>
          </cell>
          <cell r="AU36">
            <v>0.96754716704052734</v>
          </cell>
          <cell r="AV36">
            <v>1.8353125401683883</v>
          </cell>
          <cell r="AW36">
            <v>0.92110403564711407</v>
          </cell>
          <cell r="AX36">
            <v>0.46957921754890242</v>
          </cell>
          <cell r="AY36">
            <v>0.70921381647681203</v>
          </cell>
          <cell r="AZ36">
            <v>0.67668347675257312</v>
          </cell>
          <cell r="BA36">
            <v>0.5572323681252227</v>
          </cell>
          <cell r="BB36">
            <v>0.54552146556546743</v>
          </cell>
          <cell r="BC36">
            <v>0.43820736068297816</v>
          </cell>
          <cell r="BD36">
            <v>0.50787369199267518</v>
          </cell>
          <cell r="BE36">
            <v>-0.38376699496228717</v>
          </cell>
          <cell r="BF36">
            <v>0.27799404188496335</v>
          </cell>
          <cell r="BG36">
            <v>0.17516460979592696</v>
          </cell>
          <cell r="BH36">
            <v>3.9711344177236541E-2</v>
          </cell>
          <cell r="BI36">
            <v>-2.5183107476754452E-2</v>
          </cell>
          <cell r="BJ36">
            <v>7.3565610090939648E-2</v>
          </cell>
          <cell r="BK36">
            <v>-2.9820885852982704E-2</v>
          </cell>
          <cell r="BL36">
            <v>1.2636656212055009E-3</v>
          </cell>
          <cell r="BM36">
            <v>3.0032757576010649E-3</v>
          </cell>
          <cell r="BN36">
            <v>-7.8467067354312081E-2</v>
          </cell>
        </row>
        <row r="38">
          <cell r="A38" t="str">
            <v xml:space="preserve">ALBUTEROL </v>
          </cell>
        </row>
        <row r="39">
          <cell r="A39" t="str">
            <v>TRx</v>
          </cell>
          <cell r="D39">
            <v>419176</v>
          </cell>
          <cell r="E39">
            <v>524526</v>
          </cell>
          <cell r="F39">
            <v>496799</v>
          </cell>
          <cell r="G39">
            <v>491498</v>
          </cell>
          <cell r="H39">
            <v>1512823</v>
          </cell>
          <cell r="I39">
            <v>424972</v>
          </cell>
          <cell r="J39">
            <v>377404</v>
          </cell>
          <cell r="K39">
            <v>475730</v>
          </cell>
          <cell r="L39">
            <v>1278106</v>
          </cell>
          <cell r="M39">
            <v>415667</v>
          </cell>
          <cell r="N39">
            <v>471202</v>
          </cell>
          <cell r="O39">
            <v>391854</v>
          </cell>
          <cell r="P39">
            <v>1278723</v>
          </cell>
          <cell r="Q39">
            <v>359792</v>
          </cell>
          <cell r="R39">
            <v>377317</v>
          </cell>
          <cell r="S39">
            <v>364795</v>
          </cell>
          <cell r="T39">
            <v>1101904</v>
          </cell>
          <cell r="U39">
            <v>405149</v>
          </cell>
          <cell r="V39">
            <v>377543</v>
          </cell>
          <cell r="W39">
            <v>383435</v>
          </cell>
          <cell r="X39">
            <v>1166127</v>
          </cell>
          <cell r="Y39">
            <v>406752</v>
          </cell>
          <cell r="Z39">
            <v>349360</v>
          </cell>
          <cell r="AA39">
            <v>316049</v>
          </cell>
          <cell r="AB39">
            <v>1072161</v>
          </cell>
          <cell r="AC39">
            <v>323852</v>
          </cell>
          <cell r="AD39">
            <v>337743</v>
          </cell>
          <cell r="AE39">
            <v>301789</v>
          </cell>
          <cell r="AF39">
            <v>963384</v>
          </cell>
          <cell r="AG39">
            <v>302558</v>
          </cell>
          <cell r="AH39">
            <v>314250</v>
          </cell>
          <cell r="AI39">
            <v>308039</v>
          </cell>
          <cell r="AJ39">
            <v>924847</v>
          </cell>
          <cell r="AK39">
            <v>330544</v>
          </cell>
          <cell r="AL39">
            <v>334190</v>
          </cell>
          <cell r="AM39">
            <v>354191</v>
          </cell>
          <cell r="AN39">
            <v>1018925</v>
          </cell>
          <cell r="AO39">
            <v>351244</v>
          </cell>
          <cell r="AP39">
            <v>341279</v>
          </cell>
          <cell r="AQ39">
            <v>341376</v>
          </cell>
          <cell r="AR39">
            <v>1033899</v>
          </cell>
          <cell r="AS39">
            <v>313168</v>
          </cell>
          <cell r="AT39">
            <v>306828</v>
          </cell>
          <cell r="AU39">
            <v>277413</v>
          </cell>
          <cell r="AV39">
            <v>897409</v>
          </cell>
          <cell r="AW39">
            <v>278749</v>
          </cell>
          <cell r="AX39">
            <v>393912</v>
          </cell>
          <cell r="AY39">
            <v>491280</v>
          </cell>
          <cell r="AZ39">
            <v>1163941</v>
          </cell>
          <cell r="BA39">
            <v>524384</v>
          </cell>
          <cell r="BB39">
            <v>499835</v>
          </cell>
          <cell r="BC39">
            <v>616817</v>
          </cell>
          <cell r="BD39">
            <v>1641036</v>
          </cell>
          <cell r="BE39">
            <v>543838</v>
          </cell>
          <cell r="BF39">
            <v>508647</v>
          </cell>
          <cell r="BG39">
            <v>564190</v>
          </cell>
          <cell r="BH39">
            <v>1616675</v>
          </cell>
          <cell r="BI39">
            <v>537179</v>
          </cell>
          <cell r="BJ39">
            <v>509868</v>
          </cell>
          <cell r="BK39">
            <v>508154</v>
          </cell>
          <cell r="BL39">
            <v>1555201</v>
          </cell>
          <cell r="BM39">
            <v>478036</v>
          </cell>
          <cell r="BN39">
            <v>526544</v>
          </cell>
          <cell r="BO39">
            <v>560189</v>
          </cell>
          <cell r="BP39">
            <v>1564769</v>
          </cell>
        </row>
        <row r="40">
          <cell r="A40" t="str">
            <v xml:space="preserve">  % Change</v>
          </cell>
          <cell r="S40">
            <v>-0.12973309540622557</v>
          </cell>
          <cell r="U40">
            <v>-0.22759024338164358</v>
          </cell>
          <cell r="V40">
            <v>-0.24004879236874466</v>
          </cell>
          <cell r="W40">
            <v>-0.21986457727193198</v>
          </cell>
          <cell r="X40">
            <v>-0.2291715554298156</v>
          </cell>
          <cell r="Y40">
            <v>-4.2873412836610392E-2</v>
          </cell>
          <cell r="Z40">
            <v>-7.4307638498797068E-2</v>
          </cell>
          <cell r="AA40">
            <v>-0.33565467807369731</v>
          </cell>
          <cell r="AB40">
            <v>-0.16113295767330726</v>
          </cell>
          <cell r="AC40">
            <v>-0.22088594957020879</v>
          </cell>
          <cell r="AD40">
            <v>-0.28323097100606531</v>
          </cell>
          <cell r="AE40">
            <v>-0.22984325794811333</v>
          </cell>
          <cell r="AF40">
            <v>-0.24660462039081177</v>
          </cell>
          <cell r="AG40">
            <v>-0.15907524347400726</v>
          </cell>
          <cell r="AH40">
            <v>-0.16714592769475001</v>
          </cell>
          <cell r="AI40">
            <v>-0.15558327279705042</v>
          </cell>
          <cell r="AJ40">
            <v>-0.16068278180313345</v>
          </cell>
          <cell r="AK40">
            <v>-0.18414213042609018</v>
          </cell>
          <cell r="AL40">
            <v>-0.11482930421170567</v>
          </cell>
          <cell r="AM40">
            <v>-7.6268467928071293E-2</v>
          </cell>
          <cell r="AN40">
            <v>-0.12623153395813669</v>
          </cell>
          <cell r="AO40">
            <v>-0.13646644638502081</v>
          </cell>
          <cell r="AP40">
            <v>-2.3130867872681482E-2</v>
          </cell>
          <cell r="AQ40">
            <v>8.013630797756055E-2</v>
          </cell>
          <cell r="AR40">
            <v>-3.5686804500443481E-2</v>
          </cell>
          <cell r="AS40">
            <v>-3.2990378320961411E-2</v>
          </cell>
          <cell r="AT40">
            <v>-9.153409545127511E-2</v>
          </cell>
          <cell r="AU40">
            <v>-8.0771664971221568E-2</v>
          </cell>
          <cell r="AV40">
            <v>-6.8482557318784609E-2</v>
          </cell>
          <cell r="AW40">
            <v>-7.8692349896548719E-2</v>
          </cell>
          <cell r="AX40">
            <v>0.25349880668257763</v>
          </cell>
          <cell r="AY40">
            <v>0.59486298812812666</v>
          </cell>
          <cell r="AZ40">
            <v>0.25852276106209993</v>
          </cell>
          <cell r="BA40">
            <v>0.5864272230020815</v>
          </cell>
          <cell r="BB40">
            <v>0.4956611508423352</v>
          </cell>
          <cell r="BC40">
            <v>0.74148129116775974</v>
          </cell>
          <cell r="BD40">
            <v>0.61055622347081484</v>
          </cell>
          <cell r="BE40">
            <v>0.54831968659962871</v>
          </cell>
          <cell r="BF40">
            <v>0.49041400144749603</v>
          </cell>
          <cell r="BG40">
            <v>0.65269380389951248</v>
          </cell>
          <cell r="BH40">
            <v>0.56366821130497269</v>
          </cell>
          <cell r="BI40">
            <v>0.71530616154907278</v>
          </cell>
          <cell r="BJ40">
            <v>0.66173882435762055</v>
          </cell>
          <cell r="BK40">
            <v>0.83175986705741978</v>
          </cell>
          <cell r="BL40">
            <v>0.73299019733477144</v>
          </cell>
          <cell r="BM40">
            <v>0.71493350648791565</v>
          </cell>
          <cell r="BN40">
            <v>0.3367046446922155</v>
          </cell>
          <cell r="BO40">
            <v>0.1402642077837486</v>
          </cell>
          <cell r="BP40">
            <v>0.34437140714177095</v>
          </cell>
        </row>
        <row r="41">
          <cell r="A41" t="str">
            <v>28111:BETA AGONISTS,AEROSOL</v>
          </cell>
          <cell r="C41">
            <v>3307582</v>
          </cell>
          <cell r="D41">
            <v>3478369</v>
          </cell>
          <cell r="E41">
            <v>3692347</v>
          </cell>
          <cell r="F41">
            <v>3620156</v>
          </cell>
          <cell r="G41">
            <v>3715575</v>
          </cell>
          <cell r="H41">
            <v>11028078</v>
          </cell>
          <cell r="I41">
            <v>3881983</v>
          </cell>
          <cell r="J41">
            <v>3427540</v>
          </cell>
          <cell r="K41">
            <v>3739482</v>
          </cell>
          <cell r="L41">
            <v>11049005</v>
          </cell>
          <cell r="M41">
            <v>3516428</v>
          </cell>
          <cell r="N41">
            <v>3598056</v>
          </cell>
          <cell r="O41">
            <v>3149325</v>
          </cell>
          <cell r="P41">
            <v>10263809</v>
          </cell>
          <cell r="Q41">
            <v>2985325</v>
          </cell>
          <cell r="R41">
            <v>3263922</v>
          </cell>
          <cell r="S41">
            <v>3219834</v>
          </cell>
          <cell r="T41">
            <v>9469081</v>
          </cell>
          <cell r="U41">
            <v>3644120</v>
          </cell>
          <cell r="V41">
            <v>3442449</v>
          </cell>
          <cell r="W41">
            <v>3449412</v>
          </cell>
          <cell r="X41">
            <v>10535981</v>
          </cell>
          <cell r="Y41">
            <v>3558307</v>
          </cell>
          <cell r="Z41">
            <v>3312589</v>
          </cell>
          <cell r="AA41">
            <v>3416885</v>
          </cell>
          <cell r="AB41">
            <v>10287781</v>
          </cell>
          <cell r="AC41">
            <v>3327430</v>
          </cell>
          <cell r="AD41">
            <v>3293992</v>
          </cell>
          <cell r="AE41">
            <v>2918832</v>
          </cell>
          <cell r="AF41">
            <v>9540254</v>
          </cell>
          <cell r="AG41">
            <v>2951072</v>
          </cell>
          <cell r="AH41">
            <v>3111539</v>
          </cell>
          <cell r="AI41">
            <v>3207205</v>
          </cell>
          <cell r="AJ41">
            <v>9269816</v>
          </cell>
          <cell r="AK41">
            <v>3459962</v>
          </cell>
          <cell r="AL41">
            <v>3366923</v>
          </cell>
          <cell r="AM41">
            <v>3489228</v>
          </cell>
          <cell r="AN41">
            <v>10316113</v>
          </cell>
          <cell r="AO41">
            <v>3400776</v>
          </cell>
          <cell r="AP41">
            <v>3147008</v>
          </cell>
          <cell r="AQ41">
            <v>3332245</v>
          </cell>
          <cell r="AR41">
            <v>9880029</v>
          </cell>
          <cell r="AS41">
            <v>3197689</v>
          </cell>
          <cell r="AT41">
            <v>3238995</v>
          </cell>
          <cell r="AU41">
            <v>2911607</v>
          </cell>
          <cell r="AV41">
            <v>9348291</v>
          </cell>
          <cell r="AW41">
            <v>2603398</v>
          </cell>
          <cell r="AX41">
            <v>2702585</v>
          </cell>
          <cell r="AY41">
            <v>2993428</v>
          </cell>
          <cell r="AZ41">
            <v>8299411</v>
          </cell>
          <cell r="BD41">
            <v>0</v>
          </cell>
          <cell r="BH41">
            <v>0</v>
          </cell>
          <cell r="BL41">
            <v>0</v>
          </cell>
          <cell r="BP41">
            <v>0</v>
          </cell>
        </row>
        <row r="42">
          <cell r="A42" t="str">
            <v>TRx Market Share</v>
          </cell>
          <cell r="H42">
            <v>0.13717920747386805</v>
          </cell>
          <cell r="L42">
            <v>0.11567611744224933</v>
          </cell>
          <cell r="P42">
            <v>0.12458561923745853</v>
          </cell>
          <cell r="T42">
            <v>0.11636863176056896</v>
          </cell>
          <cell r="X42">
            <v>0.11068043877451943</v>
          </cell>
          <cell r="AB42">
            <v>0.10421693463342581</v>
          </cell>
          <cell r="AC42">
            <v>9.7327967831028747E-2</v>
          </cell>
          <cell r="AD42">
            <v>0.10253303590294087</v>
          </cell>
          <cell r="AE42">
            <v>0.10339375476217884</v>
          </cell>
          <cell r="AF42">
            <v>0.10098095920716577</v>
          </cell>
          <cell r="AG42">
            <v>0.10252477743680941</v>
          </cell>
          <cell r="AH42">
            <v>0.10099503814671774</v>
          </cell>
          <cell r="AI42">
            <v>9.6045934076555761E-2</v>
          </cell>
          <cell r="AJ42">
            <v>9.9769725742129084E-2</v>
          </cell>
          <cell r="AK42">
            <v>9.5533997194188841E-2</v>
          </cell>
          <cell r="AL42">
            <v>9.9256799160539158E-2</v>
          </cell>
          <cell r="AM42">
            <v>0.10150984687730352</v>
          </cell>
          <cell r="AN42">
            <v>9.8770244180148084E-2</v>
          </cell>
          <cell r="AO42">
            <v>0.10328348588675056</v>
          </cell>
          <cell r="AP42">
            <v>0.10844554573741154</v>
          </cell>
          <cell r="AQ42">
            <v>0.10244624870020061</v>
          </cell>
          <cell r="AR42">
            <v>0.10464534061590305</v>
          </cell>
          <cell r="AS42">
            <v>9.7935727958535057E-2</v>
          </cell>
          <cell r="AT42">
            <v>9.4729383651410384E-2</v>
          </cell>
          <cell r="AU42">
            <v>9.5278311942511476E-2</v>
          </cell>
          <cell r="AV42">
            <v>9.5997118617723823E-2</v>
          </cell>
          <cell r="AW42">
            <v>0.10707121999786433</v>
          </cell>
          <cell r="AX42">
            <v>0.145753787577449</v>
          </cell>
          <cell r="AY42">
            <v>0.16411953118631883</v>
          </cell>
          <cell r="AZ42">
            <v>0.14024380766297753</v>
          </cell>
          <cell r="BD42" t="e">
            <v>#DIV/0!</v>
          </cell>
          <cell r="BH42" t="e">
            <v>#DIV/0!</v>
          </cell>
          <cell r="BL42" t="e">
            <v>#DIV/0!</v>
          </cell>
          <cell r="BP42" t="e">
            <v>#DIV/0!</v>
          </cell>
        </row>
        <row r="43">
          <cell r="A43" t="str">
            <v>TRx Market Growth</v>
          </cell>
          <cell r="X43">
            <v>-4.4622190738948353E-2</v>
          </cell>
          <cell r="AB43">
            <v>-6.8895253463999717E-2</v>
          </cell>
          <cell r="AF43">
            <v>-7.0495758446011636E-2</v>
          </cell>
          <cell r="AJ43">
            <v>-2.1043752820363415E-2</v>
          </cell>
          <cell r="AK43">
            <v>-5.0535657442674742E-2</v>
          </cell>
          <cell r="AL43">
            <v>-2.1939613339224451E-2</v>
          </cell>
          <cell r="AM43">
            <v>1.1542836866109463E-2</v>
          </cell>
          <cell r="AN43">
            <v>-2.0868298832353638E-2</v>
          </cell>
          <cell r="AO43">
            <v>-4.4271334654373606E-2</v>
          </cell>
          <cell r="AP43">
            <v>-4.9985373977876502E-2</v>
          </cell>
          <cell r="AQ43">
            <v>-2.4771099993122436E-2</v>
          </cell>
          <cell r="AR43">
            <v>-3.9634591755015047E-2</v>
          </cell>
          <cell r="AS43">
            <v>-3.8991353687380381E-2</v>
          </cell>
          <cell r="AT43">
            <v>-1.6696154696186238E-2</v>
          </cell>
          <cell r="AU43">
            <v>-2.4753051905693768E-3</v>
          </cell>
          <cell r="AV43">
            <v>-2.0121372030555973E-2</v>
          </cell>
          <cell r="AW43">
            <v>-0.11781278125372741</v>
          </cell>
          <cell r="AX43">
            <v>-0.13143142348529135</v>
          </cell>
          <cell r="AY43">
            <v>-6.6655234074529113E-2</v>
          </cell>
          <cell r="AZ43">
            <v>-0.10468438639990263</v>
          </cell>
          <cell r="BD43">
            <v>-1</v>
          </cell>
          <cell r="BH43">
            <v>-1</v>
          </cell>
          <cell r="BL43">
            <v>-1</v>
          </cell>
          <cell r="BP43">
            <v>-1</v>
          </cell>
        </row>
        <row r="44">
          <cell r="A44" t="str">
            <v>NRx</v>
          </cell>
          <cell r="D44">
            <v>216349</v>
          </cell>
          <cell r="E44">
            <v>285871</v>
          </cell>
          <cell r="F44">
            <v>269267</v>
          </cell>
          <cell r="G44">
            <v>264956</v>
          </cell>
          <cell r="H44">
            <v>820094</v>
          </cell>
          <cell r="I44">
            <v>234975</v>
          </cell>
          <cell r="J44">
            <v>210567</v>
          </cell>
          <cell r="K44">
            <v>270644</v>
          </cell>
          <cell r="L44">
            <v>716186</v>
          </cell>
          <cell r="M44">
            <v>231654</v>
          </cell>
          <cell r="N44">
            <v>259194</v>
          </cell>
          <cell r="O44">
            <v>191514</v>
          </cell>
          <cell r="P44">
            <v>682362</v>
          </cell>
          <cell r="Q44">
            <v>165313</v>
          </cell>
          <cell r="R44">
            <v>182189</v>
          </cell>
          <cell r="S44">
            <v>184872</v>
          </cell>
          <cell r="T44">
            <v>532374</v>
          </cell>
          <cell r="U44">
            <v>213434</v>
          </cell>
          <cell r="V44">
            <v>196785</v>
          </cell>
          <cell r="W44">
            <v>197119</v>
          </cell>
          <cell r="X44">
            <v>607338</v>
          </cell>
          <cell r="Y44">
            <v>226240</v>
          </cell>
          <cell r="Z44">
            <v>198504</v>
          </cell>
          <cell r="AA44">
            <v>174106</v>
          </cell>
          <cell r="AB44">
            <v>598850</v>
          </cell>
          <cell r="AC44">
            <v>177718</v>
          </cell>
          <cell r="AD44">
            <v>183217</v>
          </cell>
          <cell r="AE44">
            <v>153811</v>
          </cell>
          <cell r="AF44">
            <v>514746</v>
          </cell>
          <cell r="AG44">
            <v>150333</v>
          </cell>
          <cell r="AH44">
            <v>161508</v>
          </cell>
          <cell r="AI44">
            <v>166310</v>
          </cell>
          <cell r="AJ44">
            <v>478151</v>
          </cell>
          <cell r="AK44">
            <v>184753</v>
          </cell>
          <cell r="AL44">
            <v>188455</v>
          </cell>
          <cell r="AM44">
            <v>194903</v>
          </cell>
          <cell r="AN44">
            <v>568111</v>
          </cell>
          <cell r="AO44">
            <v>200613</v>
          </cell>
          <cell r="AP44">
            <v>199526</v>
          </cell>
          <cell r="AQ44">
            <v>191336</v>
          </cell>
          <cell r="AR44">
            <v>591475</v>
          </cell>
          <cell r="AS44">
            <v>172251</v>
          </cell>
          <cell r="AT44">
            <v>163323</v>
          </cell>
          <cell r="AU44">
            <v>143120</v>
          </cell>
          <cell r="AV44">
            <v>478694</v>
          </cell>
          <cell r="AW44">
            <v>139989</v>
          </cell>
          <cell r="AX44">
            <v>216825</v>
          </cell>
          <cell r="AY44">
            <v>282464</v>
          </cell>
          <cell r="AZ44">
            <v>639278</v>
          </cell>
          <cell r="BA44">
            <v>300688</v>
          </cell>
          <cell r="BB44">
            <v>284815</v>
          </cell>
          <cell r="BC44">
            <v>370623</v>
          </cell>
          <cell r="BD44">
            <v>956126</v>
          </cell>
          <cell r="BE44">
            <v>308608</v>
          </cell>
          <cell r="BF44">
            <v>292616</v>
          </cell>
          <cell r="BG44">
            <v>322238</v>
          </cell>
          <cell r="BH44">
            <v>923462</v>
          </cell>
          <cell r="BI44">
            <v>299000</v>
          </cell>
          <cell r="BJ44">
            <v>279207</v>
          </cell>
          <cell r="BK44">
            <v>264071</v>
          </cell>
          <cell r="BL44">
            <v>842278</v>
          </cell>
          <cell r="BM44">
            <v>239619</v>
          </cell>
          <cell r="BN44">
            <v>279681</v>
          </cell>
          <cell r="BO44">
            <v>313042</v>
          </cell>
          <cell r="BP44">
            <v>832342</v>
          </cell>
        </row>
        <row r="45">
          <cell r="A45" t="str">
            <v xml:space="preserve">  % Change</v>
          </cell>
          <cell r="S45">
            <v>-0.14549177486376175</v>
          </cell>
          <cell r="U45">
            <v>-0.25339051530235668</v>
          </cell>
          <cell r="V45">
            <v>-0.26918263285140775</v>
          </cell>
          <cell r="W45">
            <v>-0.25603119008439135</v>
          </cell>
          <cell r="X45">
            <v>-0.25942879718666401</v>
          </cell>
          <cell r="Y45">
            <v>-3.7174167464623875E-2</v>
          </cell>
          <cell r="Z45">
            <v>-5.728817905939676E-2</v>
          </cell>
          <cell r="AA45">
            <v>-0.35669735889212395</v>
          </cell>
          <cell r="AB45">
            <v>-0.1638345346041391</v>
          </cell>
          <cell r="AC45">
            <v>-0.23282999646023816</v>
          </cell>
          <cell r="AD45">
            <v>-0.29312792734399717</v>
          </cell>
          <cell r="AE45">
            <v>-0.19686811408043281</v>
          </cell>
          <cell r="AF45">
            <v>-0.24564087683663505</v>
          </cell>
          <cell r="AG45">
            <v>-9.0615983014040058E-2</v>
          </cell>
          <cell r="AH45">
            <v>-0.11351398822102321</v>
          </cell>
          <cell r="AI45">
            <v>-0.10040460426673592</v>
          </cell>
          <cell r="AJ45">
            <v>-0.10185133007998137</v>
          </cell>
          <cell r="AK45">
            <v>-0.13437877751436045</v>
          </cell>
          <cell r="AL45">
            <v>-4.2330462179536066E-2</v>
          </cell>
          <cell r="AM45">
            <v>-1.1241940147829532E-2</v>
          </cell>
          <cell r="AN45">
            <v>-6.4588416993502817E-2</v>
          </cell>
          <cell r="AO45">
            <v>-0.11327351485148518</v>
          </cell>
          <cell r="AP45">
            <v>5.1485108612421282E-3</v>
          </cell>
          <cell r="AQ45">
            <v>9.8962700883370003E-2</v>
          </cell>
          <cell r="AR45">
            <v>-1.2315270935960632E-2</v>
          </cell>
          <cell r="AS45">
            <v>-3.0762218796070218E-2</v>
          </cell>
          <cell r="AT45">
            <v>-0.10858162725074638</v>
          </cell>
          <cell r="AU45">
            <v>-6.9507382436886811E-2</v>
          </cell>
          <cell r="AV45">
            <v>-7.0038426719197466E-2</v>
          </cell>
          <cell r="AW45">
            <v>-6.8807247909640545E-2</v>
          </cell>
          <cell r="AX45">
            <v>0.34250315773831641</v>
          </cell>
          <cell r="AY45">
            <v>0.69841861583789311</v>
          </cell>
          <cell r="AZ45">
            <v>0.33697932243161688</v>
          </cell>
          <cell r="BA45">
            <v>0.62751349098526132</v>
          </cell>
          <cell r="BB45">
            <v>0.51131569870791438</v>
          </cell>
          <cell r="BC45">
            <v>0.90157668173399075</v>
          </cell>
          <cell r="BD45">
            <v>0.68299152806405794</v>
          </cell>
          <cell r="BE45">
            <v>0.53832503377149044</v>
          </cell>
          <cell r="BF45">
            <v>0.46655573709691978</v>
          </cell>
          <cell r="BG45">
            <v>0.68414725927164777</v>
          </cell>
          <cell r="BH45">
            <v>0.56128661397354063</v>
          </cell>
          <cell r="BI45">
            <v>0.73583897916412666</v>
          </cell>
          <cell r="BJ45">
            <v>0.70953876673830396</v>
          </cell>
          <cell r="BK45">
            <v>0.84510201229737292</v>
          </cell>
          <cell r="BL45">
            <v>0.75953322999661577</v>
          </cell>
          <cell r="BM45">
            <v>0.71169877633242606</v>
          </cell>
          <cell r="BN45">
            <v>0.28989277066758912</v>
          </cell>
          <cell r="BO45">
            <v>0.10825450322873009</v>
          </cell>
          <cell r="BP45">
            <v>0.3020031973570183</v>
          </cell>
        </row>
        <row r="46">
          <cell r="A46" t="str">
            <v>Price Change (YoY)</v>
          </cell>
          <cell r="N46">
            <v>0.03</v>
          </cell>
          <cell r="T46">
            <v>0.03</v>
          </cell>
          <cell r="X46">
            <v>0.03</v>
          </cell>
          <cell r="AB46">
            <v>0.03</v>
          </cell>
          <cell r="AF46">
            <v>0</v>
          </cell>
          <cell r="AJ46">
            <v>0</v>
          </cell>
          <cell r="AN46">
            <v>0</v>
          </cell>
          <cell r="AR46">
            <v>0</v>
          </cell>
          <cell r="AV46">
            <v>0</v>
          </cell>
          <cell r="AZ46">
            <v>0</v>
          </cell>
        </row>
        <row r="47">
          <cell r="A47" t="str">
            <v>Sales (IMS)</v>
          </cell>
          <cell r="C47">
            <v>1.6507240000000001</v>
          </cell>
          <cell r="D47">
            <v>1.6978009999999999</v>
          </cell>
          <cell r="E47">
            <v>2.127567</v>
          </cell>
          <cell r="F47">
            <v>2.2131240000000001</v>
          </cell>
          <cell r="G47">
            <v>2.303938</v>
          </cell>
          <cell r="H47">
            <v>6.6446290000000001</v>
          </cell>
          <cell r="I47">
            <v>1.6474219999999999</v>
          </cell>
          <cell r="J47">
            <v>1.804168</v>
          </cell>
          <cell r="K47">
            <v>2.5056020000000001</v>
          </cell>
          <cell r="L47">
            <v>5.957192</v>
          </cell>
          <cell r="M47">
            <v>2.1117900000000001</v>
          </cell>
          <cell r="N47">
            <v>2.5680779999999999</v>
          </cell>
          <cell r="O47">
            <v>2.5481229999999999</v>
          </cell>
          <cell r="P47">
            <v>7.2279910000000003</v>
          </cell>
          <cell r="Q47">
            <v>1.9130370000000001</v>
          </cell>
          <cell r="R47">
            <v>1.9876739999999999</v>
          </cell>
          <cell r="S47">
            <v>2.9063430000000001</v>
          </cell>
          <cell r="T47">
            <v>6.8070539999999999</v>
          </cell>
          <cell r="U47">
            <v>2.4617110000000002</v>
          </cell>
          <cell r="V47">
            <v>2.8615699999999999</v>
          </cell>
          <cell r="W47">
            <v>2.8065549999999999</v>
          </cell>
          <cell r="X47">
            <v>8.129836000000001</v>
          </cell>
          <cell r="Y47">
            <v>2.2287560000000002</v>
          </cell>
          <cell r="Z47">
            <v>2.1912419999999999</v>
          </cell>
          <cell r="AA47">
            <v>2.8656709999999999</v>
          </cell>
          <cell r="AB47">
            <v>7.2856690000000004</v>
          </cell>
          <cell r="AC47">
            <v>2.3208679999999999</v>
          </cell>
          <cell r="AD47">
            <v>2.7102539999999999</v>
          </cell>
          <cell r="AE47">
            <v>3.4269769999999999</v>
          </cell>
          <cell r="AF47">
            <v>8.4580990000000007</v>
          </cell>
          <cell r="AG47">
            <v>2.869491</v>
          </cell>
          <cell r="AH47">
            <v>2.6899139999999999</v>
          </cell>
          <cell r="AI47">
            <v>3.401319</v>
          </cell>
          <cell r="AJ47">
            <v>8.960723999999999</v>
          </cell>
          <cell r="AK47">
            <v>2.6133850000000001</v>
          </cell>
          <cell r="AL47">
            <v>2.6423839999999998</v>
          </cell>
          <cell r="AM47">
            <v>3.5344229999999999</v>
          </cell>
          <cell r="AN47">
            <v>8.7901920000000011</v>
          </cell>
          <cell r="AO47">
            <v>2.8114970000000001</v>
          </cell>
          <cell r="AP47">
            <v>3.0551620000000002</v>
          </cell>
          <cell r="AQ47">
            <v>3.6808990000000001</v>
          </cell>
          <cell r="AR47">
            <v>9.5475580000000004</v>
          </cell>
          <cell r="AS47">
            <v>2.15496</v>
          </cell>
          <cell r="AT47">
            <v>2.12202</v>
          </cell>
          <cell r="AU47">
            <v>2.5260069999999999</v>
          </cell>
          <cell r="AV47">
            <v>6.8029869999999999</v>
          </cell>
          <cell r="AW47">
            <v>2.64988</v>
          </cell>
          <cell r="AX47">
            <v>4.0654820000000003</v>
          </cell>
          <cell r="AY47">
            <v>5.1662600000000003</v>
          </cell>
          <cell r="AZ47">
            <v>11.881622</v>
          </cell>
          <cell r="BA47">
            <v>3.0228790000000001</v>
          </cell>
          <cell r="BB47">
            <v>3.2248589999999999</v>
          </cell>
          <cell r="BC47">
            <v>4.1537420000000003</v>
          </cell>
          <cell r="BD47">
            <v>10.401479999999999</v>
          </cell>
          <cell r="BE47">
            <v>3.2827229999999998</v>
          </cell>
          <cell r="BF47">
            <v>3.2996400000000001</v>
          </cell>
          <cell r="BG47">
            <v>4.1167980000000002</v>
          </cell>
          <cell r="BH47">
            <v>10.699161</v>
          </cell>
          <cell r="BI47">
            <v>3.0695440000000001</v>
          </cell>
          <cell r="BJ47">
            <v>3.1336460000000002</v>
          </cell>
          <cell r="BK47">
            <v>3.6956760000000002</v>
          </cell>
          <cell r="BL47">
            <v>9.8988659999999999</v>
          </cell>
          <cell r="BM47">
            <v>2.5965120000000002</v>
          </cell>
          <cell r="BN47">
            <v>2.8115199999999998</v>
          </cell>
        </row>
        <row r="48">
          <cell r="A48" t="str">
            <v xml:space="preserve">  % Change</v>
          </cell>
          <cell r="S48">
            <v>0.71182782905652675</v>
          </cell>
          <cell r="U48">
            <v>0.15705451344187993</v>
          </cell>
          <cell r="V48">
            <v>0.29300030183577586</v>
          </cell>
          <cell r="W48">
            <v>0.21815561009020201</v>
          </cell>
          <cell r="X48">
            <v>0.2235199286521492</v>
          </cell>
          <cell r="Y48">
            <v>0.35287497678190549</v>
          </cell>
          <cell r="Z48">
            <v>0.21454432181481997</v>
          </cell>
          <cell r="AA48">
            <v>0.14370558452619364</v>
          </cell>
          <cell r="AB48">
            <v>0.22300389176645652</v>
          </cell>
          <cell r="AC48">
            <v>9.9005109409552983E-2</v>
          </cell>
          <cell r="AD48">
            <v>5.5362804400800991E-2</v>
          </cell>
          <cell r="AE48">
            <v>0.34490250274417678</v>
          </cell>
          <cell r="AF48">
            <v>0.17018670886557552</v>
          </cell>
          <cell r="AG48">
            <v>0.49996628397673426</v>
          </cell>
          <cell r="AH48">
            <v>0.3532973717017982</v>
          </cell>
          <cell r="AI48">
            <v>0.17030887269671879</v>
          </cell>
          <cell r="AJ48">
            <v>0.31638797047885903</v>
          </cell>
          <cell r="AK48">
            <v>6.1613243796692529E-2</v>
          </cell>
          <cell r="AL48">
            <v>-7.6596413856728995E-2</v>
          </cell>
          <cell r="AM48">
            <v>0.25934571031032716</v>
          </cell>
          <cell r="AN48">
            <v>8.1226238758075775E-2</v>
          </cell>
          <cell r="AO48">
            <v>0.26146469151401042</v>
          </cell>
          <cell r="AP48">
            <v>0.39426042399698447</v>
          </cell>
          <cell r="AQ48">
            <v>0.28448066787848303</v>
          </cell>
          <cell r="AR48">
            <v>0.31045728264624706</v>
          </cell>
          <cell r="AS48">
            <v>-7.1485323594448258E-2</v>
          </cell>
          <cell r="AT48">
            <v>-0.2170401740943837</v>
          </cell>
          <cell r="AU48">
            <v>-0.26290517852906514</v>
          </cell>
          <cell r="AV48">
            <v>-0.19568368731555408</v>
          </cell>
          <cell r="AW48">
            <v>-7.6533085484498775E-2</v>
          </cell>
          <cell r="AX48">
            <v>0.51137991772227687</v>
          </cell>
          <cell r="AY48">
            <v>0.51889899183228638</v>
          </cell>
          <cell r="AZ48">
            <v>0.32596674108029688</v>
          </cell>
          <cell r="BA48">
            <v>0.15669103480734758</v>
          </cell>
          <cell r="BB48">
            <v>0.22043540984202159</v>
          </cell>
          <cell r="BC48">
            <v>0.17522492355895158</v>
          </cell>
          <cell r="BD48">
            <v>0.1833052110807134</v>
          </cell>
          <cell r="BE48">
            <v>0.16760679452974681</v>
          </cell>
          <cell r="BF48">
            <v>8.002128856014834E-2</v>
          </cell>
          <cell r="BG48">
            <v>0.11842188552307475</v>
          </cell>
          <cell r="BH48">
            <v>0.12061754429771465</v>
          </cell>
          <cell r="BI48">
            <v>0.42440880573189288</v>
          </cell>
          <cell r="BJ48">
            <v>0.47672783479891812</v>
          </cell>
          <cell r="BK48">
            <v>0.46305057745287348</v>
          </cell>
          <cell r="BL48">
            <v>0.45507642451764196</v>
          </cell>
          <cell r="BM48">
            <v>-2.0139779914562062E-2</v>
          </cell>
          <cell r="BN48">
            <v>-0.30844116392595033</v>
          </cell>
        </row>
        <row r="50">
          <cell r="A50" t="str">
            <v>BACLOFEN</v>
          </cell>
        </row>
        <row r="51">
          <cell r="A51" t="str">
            <v>TRx</v>
          </cell>
          <cell r="D51">
            <v>85289</v>
          </cell>
          <cell r="E51">
            <v>91156</v>
          </cell>
          <cell r="F51">
            <v>89386</v>
          </cell>
          <cell r="G51">
            <v>91618</v>
          </cell>
          <cell r="H51">
            <v>272160</v>
          </cell>
          <cell r="I51">
            <v>97765</v>
          </cell>
          <cell r="J51">
            <v>89706</v>
          </cell>
          <cell r="K51">
            <v>100400</v>
          </cell>
          <cell r="L51">
            <v>287871</v>
          </cell>
          <cell r="M51">
            <v>98164</v>
          </cell>
          <cell r="N51">
            <v>103445</v>
          </cell>
          <cell r="O51">
            <v>102095</v>
          </cell>
          <cell r="P51">
            <v>303704</v>
          </cell>
          <cell r="Q51">
            <v>105226</v>
          </cell>
          <cell r="R51">
            <v>109040</v>
          </cell>
          <cell r="S51">
            <v>104210</v>
          </cell>
          <cell r="T51">
            <v>318476</v>
          </cell>
          <cell r="U51">
            <v>116560</v>
          </cell>
          <cell r="V51">
            <v>111680</v>
          </cell>
          <cell r="W51">
            <v>111682</v>
          </cell>
          <cell r="X51">
            <v>339922</v>
          </cell>
          <cell r="Y51">
            <v>116359</v>
          </cell>
          <cell r="Z51">
            <v>105224</v>
          </cell>
          <cell r="AA51">
            <v>115018</v>
          </cell>
          <cell r="AB51">
            <v>336601</v>
          </cell>
          <cell r="AC51">
            <v>112050</v>
          </cell>
          <cell r="AD51">
            <v>108236</v>
          </cell>
          <cell r="AE51">
            <v>97387</v>
          </cell>
          <cell r="AF51">
            <v>317673</v>
          </cell>
          <cell r="AG51">
            <v>103534</v>
          </cell>
          <cell r="AH51">
            <v>103227</v>
          </cell>
          <cell r="AI51">
            <v>110445</v>
          </cell>
          <cell r="AJ51">
            <v>317206</v>
          </cell>
          <cell r="AK51">
            <v>131234</v>
          </cell>
          <cell r="AL51">
            <v>127331</v>
          </cell>
          <cell r="AM51">
            <v>133558</v>
          </cell>
          <cell r="AN51">
            <v>392123</v>
          </cell>
          <cell r="AO51">
            <v>133791</v>
          </cell>
          <cell r="AP51">
            <v>122056</v>
          </cell>
          <cell r="AQ51">
            <v>132304</v>
          </cell>
          <cell r="AR51">
            <v>388151</v>
          </cell>
          <cell r="AS51">
            <v>131342</v>
          </cell>
          <cell r="AT51">
            <v>132611</v>
          </cell>
          <cell r="AU51">
            <v>129111</v>
          </cell>
          <cell r="AV51">
            <v>393064</v>
          </cell>
          <cell r="AW51">
            <v>133534</v>
          </cell>
          <cell r="AX51">
            <v>131523</v>
          </cell>
          <cell r="AY51">
            <v>132640</v>
          </cell>
          <cell r="AZ51">
            <v>397697</v>
          </cell>
          <cell r="BA51">
            <v>138288</v>
          </cell>
          <cell r="BB51">
            <v>128148</v>
          </cell>
          <cell r="BC51">
            <v>141586</v>
          </cell>
          <cell r="BD51">
            <v>408022</v>
          </cell>
          <cell r="BE51">
            <v>137894</v>
          </cell>
          <cell r="BF51">
            <v>129104</v>
          </cell>
          <cell r="BG51">
            <v>144417</v>
          </cell>
          <cell r="BH51">
            <v>411415</v>
          </cell>
          <cell r="BI51">
            <v>139112</v>
          </cell>
          <cell r="BJ51">
            <v>136324</v>
          </cell>
          <cell r="BK51">
            <v>142764</v>
          </cell>
          <cell r="BL51">
            <v>418200</v>
          </cell>
          <cell r="BM51">
            <v>144342</v>
          </cell>
          <cell r="BN51">
            <v>146090</v>
          </cell>
          <cell r="BO51">
            <v>144144</v>
          </cell>
          <cell r="BP51">
            <v>434576</v>
          </cell>
        </row>
        <row r="52">
          <cell r="A52" t="str">
            <v xml:space="preserve">  % Change</v>
          </cell>
          <cell r="S52">
            <v>0.22184572453657569</v>
          </cell>
          <cell r="U52">
            <v>0.2786870858747641</v>
          </cell>
          <cell r="V52">
            <v>0.24941265970062432</v>
          </cell>
          <cell r="W52">
            <v>1.2189962671090833</v>
          </cell>
          <cell r="X52">
            <v>0.24897854203409753</v>
          </cell>
          <cell r="Y52">
            <v>0.1901907635656932</v>
          </cell>
          <cell r="Z52">
            <v>0.17298731411499779</v>
          </cell>
          <cell r="AA52">
            <v>0.14559760956175305</v>
          </cell>
          <cell r="AB52">
            <v>0.16927721097297055</v>
          </cell>
          <cell r="AC52">
            <v>0.1414571533352349</v>
          </cell>
          <cell r="AD52">
            <v>4.631446662477634E-2</v>
          </cell>
          <cell r="AE52">
            <v>-4.6113913511925175E-2</v>
          </cell>
          <cell r="AF52">
            <v>4.5995442931275221E-2</v>
          </cell>
          <cell r="AG52">
            <v>-1.6079676125672404E-2</v>
          </cell>
          <cell r="AH52">
            <v>-5.3310711665443877E-2</v>
          </cell>
          <cell r="AI52">
            <v>5.9831110258132592E-2</v>
          </cell>
          <cell r="AJ52">
            <v>-3.9877416194626925E-3</v>
          </cell>
          <cell r="AK52">
            <v>0.1258922443376802</v>
          </cell>
          <cell r="AL52">
            <v>0.14014147564469903</v>
          </cell>
          <cell r="AM52">
            <v>0.19587758098887909</v>
          </cell>
          <cell r="AN52">
            <v>0.15356758315142893</v>
          </cell>
          <cell r="AO52">
            <v>0.14981221908060394</v>
          </cell>
          <cell r="AP52">
            <v>0.15996350642438983</v>
          </cell>
          <cell r="AQ52">
            <v>0.15028951990123285</v>
          </cell>
          <cell r="AR52">
            <v>0.15314868345608001</v>
          </cell>
          <cell r="AS52">
            <v>0.17217313699241421</v>
          </cell>
          <cell r="AT52">
            <v>0.22520233563694148</v>
          </cell>
          <cell r="AU52">
            <v>0.32575189707045094</v>
          </cell>
          <cell r="AV52">
            <v>0.23732265568682265</v>
          </cell>
          <cell r="AW52">
            <v>0.28975988564143185</v>
          </cell>
          <cell r="AX52">
            <v>0.2741143305530529</v>
          </cell>
          <cell r="AY52">
            <v>0.20095975372357278</v>
          </cell>
          <cell r="AZ52">
            <v>0.25374992906817662</v>
          </cell>
          <cell r="BA52">
            <v>5.3751314445951603E-2</v>
          </cell>
          <cell r="BB52">
            <v>6.416347943548617E-3</v>
          </cell>
          <cell r="BC52">
            <v>6.0108716812171448E-2</v>
          </cell>
          <cell r="BD52">
            <v>4.0545951142881176E-2</v>
          </cell>
          <cell r="BE52">
            <v>3.0667234716834413E-2</v>
          </cell>
          <cell r="BF52">
            <v>5.774398636691358E-2</v>
          </cell>
          <cell r="BG52">
            <v>9.1554299189744892E-2</v>
          </cell>
          <cell r="BH52">
            <v>5.9935437497262711E-2</v>
          </cell>
          <cell r="BI52">
            <v>5.9158532685660292E-2</v>
          </cell>
          <cell r="BJ52">
            <v>2.799918558792247E-2</v>
          </cell>
          <cell r="BK52">
            <v>0.10574621837023956</v>
          </cell>
          <cell r="BL52">
            <v>6.3948873465898615E-2</v>
          </cell>
          <cell r="BM52">
            <v>8.0938188027019242E-2</v>
          </cell>
          <cell r="BN52">
            <v>0.11075629357602845</v>
          </cell>
          <cell r="BO52">
            <v>8.6731001206272529E-2</v>
          </cell>
          <cell r="BP52">
            <v>9.2731401041496353E-2</v>
          </cell>
        </row>
        <row r="53">
          <cell r="A53" t="str">
            <v>NRx</v>
          </cell>
          <cell r="D53">
            <v>31951</v>
          </cell>
          <cell r="E53">
            <v>33786</v>
          </cell>
          <cell r="F53">
            <v>32834</v>
          </cell>
          <cell r="G53">
            <v>32119</v>
          </cell>
          <cell r="H53">
            <v>98739</v>
          </cell>
          <cell r="I53">
            <v>35743</v>
          </cell>
          <cell r="J53">
            <v>33320</v>
          </cell>
          <cell r="K53">
            <v>36869</v>
          </cell>
          <cell r="L53">
            <v>105932</v>
          </cell>
          <cell r="M53">
            <v>35275</v>
          </cell>
          <cell r="N53">
            <v>37179</v>
          </cell>
          <cell r="O53">
            <v>36566</v>
          </cell>
          <cell r="P53">
            <v>109020</v>
          </cell>
          <cell r="Q53">
            <v>37288</v>
          </cell>
          <cell r="R53">
            <v>39260</v>
          </cell>
          <cell r="S53">
            <v>36215</v>
          </cell>
          <cell r="T53">
            <v>112763</v>
          </cell>
          <cell r="U53">
            <v>42047</v>
          </cell>
          <cell r="V53">
            <v>39452</v>
          </cell>
          <cell r="W53">
            <v>37733</v>
          </cell>
          <cell r="X53">
            <v>119232</v>
          </cell>
          <cell r="Y53">
            <v>42341</v>
          </cell>
          <cell r="Z53">
            <v>38765</v>
          </cell>
          <cell r="AA53">
            <v>41823</v>
          </cell>
          <cell r="AB53">
            <v>122929</v>
          </cell>
          <cell r="AC53">
            <v>40396</v>
          </cell>
          <cell r="AD53">
            <v>38238</v>
          </cell>
          <cell r="AE53">
            <v>32606</v>
          </cell>
          <cell r="AF53">
            <v>111240</v>
          </cell>
          <cell r="AG53">
            <v>34342</v>
          </cell>
          <cell r="AH53">
            <v>35494</v>
          </cell>
          <cell r="AI53">
            <v>44748</v>
          </cell>
          <cell r="AJ53">
            <v>114584</v>
          </cell>
          <cell r="AK53">
            <v>56247</v>
          </cell>
          <cell r="AL53">
            <v>50094</v>
          </cell>
          <cell r="AM53">
            <v>49976</v>
          </cell>
          <cell r="AN53">
            <v>156317</v>
          </cell>
          <cell r="AO53">
            <v>52809</v>
          </cell>
          <cell r="AP53">
            <v>47635</v>
          </cell>
          <cell r="AQ53">
            <v>51212</v>
          </cell>
          <cell r="AR53">
            <v>151656</v>
          </cell>
          <cell r="AS53">
            <v>50891</v>
          </cell>
          <cell r="AT53">
            <v>51216</v>
          </cell>
          <cell r="AU53">
            <v>49686</v>
          </cell>
          <cell r="AV53">
            <v>151793</v>
          </cell>
          <cell r="AW53">
            <v>51149</v>
          </cell>
          <cell r="AX53">
            <v>50336</v>
          </cell>
          <cell r="AY53">
            <v>50590</v>
          </cell>
          <cell r="AZ53">
            <v>152075</v>
          </cell>
          <cell r="BA53">
            <v>53800</v>
          </cell>
          <cell r="BB53">
            <v>48110</v>
          </cell>
          <cell r="BC53">
            <v>52174</v>
          </cell>
          <cell r="BD53">
            <v>154084</v>
          </cell>
          <cell r="BE53">
            <v>53373</v>
          </cell>
          <cell r="BF53">
            <v>49939</v>
          </cell>
          <cell r="BG53">
            <v>56478</v>
          </cell>
          <cell r="BH53">
            <v>159790</v>
          </cell>
          <cell r="BI53">
            <v>54314</v>
          </cell>
          <cell r="BJ53">
            <v>52533</v>
          </cell>
          <cell r="BK53">
            <v>55146</v>
          </cell>
          <cell r="BL53">
            <v>161993</v>
          </cell>
          <cell r="BM53">
            <v>56413</v>
          </cell>
          <cell r="BN53">
            <v>57350</v>
          </cell>
          <cell r="BO53">
            <v>57859</v>
          </cell>
          <cell r="BP53">
            <v>171622</v>
          </cell>
        </row>
        <row r="54">
          <cell r="A54" t="str">
            <v xml:space="preserve">  % Change</v>
          </cell>
          <cell r="S54">
            <v>0.13345435197646394</v>
          </cell>
          <cell r="U54">
            <v>0.24450956017285264</v>
          </cell>
          <cell r="V54">
            <v>0.20155935920082846</v>
          </cell>
          <cell r="W54">
            <v>1.1747875089510882</v>
          </cell>
          <cell r="X54">
            <v>0.20754716981132071</v>
          </cell>
          <cell r="Y54">
            <v>0.18459558514953978</v>
          </cell>
          <cell r="Z54">
            <v>0.16341536614645857</v>
          </cell>
          <cell r="AA54">
            <v>0.13436762591879359</v>
          </cell>
          <cell r="AB54">
            <v>0.16045198806781702</v>
          </cell>
          <cell r="AC54">
            <v>0.14517363571934805</v>
          </cell>
          <cell r="AD54">
            <v>2.8483821512143903E-2</v>
          </cell>
          <cell r="AE54">
            <v>-0.10829732538423675</v>
          </cell>
          <cell r="AF54">
            <v>2.0363236103467353E-2</v>
          </cell>
          <cell r="AG54">
            <v>-7.9006650933276079E-2</v>
          </cell>
          <cell r="AH54">
            <v>-9.5924605196128332E-2</v>
          </cell>
          <cell r="AI54">
            <v>0.23562059919922684</v>
          </cell>
          <cell r="AJ54">
            <v>1.6148914094162192E-2</v>
          </cell>
          <cell r="AK54">
            <v>0.33771731633648061</v>
          </cell>
          <cell r="AL54">
            <v>0.26974551353543541</v>
          </cell>
          <cell r="AM54">
            <v>0.32446399703177597</v>
          </cell>
          <cell r="AN54">
            <v>0.31103227321524418</v>
          </cell>
          <cell r="AO54">
            <v>0.24723081646630929</v>
          </cell>
          <cell r="AP54">
            <v>0.22881465239262222</v>
          </cell>
          <cell r="AQ54">
            <v>0.2244936996389546</v>
          </cell>
          <cell r="AR54">
            <v>0.23368773845065038</v>
          </cell>
          <cell r="AS54">
            <v>0.25980295078720661</v>
          </cell>
          <cell r="AT54">
            <v>0.33940059626549512</v>
          </cell>
          <cell r="AU54">
            <v>0.52382996994418196</v>
          </cell>
          <cell r="AV54">
            <v>0.36455411722402009</v>
          </cell>
          <cell r="AW54">
            <v>0.48940073379535254</v>
          </cell>
          <cell r="AX54">
            <v>0.41815518115737871</v>
          </cell>
          <cell r="AY54">
            <v>0.13055332081880744</v>
          </cell>
          <cell r="AZ54">
            <v>0.32719227815401797</v>
          </cell>
          <cell r="BA54">
            <v>-4.3504542464486984E-2</v>
          </cell>
          <cell r="BB54">
            <v>-3.9605541581826165E-2</v>
          </cell>
          <cell r="BC54">
            <v>4.3981110933247969E-2</v>
          </cell>
          <cell r="BD54">
            <v>-1.4285074560028699E-2</v>
          </cell>
          <cell r="BE54">
            <v>1.0679997727660151E-2</v>
          </cell>
          <cell r="BF54">
            <v>4.8367796788076012E-2</v>
          </cell>
          <cell r="BG54">
            <v>0.10282746231352036</v>
          </cell>
          <cell r="BH54">
            <v>5.3634541330379371E-2</v>
          </cell>
          <cell r="BI54">
            <v>6.7261401819575184E-2</v>
          </cell>
          <cell r="BJ54">
            <v>2.5714620431115387E-2</v>
          </cell>
          <cell r="BK54">
            <v>0.10989010989010994</v>
          </cell>
          <cell r="BL54">
            <v>6.7196774554821426E-2</v>
          </cell>
          <cell r="BM54">
            <v>0.10291501300123174</v>
          </cell>
          <cell r="BN54">
            <v>0.13934361093452008</v>
          </cell>
          <cell r="BO54">
            <v>0.1436845226329313</v>
          </cell>
          <cell r="BP54">
            <v>0.12853526220614819</v>
          </cell>
        </row>
        <row r="55">
          <cell r="A55" t="str">
            <v>Sales (IMS)</v>
          </cell>
          <cell r="C55">
            <v>1.242003</v>
          </cell>
          <cell r="D55">
            <v>1.672285</v>
          </cell>
          <cell r="E55">
            <v>1.433897</v>
          </cell>
          <cell r="F55">
            <v>1.1909209999999999</v>
          </cell>
          <cell r="G55">
            <v>1.557267</v>
          </cell>
          <cell r="H55">
            <v>4.1820849999999998</v>
          </cell>
          <cell r="I55">
            <v>1.070333</v>
          </cell>
          <cell r="J55">
            <v>1.026354</v>
          </cell>
          <cell r="K55">
            <v>1.378547</v>
          </cell>
          <cell r="L55">
            <v>3.4752339999999995</v>
          </cell>
          <cell r="M55">
            <v>1.139211</v>
          </cell>
          <cell r="N55">
            <v>1.147556</v>
          </cell>
          <cell r="O55">
            <v>1.5293969999999999</v>
          </cell>
          <cell r="P55">
            <v>3.8161640000000001</v>
          </cell>
          <cell r="Q55">
            <v>1.133982</v>
          </cell>
          <cell r="R55">
            <v>1.352363</v>
          </cell>
          <cell r="S55">
            <v>1.5253810000000001</v>
          </cell>
          <cell r="T55">
            <v>4.0117259999999995</v>
          </cell>
          <cell r="U55">
            <v>1.1935279999999999</v>
          </cell>
          <cell r="V55">
            <v>1.5084630000000001</v>
          </cell>
          <cell r="W55">
            <v>1.548522</v>
          </cell>
          <cell r="X55">
            <v>4.2505129999999998</v>
          </cell>
          <cell r="Y55">
            <v>0.95934399999999997</v>
          </cell>
          <cell r="Z55">
            <v>0.98886700000000005</v>
          </cell>
          <cell r="AA55">
            <v>0.90587300000000004</v>
          </cell>
          <cell r="AB55">
            <v>2.8540840000000003</v>
          </cell>
          <cell r="AC55">
            <v>0.888845</v>
          </cell>
          <cell r="AD55">
            <v>0.77383199999999996</v>
          </cell>
          <cell r="AE55">
            <v>0.95694199999999996</v>
          </cell>
          <cell r="AF55">
            <v>2.6196189999999997</v>
          </cell>
          <cell r="AG55">
            <v>0.82371300000000003</v>
          </cell>
          <cell r="AH55">
            <v>1.1654260000000001</v>
          </cell>
          <cell r="AI55">
            <v>1.97281</v>
          </cell>
          <cell r="AJ55">
            <v>3.9619490000000002</v>
          </cell>
          <cell r="AK55">
            <v>2.5946400000000001</v>
          </cell>
          <cell r="AL55">
            <v>2.8985150000000002</v>
          </cell>
          <cell r="AM55">
            <v>3.2570239999999999</v>
          </cell>
          <cell r="AN55">
            <v>8.7501789999999993</v>
          </cell>
          <cell r="AO55">
            <v>2.8608570000000002</v>
          </cell>
          <cell r="AP55">
            <v>2.6850550000000002</v>
          </cell>
          <cell r="AQ55">
            <v>3.168024</v>
          </cell>
          <cell r="AR55">
            <v>8.7139360000000003</v>
          </cell>
          <cell r="AS55">
            <v>2.8676029999999999</v>
          </cell>
          <cell r="AT55">
            <v>2.5372029999999999</v>
          </cell>
          <cell r="AU55">
            <v>3.4116390000000001</v>
          </cell>
          <cell r="AV55">
            <v>8.8164449999999999</v>
          </cell>
          <cell r="AW55">
            <v>2.6238440000000001</v>
          </cell>
          <cell r="AX55">
            <v>2.7688280000000001</v>
          </cell>
          <cell r="AY55">
            <v>1.3085800000000001</v>
          </cell>
          <cell r="AZ55">
            <v>6.7012520000000002</v>
          </cell>
          <cell r="BA55">
            <v>2.7188780000000001</v>
          </cell>
          <cell r="BB55">
            <v>1.6362969999999999</v>
          </cell>
          <cell r="BC55">
            <v>2.7022879999999998</v>
          </cell>
          <cell r="BD55">
            <v>7.0574630000000003</v>
          </cell>
          <cell r="BE55">
            <v>1.7419100000000001</v>
          </cell>
          <cell r="BF55">
            <v>2.1334080000000002</v>
          </cell>
          <cell r="BG55">
            <v>2.746524</v>
          </cell>
          <cell r="BH55">
            <v>6.621842</v>
          </cell>
          <cell r="BI55">
            <v>2.0616129999999999</v>
          </cell>
          <cell r="BJ55">
            <v>2.1722459999999999</v>
          </cell>
          <cell r="BK55">
            <v>2.7263570000000001</v>
          </cell>
          <cell r="BL55">
            <v>6.960216</v>
          </cell>
          <cell r="BM55">
            <v>2.1209690000000001</v>
          </cell>
          <cell r="BN55">
            <v>2.2134559999999999</v>
          </cell>
        </row>
        <row r="56">
          <cell r="A56" t="str">
            <v xml:space="preserve">  % Change</v>
          </cell>
          <cell r="S56">
            <v>-8.7846270223078005E-2</v>
          </cell>
          <cell r="U56">
            <v>-0.16763337952447077</v>
          </cell>
          <cell r="V56">
            <v>0.26663565425414459</v>
          </cell>
          <cell r="W56">
            <v>0.99438439265713585</v>
          </cell>
          <cell r="X56">
            <v>1.6362173413500658E-2</v>
          </cell>
          <cell r="Y56">
            <v>-0.10369576571029759</v>
          </cell>
          <cell r="Z56">
            <v>-3.6524435038982617E-2</v>
          </cell>
          <cell r="AA56">
            <v>-0.34287840748266107</v>
          </cell>
          <cell r="AB56">
            <v>-0.17873616567977846</v>
          </cell>
          <cell r="AC56">
            <v>-0.21977140319045374</v>
          </cell>
          <cell r="AD56">
            <v>-0.32566950981041454</v>
          </cell>
          <cell r="AE56">
            <v>-0.37430111344536443</v>
          </cell>
          <cell r="AF56">
            <v>-0.3135465352117992</v>
          </cell>
          <cell r="AG56">
            <v>-0.27361016312428244</v>
          </cell>
          <cell r="AH56">
            <v>-0.13822989833350952</v>
          </cell>
          <cell r="AI56">
            <v>0.29332278296373149</v>
          </cell>
          <cell r="AJ56">
            <v>-1.2407876310595367E-2</v>
          </cell>
          <cell r="AK56">
            <v>1.173924700551642</v>
          </cell>
          <cell r="AL56">
            <v>0.92150221782039066</v>
          </cell>
          <cell r="AM56">
            <v>1.1033114156595771</v>
          </cell>
          <cell r="AN56">
            <v>1.058617159858116</v>
          </cell>
          <cell r="AO56">
            <v>1.9820971413799433</v>
          </cell>
          <cell r="AP56">
            <v>1.7152842596628264</v>
          </cell>
          <cell r="AQ56">
            <v>2.4972054581602494</v>
          </cell>
          <cell r="AR56">
            <v>2.0531462984270958</v>
          </cell>
          <cell r="AS56">
            <v>2.2262126692505442</v>
          </cell>
          <cell r="AT56">
            <v>2.2787517187193087</v>
          </cell>
          <cell r="AU56">
            <v>2.5651471040042138</v>
          </cell>
          <cell r="AV56">
            <v>2.3655447605167015</v>
          </cell>
          <cell r="AW56">
            <v>2.1853861721254852</v>
          </cell>
          <cell r="AX56">
            <v>1.3758076445866148</v>
          </cell>
          <cell r="AY56">
            <v>-0.33669233225703432</v>
          </cell>
          <cell r="AZ56">
            <v>0.69140289286914092</v>
          </cell>
          <cell r="BA56">
            <v>4.788255788857021E-2</v>
          </cell>
          <cell r="BB56">
            <v>-0.4354705771748637</v>
          </cell>
          <cell r="BC56">
            <v>-0.17031989939282</v>
          </cell>
          <cell r="BD56">
            <v>-0.19344929972289704</v>
          </cell>
          <cell r="BE56">
            <v>-0.39112300964361379</v>
          </cell>
          <cell r="BF56">
            <v>-0.20545091255113956</v>
          </cell>
          <cell r="BG56">
            <v>-0.13304823448307213</v>
          </cell>
          <cell r="BH56">
            <v>-0.24008599558224897</v>
          </cell>
          <cell r="BI56">
            <v>-0.28106749783704366</v>
          </cell>
          <cell r="BJ56">
            <v>-0.14384225464024758</v>
          </cell>
          <cell r="BK56">
            <v>-0.20086591811150001</v>
          </cell>
          <cell r="BL56">
            <v>-0.21054166390194684</v>
          </cell>
          <cell r="BM56">
            <v>-0.19165583014843868</v>
          </cell>
          <cell r="BN56">
            <v>-0.20058017327186817</v>
          </cell>
        </row>
        <row r="58">
          <cell r="A58" t="str">
            <v xml:space="preserve">ONXOL </v>
          </cell>
        </row>
        <row r="59">
          <cell r="A59" t="str">
            <v>TRx</v>
          </cell>
          <cell r="G59">
            <v>12</v>
          </cell>
          <cell r="H59">
            <v>12</v>
          </cell>
          <cell r="I59">
            <v>22</v>
          </cell>
          <cell r="J59">
            <v>24</v>
          </cell>
          <cell r="K59">
            <v>42</v>
          </cell>
          <cell r="L59">
            <v>88</v>
          </cell>
          <cell r="M59">
            <v>41</v>
          </cell>
          <cell r="N59">
            <v>36</v>
          </cell>
          <cell r="O59">
            <v>15</v>
          </cell>
          <cell r="P59">
            <v>92</v>
          </cell>
          <cell r="Q59">
            <v>22</v>
          </cell>
          <cell r="R59">
            <v>21</v>
          </cell>
          <cell r="S59">
            <v>188</v>
          </cell>
          <cell r="T59">
            <v>231</v>
          </cell>
          <cell r="U59">
            <v>206</v>
          </cell>
          <cell r="V59">
            <v>188</v>
          </cell>
          <cell r="W59">
            <v>187</v>
          </cell>
          <cell r="X59">
            <v>581</v>
          </cell>
          <cell r="Y59">
            <v>178</v>
          </cell>
          <cell r="Z59">
            <v>187</v>
          </cell>
          <cell r="AA59">
            <v>211</v>
          </cell>
          <cell r="AB59">
            <v>576</v>
          </cell>
          <cell r="AC59">
            <v>237</v>
          </cell>
          <cell r="AD59">
            <v>165</v>
          </cell>
          <cell r="AE59">
            <v>111</v>
          </cell>
          <cell r="AF59">
            <v>513</v>
          </cell>
          <cell r="AG59">
            <v>178</v>
          </cell>
          <cell r="AH59">
            <v>177</v>
          </cell>
          <cell r="AI59">
            <v>214</v>
          </cell>
          <cell r="AJ59">
            <v>569</v>
          </cell>
          <cell r="AK59">
            <v>190</v>
          </cell>
          <cell r="AL59">
            <v>203</v>
          </cell>
          <cell r="AM59">
            <v>170</v>
          </cell>
          <cell r="AN59">
            <v>563</v>
          </cell>
          <cell r="AO59">
            <v>43</v>
          </cell>
          <cell r="AP59">
            <v>148</v>
          </cell>
          <cell r="AQ59">
            <v>272</v>
          </cell>
          <cell r="AR59">
            <v>463</v>
          </cell>
          <cell r="AS59">
            <v>249</v>
          </cell>
          <cell r="AT59">
            <v>229</v>
          </cell>
          <cell r="AU59">
            <v>240</v>
          </cell>
          <cell r="AV59">
            <v>718</v>
          </cell>
          <cell r="AW59">
            <v>262</v>
          </cell>
          <cell r="AX59">
            <v>189</v>
          </cell>
          <cell r="AY59">
            <v>191</v>
          </cell>
          <cell r="AZ59">
            <v>642</v>
          </cell>
          <cell r="BA59">
            <v>196</v>
          </cell>
          <cell r="BB59">
            <v>136</v>
          </cell>
          <cell r="BC59">
            <v>129</v>
          </cell>
          <cell r="BD59">
            <v>461</v>
          </cell>
          <cell r="BE59">
            <v>151</v>
          </cell>
          <cell r="BF59">
            <v>72</v>
          </cell>
          <cell r="BG59">
            <v>131</v>
          </cell>
          <cell r="BH59">
            <v>354</v>
          </cell>
          <cell r="BI59">
            <v>72</v>
          </cell>
          <cell r="BJ59">
            <v>91</v>
          </cell>
          <cell r="BK59">
            <v>86</v>
          </cell>
          <cell r="BL59">
            <v>249</v>
          </cell>
          <cell r="BM59">
            <v>79</v>
          </cell>
          <cell r="BN59">
            <v>56</v>
          </cell>
          <cell r="BO59">
            <v>53</v>
          </cell>
          <cell r="BP59">
            <v>188</v>
          </cell>
        </row>
        <row r="60">
          <cell r="A60" t="str">
            <v xml:space="preserve">  % Change</v>
          </cell>
          <cell r="W60">
            <v>14.583333333333334</v>
          </cell>
          <cell r="X60">
            <v>47.416666666666664</v>
          </cell>
          <cell r="Y60">
            <v>7.0909090909090917</v>
          </cell>
          <cell r="Z60">
            <v>6.791666666666667</v>
          </cell>
          <cell r="AA60">
            <v>4.0238095238095237</v>
          </cell>
          <cell r="AB60">
            <v>5.5454545454545459</v>
          </cell>
          <cell r="AC60">
            <v>4.7804878048780486</v>
          </cell>
          <cell r="AD60">
            <v>3.583333333333333</v>
          </cell>
          <cell r="AE60">
            <v>6.4</v>
          </cell>
          <cell r="AF60">
            <v>4.5760869565217392</v>
          </cell>
          <cell r="AG60">
            <v>7.0909090909090917</v>
          </cell>
          <cell r="AH60">
            <v>7.4285714285714288</v>
          </cell>
          <cell r="AI60">
            <v>0.13829787234042556</v>
          </cell>
          <cell r="AJ60">
            <v>1.4632034632034632</v>
          </cell>
          <cell r="AK60">
            <v>-7.7669902912621325E-2</v>
          </cell>
          <cell r="AL60">
            <v>7.9787234042553168E-2</v>
          </cell>
          <cell r="AM60">
            <v>-9.0909090909090939E-2</v>
          </cell>
          <cell r="AN60">
            <v>-3.0981067125645412E-2</v>
          </cell>
          <cell r="AO60">
            <v>-0.7584269662921348</v>
          </cell>
          <cell r="AP60">
            <v>-0.20855614973262027</v>
          </cell>
          <cell r="AQ60">
            <v>0.2890995260663507</v>
          </cell>
          <cell r="AR60">
            <v>-0.19618055555555558</v>
          </cell>
          <cell r="AS60">
            <v>5.0632911392405111E-2</v>
          </cell>
          <cell r="AT60">
            <v>0.38787878787878793</v>
          </cell>
          <cell r="AU60">
            <v>1.1621621621621623</v>
          </cell>
          <cell r="AV60">
            <v>0.39961013645224175</v>
          </cell>
          <cell r="AW60">
            <v>0.4719101123595506</v>
          </cell>
          <cell r="AX60">
            <v>6.7796610169491567E-2</v>
          </cell>
          <cell r="AY60">
            <v>-0.10747663551401865</v>
          </cell>
          <cell r="AZ60">
            <v>0.1282952548330405</v>
          </cell>
          <cell r="BA60">
            <v>3.1578947368421151E-2</v>
          </cell>
          <cell r="BB60">
            <v>-0.33004926108374388</v>
          </cell>
          <cell r="BC60">
            <v>-0.24117647058823533</v>
          </cell>
          <cell r="BD60">
            <v>-0.18117229129662527</v>
          </cell>
          <cell r="BE60">
            <v>2.5116279069767442</v>
          </cell>
          <cell r="BF60">
            <v>-0.51351351351351349</v>
          </cell>
          <cell r="BG60">
            <v>-0.51838235294117641</v>
          </cell>
          <cell r="BH60">
            <v>-0.23542116630669552</v>
          </cell>
          <cell r="BI60">
            <v>-0.71084337349397586</v>
          </cell>
          <cell r="BJ60">
            <v>-0.60262008733624461</v>
          </cell>
          <cell r="BK60">
            <v>-0.64166666666666661</v>
          </cell>
          <cell r="BL60">
            <v>-0.65320334261838442</v>
          </cell>
          <cell r="BM60">
            <v>-0.69847328244274809</v>
          </cell>
          <cell r="BN60">
            <v>-0.70370370370370372</v>
          </cell>
          <cell r="BO60">
            <v>-0.72251308900523559</v>
          </cell>
          <cell r="BP60">
            <v>-0.70716510903426788</v>
          </cell>
        </row>
        <row r="61">
          <cell r="A61" t="str">
            <v>NRx</v>
          </cell>
          <cell r="G61">
            <v>12</v>
          </cell>
          <cell r="H61">
            <v>12</v>
          </cell>
          <cell r="I61">
            <v>17</v>
          </cell>
          <cell r="J61">
            <v>21</v>
          </cell>
          <cell r="K61">
            <v>39</v>
          </cell>
          <cell r="L61">
            <v>77</v>
          </cell>
          <cell r="M61">
            <v>41</v>
          </cell>
          <cell r="N61">
            <v>36</v>
          </cell>
          <cell r="O61">
            <v>15</v>
          </cell>
          <cell r="P61">
            <v>92</v>
          </cell>
          <cell r="Q61">
            <v>22</v>
          </cell>
          <cell r="R61">
            <v>21</v>
          </cell>
          <cell r="S61">
            <v>188</v>
          </cell>
          <cell r="T61">
            <v>231</v>
          </cell>
          <cell r="U61">
            <v>206</v>
          </cell>
          <cell r="V61">
            <v>188</v>
          </cell>
          <cell r="W61">
            <v>185</v>
          </cell>
          <cell r="X61">
            <v>579</v>
          </cell>
          <cell r="Y61">
            <v>167</v>
          </cell>
          <cell r="Z61">
            <v>162</v>
          </cell>
          <cell r="AA61">
            <v>192</v>
          </cell>
          <cell r="AB61">
            <v>521</v>
          </cell>
          <cell r="AC61">
            <v>207</v>
          </cell>
          <cell r="AD61">
            <v>141</v>
          </cell>
          <cell r="AE61">
            <v>104</v>
          </cell>
          <cell r="AF61">
            <v>452</v>
          </cell>
          <cell r="AG61">
            <v>174</v>
          </cell>
          <cell r="AH61">
            <v>174</v>
          </cell>
          <cell r="AI61">
            <v>210</v>
          </cell>
          <cell r="AJ61">
            <v>558</v>
          </cell>
          <cell r="AK61">
            <v>188</v>
          </cell>
          <cell r="AL61">
            <v>199</v>
          </cell>
          <cell r="AM61">
            <v>170</v>
          </cell>
          <cell r="AN61">
            <v>557</v>
          </cell>
          <cell r="AO61">
            <v>38</v>
          </cell>
          <cell r="AP61">
            <v>143</v>
          </cell>
          <cell r="AQ61">
            <v>260</v>
          </cell>
          <cell r="AR61">
            <v>441</v>
          </cell>
          <cell r="AS61">
            <v>229</v>
          </cell>
          <cell r="AT61">
            <v>206</v>
          </cell>
          <cell r="AU61">
            <v>220</v>
          </cell>
          <cell r="AV61">
            <v>655</v>
          </cell>
          <cell r="AW61">
            <v>239</v>
          </cell>
          <cell r="AX61">
            <v>175</v>
          </cell>
          <cell r="AY61">
            <v>174</v>
          </cell>
          <cell r="AZ61">
            <v>588</v>
          </cell>
          <cell r="BA61">
            <v>185</v>
          </cell>
          <cell r="BB61">
            <v>132</v>
          </cell>
          <cell r="BC61">
            <v>122</v>
          </cell>
          <cell r="BD61">
            <v>439</v>
          </cell>
          <cell r="BE61">
            <v>144</v>
          </cell>
          <cell r="BF61">
            <v>70</v>
          </cell>
          <cell r="BG61">
            <v>131</v>
          </cell>
          <cell r="BH61">
            <v>345</v>
          </cell>
          <cell r="BI61">
            <v>72</v>
          </cell>
          <cell r="BJ61">
            <v>88</v>
          </cell>
          <cell r="BK61">
            <v>83</v>
          </cell>
          <cell r="BL61">
            <v>243</v>
          </cell>
          <cell r="BM61">
            <v>74</v>
          </cell>
          <cell r="BN61">
            <v>54</v>
          </cell>
          <cell r="BO61">
            <v>48</v>
          </cell>
          <cell r="BP61">
            <v>176</v>
          </cell>
        </row>
        <row r="62">
          <cell r="A62" t="str">
            <v xml:space="preserve">  % Change</v>
          </cell>
          <cell r="W62">
            <v>14.416666666666666</v>
          </cell>
          <cell r="X62">
            <v>47.25</v>
          </cell>
          <cell r="Y62">
            <v>8.8235294117647065</v>
          </cell>
          <cell r="Z62">
            <v>6.7142857142857144</v>
          </cell>
          <cell r="AA62">
            <v>3.9230769230769234</v>
          </cell>
          <cell r="AB62">
            <v>5.7662337662337659</v>
          </cell>
          <cell r="AC62">
            <v>4.0487804878048781</v>
          </cell>
          <cell r="AD62">
            <v>2.9166666666666665</v>
          </cell>
          <cell r="AE62">
            <v>5.9333333333333336</v>
          </cell>
          <cell r="AF62">
            <v>3.9130434782608692</v>
          </cell>
          <cell r="AG62">
            <v>6.9090909090909092</v>
          </cell>
          <cell r="AH62">
            <v>7.2857142857142865</v>
          </cell>
          <cell r="AI62">
            <v>0.11702127659574457</v>
          </cell>
          <cell r="AJ62">
            <v>1.4155844155844157</v>
          </cell>
          <cell r="AK62">
            <v>-8.737864077669899E-2</v>
          </cell>
          <cell r="AL62">
            <v>5.8510638297872397E-2</v>
          </cell>
          <cell r="AM62">
            <v>-8.108108108108103E-2</v>
          </cell>
          <cell r="AN62">
            <v>-3.7996545768566481E-2</v>
          </cell>
          <cell r="AO62">
            <v>-0.77245508982035926</v>
          </cell>
          <cell r="AP62">
            <v>-0.11728395061728392</v>
          </cell>
          <cell r="AQ62">
            <v>0.35416666666666674</v>
          </cell>
          <cell r="AR62">
            <v>-0.15355086372360849</v>
          </cell>
          <cell r="AS62">
            <v>0.106280193236715</v>
          </cell>
          <cell r="AT62">
            <v>0.46099290780141855</v>
          </cell>
          <cell r="AU62">
            <v>1.1153846153846154</v>
          </cell>
          <cell r="AV62">
            <v>0.44911504424778759</v>
          </cell>
          <cell r="AW62">
            <v>0.37356321839080464</v>
          </cell>
          <cell r="AX62">
            <v>5.7471264367816577E-3</v>
          </cell>
          <cell r="AY62">
            <v>-0.17142857142857137</v>
          </cell>
          <cell r="AZ62">
            <v>5.3763440860215006E-2</v>
          </cell>
          <cell r="BA62">
            <v>-1.5957446808510634E-2</v>
          </cell>
          <cell r="BB62">
            <v>-0.33668341708542715</v>
          </cell>
          <cell r="BC62">
            <v>-0.28235294117647058</v>
          </cell>
          <cell r="BD62">
            <v>-0.21184919210053865</v>
          </cell>
          <cell r="BE62">
            <v>2.7894736842105261</v>
          </cell>
          <cell r="BF62">
            <v>-0.51048951048951041</v>
          </cell>
          <cell r="BG62">
            <v>-0.49615384615384617</v>
          </cell>
          <cell r="BH62">
            <v>-0.21768707482993199</v>
          </cell>
          <cell r="BI62">
            <v>-0.68558951965065495</v>
          </cell>
          <cell r="BJ62">
            <v>-0.57281553398058249</v>
          </cell>
          <cell r="BK62">
            <v>-0.6227272727272728</v>
          </cell>
          <cell r="BL62">
            <v>-0.62900763358778633</v>
          </cell>
          <cell r="BM62">
            <v>-0.69037656903765687</v>
          </cell>
          <cell r="BN62">
            <v>-0.6914285714285715</v>
          </cell>
          <cell r="BO62">
            <v>-0.72413793103448276</v>
          </cell>
          <cell r="BP62">
            <v>-0.70068027210884354</v>
          </cell>
        </row>
        <row r="63">
          <cell r="A63" t="str">
            <v>Sales (IMS)</v>
          </cell>
          <cell r="F63">
            <v>7.6997920000000004</v>
          </cell>
          <cell r="G63">
            <v>10.284594999999999</v>
          </cell>
          <cell r="H63">
            <v>17.984386999999998</v>
          </cell>
          <cell r="I63">
            <v>9.3519159999999992</v>
          </cell>
          <cell r="J63">
            <v>11.708259999999999</v>
          </cell>
          <cell r="K63">
            <v>15.67469</v>
          </cell>
          <cell r="L63">
            <v>36.734865999999997</v>
          </cell>
          <cell r="M63">
            <v>12.753781</v>
          </cell>
          <cell r="N63">
            <v>12.509933</v>
          </cell>
          <cell r="O63">
            <v>16.812445</v>
          </cell>
          <cell r="P63">
            <v>42.076159000000004</v>
          </cell>
          <cell r="Q63">
            <v>13.96477</v>
          </cell>
          <cell r="R63">
            <v>14.512790000000001</v>
          </cell>
          <cell r="S63">
            <v>19.194296000000001</v>
          </cell>
          <cell r="T63">
            <v>47.671856000000005</v>
          </cell>
          <cell r="U63">
            <v>16.823875000000001</v>
          </cell>
          <cell r="V63">
            <v>21.653752999999998</v>
          </cell>
          <cell r="W63">
            <v>17.657709000000001</v>
          </cell>
          <cell r="X63">
            <v>56.135337</v>
          </cell>
          <cell r="Y63">
            <v>14.738196</v>
          </cell>
          <cell r="Z63">
            <v>14.576169</v>
          </cell>
          <cell r="AA63">
            <v>16.619140000000002</v>
          </cell>
          <cell r="AB63">
            <v>45.933505000000004</v>
          </cell>
          <cell r="AC63">
            <v>12.66071</v>
          </cell>
          <cell r="AD63">
            <v>10.694659</v>
          </cell>
          <cell r="AE63">
            <v>10.967826000000001</v>
          </cell>
          <cell r="AF63">
            <v>34.323194999999998</v>
          </cell>
          <cell r="AG63">
            <v>7.6245989999999999</v>
          </cell>
          <cell r="AH63">
            <v>6.8794199999999996</v>
          </cell>
          <cell r="AI63">
            <v>6.5366099999999996</v>
          </cell>
          <cell r="AJ63">
            <v>21.040628999999999</v>
          </cell>
          <cell r="AK63">
            <v>3.6216490000000001</v>
          </cell>
          <cell r="AL63">
            <v>3.61164</v>
          </cell>
          <cell r="AM63">
            <v>4.4771359999999998</v>
          </cell>
          <cell r="AN63">
            <v>11.710424999999999</v>
          </cell>
          <cell r="AO63">
            <v>3.2411509999999999</v>
          </cell>
          <cell r="AP63">
            <v>2.5748669999999998</v>
          </cell>
          <cell r="AQ63">
            <v>3.6999379999999999</v>
          </cell>
          <cell r="AR63">
            <v>9.5159559999999992</v>
          </cell>
          <cell r="AS63">
            <v>1.9522900000000001</v>
          </cell>
          <cell r="AT63">
            <v>1.86138</v>
          </cell>
          <cell r="AU63">
            <v>2.6510289999999999</v>
          </cell>
          <cell r="AV63">
            <v>6.4646989999999995</v>
          </cell>
          <cell r="AW63">
            <v>1.9840549999999999</v>
          </cell>
          <cell r="AX63">
            <v>2.286254</v>
          </cell>
          <cell r="AY63">
            <v>2.9925380000000001</v>
          </cell>
          <cell r="AZ63">
            <v>7.2628470000000007</v>
          </cell>
          <cell r="BA63">
            <v>2.0423049999999998</v>
          </cell>
          <cell r="BB63">
            <v>1.8137810000000001</v>
          </cell>
          <cell r="BC63">
            <v>2.051339</v>
          </cell>
          <cell r="BD63">
            <v>5.9074249999999999</v>
          </cell>
          <cell r="BE63">
            <v>2.006837</v>
          </cell>
          <cell r="BF63">
            <v>1.7338929999999999</v>
          </cell>
          <cell r="BG63">
            <v>2.1047250000000002</v>
          </cell>
          <cell r="BH63">
            <v>5.8454550000000003</v>
          </cell>
          <cell r="BI63">
            <v>1.800252</v>
          </cell>
          <cell r="BJ63">
            <v>1.7168969999999999</v>
          </cell>
          <cell r="BK63">
            <v>2.0565349999999998</v>
          </cell>
          <cell r="BL63">
            <v>5.5736840000000001</v>
          </cell>
          <cell r="BM63">
            <v>1.646002</v>
          </cell>
          <cell r="BN63">
            <v>1.4174610000000001</v>
          </cell>
        </row>
        <row r="64">
          <cell r="A64" t="str">
            <v xml:space="preserve">  % Change</v>
          </cell>
          <cell r="W64">
            <v>0.71690854136696691</v>
          </cell>
          <cell r="X64">
            <v>2.1213372465794915</v>
          </cell>
          <cell r="Y64">
            <v>0.57595470275823701</v>
          </cell>
          <cell r="Z64">
            <v>0.24494749860355003</v>
          </cell>
          <cell r="AA64">
            <v>6.0253185230457529E-2</v>
          </cell>
          <cell r="AB64">
            <v>0.25040622170773696</v>
          </cell>
          <cell r="AC64">
            <v>-7.2975222014554086E-3</v>
          </cell>
          <cell r="AD64">
            <v>-0.14510661248145773</v>
          </cell>
          <cell r="AE64">
            <v>-0.34763646810443094</v>
          </cell>
          <cell r="AF64">
            <v>-0.18426026006794027</v>
          </cell>
          <cell r="AG64">
            <v>-0.45401184552269747</v>
          </cell>
          <cell r="AH64">
            <v>-0.52597536379979326</v>
          </cell>
          <cell r="AI64">
            <v>-0.65945039088695934</v>
          </cell>
          <cell r="AJ64">
            <v>-0.55863625280291163</v>
          </cell>
          <cell r="AK64">
            <v>-0.78473157937752158</v>
          </cell>
          <cell r="AL64">
            <v>-0.83320951338089055</v>
          </cell>
          <cell r="AM64">
            <v>-0.74644864744344808</v>
          </cell>
          <cell r="AN64">
            <v>-0.79138942374212529</v>
          </cell>
          <cell r="AO64">
            <v>-0.78008495748054918</v>
          </cell>
          <cell r="AP64">
            <v>-0.82335090928213028</v>
          </cell>
          <cell r="AQ64">
            <v>-0.77736886505559255</v>
          </cell>
          <cell r="AR64">
            <v>-0.79283192083861231</v>
          </cell>
          <cell r="AS64">
            <v>-0.84579932720992734</v>
          </cell>
          <cell r="AT64">
            <v>-0.82595237491910678</v>
          </cell>
          <cell r="AU64">
            <v>-0.75829038498604917</v>
          </cell>
          <cell r="AV64">
            <v>-0.81165217865061812</v>
          </cell>
          <cell r="AW64">
            <v>-0.73978238068651225</v>
          </cell>
          <cell r="AX64">
            <v>-0.6676676231426486</v>
          </cell>
          <cell r="AY64">
            <v>-0.54218807608225061</v>
          </cell>
          <cell r="AZ64">
            <v>-0.65481797145893306</v>
          </cell>
          <cell r="BA64">
            <v>-0.43608422572148775</v>
          </cell>
          <cell r="BB64">
            <v>-0.49779573822418621</v>
          </cell>
          <cell r="BC64">
            <v>-0.54181892173925472</v>
          </cell>
          <cell r="BD64">
            <v>-0.49554136591968267</v>
          </cell>
          <cell r="BE64">
            <v>-0.38082582391255448</v>
          </cell>
          <cell r="BF64">
            <v>-0.32660871415882842</v>
          </cell>
          <cell r="BG64">
            <v>-0.4311458732551734</v>
          </cell>
          <cell r="BH64">
            <v>-0.38572067798548026</v>
          </cell>
          <cell r="BI64">
            <v>-7.7876749868103667E-2</v>
          </cell>
          <cell r="BJ64">
            <v>-7.7621442155819897E-2</v>
          </cell>
          <cell r="BK64">
            <v>-0.22425028168307481</v>
          </cell>
          <cell r="BL64">
            <v>-0.13782776274657171</v>
          </cell>
          <cell r="BM64">
            <v>-0.17038489356393849</v>
          </cell>
          <cell r="BN64">
            <v>-0.38000720829794066</v>
          </cell>
        </row>
        <row r="66">
          <cell r="A66" t="str">
            <v xml:space="preserve">HYDROCHLOROTHIAZIDE </v>
          </cell>
        </row>
        <row r="67">
          <cell r="A67" t="str">
            <v>TRx</v>
          </cell>
          <cell r="D67">
            <v>938986</v>
          </cell>
          <cell r="E67">
            <v>972437</v>
          </cell>
          <cell r="F67">
            <v>948886</v>
          </cell>
          <cell r="G67">
            <v>962416</v>
          </cell>
          <cell r="H67">
            <v>2883739</v>
          </cell>
          <cell r="I67">
            <v>999417</v>
          </cell>
          <cell r="J67">
            <v>911595</v>
          </cell>
          <cell r="K67">
            <v>1017017</v>
          </cell>
          <cell r="L67">
            <v>2928029</v>
          </cell>
          <cell r="M67">
            <v>1006306</v>
          </cell>
          <cell r="N67">
            <v>1111998</v>
          </cell>
          <cell r="O67">
            <v>1106227</v>
          </cell>
          <cell r="P67">
            <v>3224531</v>
          </cell>
          <cell r="Q67">
            <v>1178898</v>
          </cell>
          <cell r="R67">
            <v>1246891</v>
          </cell>
          <cell r="S67">
            <v>1200063</v>
          </cell>
          <cell r="T67">
            <v>3625852</v>
          </cell>
          <cell r="U67">
            <v>1356448</v>
          </cell>
          <cell r="V67">
            <v>1326186</v>
          </cell>
          <cell r="W67">
            <v>1382885</v>
          </cell>
          <cell r="X67">
            <v>4065519</v>
          </cell>
          <cell r="Y67">
            <v>1387658</v>
          </cell>
          <cell r="Z67">
            <v>1238542</v>
          </cell>
          <cell r="AA67">
            <v>1408985</v>
          </cell>
          <cell r="AB67">
            <v>4035185</v>
          </cell>
          <cell r="AC67">
            <v>1474325</v>
          </cell>
          <cell r="AD67">
            <v>1475886</v>
          </cell>
          <cell r="AE67">
            <v>1406991</v>
          </cell>
          <cell r="AF67">
            <v>4357202</v>
          </cell>
          <cell r="AG67">
            <v>1471671</v>
          </cell>
          <cell r="AH67">
            <v>1406346</v>
          </cell>
          <cell r="AI67">
            <v>1331764</v>
          </cell>
          <cell r="AJ67">
            <v>4209781</v>
          </cell>
          <cell r="AK67">
            <v>1403530</v>
          </cell>
          <cell r="AL67">
            <v>1366201</v>
          </cell>
          <cell r="AM67">
            <v>1505613</v>
          </cell>
          <cell r="AN67">
            <v>4275344</v>
          </cell>
          <cell r="AO67">
            <v>1547418</v>
          </cell>
          <cell r="AP67">
            <v>1389092</v>
          </cell>
          <cell r="AQ67">
            <v>1504928</v>
          </cell>
          <cell r="AR67">
            <v>4441438</v>
          </cell>
          <cell r="AS67">
            <v>1441358</v>
          </cell>
          <cell r="AT67">
            <v>1481044</v>
          </cell>
          <cell r="AU67">
            <v>1465432</v>
          </cell>
          <cell r="AV67">
            <v>4387834</v>
          </cell>
          <cell r="AW67">
            <v>1518938</v>
          </cell>
          <cell r="AX67">
            <v>1480923</v>
          </cell>
          <cell r="AY67">
            <v>1471010</v>
          </cell>
          <cell r="AZ67">
            <v>4470871</v>
          </cell>
          <cell r="BA67">
            <v>1525980</v>
          </cell>
          <cell r="BB67">
            <v>1419059</v>
          </cell>
          <cell r="BC67">
            <v>1585743</v>
          </cell>
          <cell r="BD67">
            <v>4530782</v>
          </cell>
          <cell r="BE67">
            <v>1545302</v>
          </cell>
          <cell r="BF67">
            <v>1461899</v>
          </cell>
          <cell r="BG67">
            <v>1646172</v>
          </cell>
          <cell r="BH67">
            <v>4653373</v>
          </cell>
          <cell r="BI67">
            <v>1562557</v>
          </cell>
          <cell r="BJ67">
            <v>1519696</v>
          </cell>
          <cell r="BK67">
            <v>1625682</v>
          </cell>
          <cell r="BL67">
            <v>4707935</v>
          </cell>
          <cell r="BM67">
            <v>1588644</v>
          </cell>
          <cell r="BN67">
            <v>1583638</v>
          </cell>
          <cell r="BO67">
            <v>1489383</v>
          </cell>
          <cell r="BP67">
            <v>4661665</v>
          </cell>
        </row>
        <row r="68">
          <cell r="A68" t="str">
            <v xml:space="preserve">  % Change</v>
          </cell>
          <cell r="S68">
            <v>0.27804141914788927</v>
          </cell>
          <cell r="U68">
            <v>0.39489550479876856</v>
          </cell>
          <cell r="V68">
            <v>0.39762416138503465</v>
          </cell>
          <cell r="W68">
            <v>0.4368890375887351</v>
          </cell>
          <cell r="X68">
            <v>0.40980823854031168</v>
          </cell>
          <cell r="Y68">
            <v>0.38846747653882208</v>
          </cell>
          <cell r="Z68">
            <v>0.3586537881405667</v>
          </cell>
          <cell r="AA68">
            <v>0.38540948676374143</v>
          </cell>
          <cell r="AC68">
            <v>0.4650861666332109</v>
          </cell>
          <cell r="AD68">
            <v>0.32723799862949399</v>
          </cell>
          <cell r="AE68">
            <v>0.27188271484966475</v>
          </cell>
          <cell r="AF68">
            <v>0.35126689741857042</v>
          </cell>
          <cell r="AG68">
            <v>0.24834464050324967</v>
          </cell>
          <cell r="AH68">
            <v>0.12788206828022664</v>
          </cell>
          <cell r="AI68">
            <v>0.10974507171706827</v>
          </cell>
          <cell r="AJ68">
            <v>0.16104601070313951</v>
          </cell>
          <cell r="AK68">
            <v>3.4709771402958278E-2</v>
          </cell>
          <cell r="AL68">
            <v>3.0172992325360193E-2</v>
          </cell>
          <cell r="AM68">
            <v>8.8747798985454374E-2</v>
          </cell>
          <cell r="AN68">
            <v>5.1610876741690292E-2</v>
          </cell>
          <cell r="AO68">
            <v>0.1151292321306836</v>
          </cell>
          <cell r="AP68">
            <v>0.12155421455227189</v>
          </cell>
          <cell r="AQ68">
            <v>6.8093698655415036E-2</v>
          </cell>
          <cell r="AR68">
            <v>0.10067766409718515</v>
          </cell>
          <cell r="AS68">
            <v>-2.2360741356213909E-2</v>
          </cell>
          <cell r="AT68">
            <v>3.4948498732287891E-3</v>
          </cell>
          <cell r="AU68">
            <v>4.1536157658435657E-2</v>
          </cell>
          <cell r="AV68">
            <v>7.0301996556505486E-3</v>
          </cell>
          <cell r="AW68">
            <v>3.2117912223587952E-2</v>
          </cell>
          <cell r="AX68">
            <v>5.3028913226190522E-2</v>
          </cell>
          <cell r="AY68">
            <v>0.10455756425312601</v>
          </cell>
          <cell r="AZ68">
            <v>6.2019853289280391E-2</v>
          </cell>
          <cell r="BA68">
            <v>8.7244305429880376E-2</v>
          </cell>
          <cell r="BB68">
            <v>3.868976819662695E-2</v>
          </cell>
          <cell r="BC68">
            <v>5.322084758832446E-2</v>
          </cell>
          <cell r="BD68">
            <v>5.9746771253962327E-2</v>
          </cell>
          <cell r="BE68">
            <v>-1.3674391793296881E-3</v>
          </cell>
          <cell r="BF68">
            <v>5.241337506803001E-2</v>
          </cell>
          <cell r="BG68">
            <v>9.3854323927789141E-2</v>
          </cell>
          <cell r="BH68">
            <v>4.7717653606782262E-2</v>
          </cell>
          <cell r="BI68">
            <v>8.4086673817330704E-2</v>
          </cell>
          <cell r="BJ68">
            <v>2.6097806682313207E-2</v>
          </cell>
          <cell r="BK68">
            <v>0.10935341933300213</v>
          </cell>
          <cell r="BL68">
            <v>7.2951939385127229E-2</v>
          </cell>
          <cell r="BM68">
            <v>4.589127403488491E-2</v>
          </cell>
          <cell r="BN68">
            <v>6.9358771522894935E-2</v>
          </cell>
          <cell r="BO68">
            <v>1.2490057851408221E-2</v>
          </cell>
          <cell r="BP68">
            <v>4.2674906075348629E-2</v>
          </cell>
        </row>
        <row r="69">
          <cell r="A69" t="str">
            <v>NRx</v>
          </cell>
          <cell r="D69">
            <v>307528</v>
          </cell>
          <cell r="E69">
            <v>317337</v>
          </cell>
          <cell r="F69">
            <v>309140</v>
          </cell>
          <cell r="G69">
            <v>301870</v>
          </cell>
          <cell r="H69">
            <v>928347</v>
          </cell>
          <cell r="I69">
            <v>337669</v>
          </cell>
          <cell r="J69">
            <v>309500</v>
          </cell>
          <cell r="K69">
            <v>342668</v>
          </cell>
          <cell r="L69">
            <v>989837</v>
          </cell>
          <cell r="M69">
            <v>336902</v>
          </cell>
          <cell r="N69">
            <v>372135</v>
          </cell>
          <cell r="O69">
            <v>361331</v>
          </cell>
          <cell r="P69">
            <v>1070368</v>
          </cell>
          <cell r="Q69">
            <v>379616</v>
          </cell>
          <cell r="R69">
            <v>401713</v>
          </cell>
          <cell r="S69">
            <v>376419</v>
          </cell>
          <cell r="T69">
            <v>1157748</v>
          </cell>
          <cell r="U69">
            <v>437288</v>
          </cell>
          <cell r="V69">
            <v>424617</v>
          </cell>
          <cell r="W69">
            <v>424782</v>
          </cell>
          <cell r="X69">
            <v>1286687</v>
          </cell>
          <cell r="Y69">
            <v>463982</v>
          </cell>
          <cell r="Z69">
            <v>413131</v>
          </cell>
          <cell r="AA69">
            <v>466605</v>
          </cell>
          <cell r="AB69">
            <v>1343718</v>
          </cell>
          <cell r="AC69">
            <v>484410</v>
          </cell>
          <cell r="AD69">
            <v>469103</v>
          </cell>
          <cell r="AE69">
            <v>439112</v>
          </cell>
          <cell r="AF69">
            <v>1392625</v>
          </cell>
          <cell r="AG69">
            <v>449327</v>
          </cell>
          <cell r="AH69">
            <v>424239</v>
          </cell>
          <cell r="AI69">
            <v>397287</v>
          </cell>
          <cell r="AJ69">
            <v>1270853</v>
          </cell>
          <cell r="AK69">
            <v>428080</v>
          </cell>
          <cell r="AL69">
            <v>416537</v>
          </cell>
          <cell r="AM69">
            <v>462788</v>
          </cell>
          <cell r="AN69">
            <v>1307405</v>
          </cell>
          <cell r="AO69">
            <v>526930</v>
          </cell>
          <cell r="AP69">
            <v>459960</v>
          </cell>
          <cell r="AQ69">
            <v>475658</v>
          </cell>
          <cell r="AR69">
            <v>1462548</v>
          </cell>
          <cell r="AS69">
            <v>451435</v>
          </cell>
          <cell r="AT69">
            <v>464164</v>
          </cell>
          <cell r="AU69">
            <v>462058</v>
          </cell>
          <cell r="AV69">
            <v>1377657</v>
          </cell>
          <cell r="AW69">
            <v>468197</v>
          </cell>
          <cell r="AX69">
            <v>443036</v>
          </cell>
          <cell r="AY69">
            <v>442045</v>
          </cell>
          <cell r="AZ69">
            <v>1353278</v>
          </cell>
          <cell r="BA69">
            <v>466461</v>
          </cell>
          <cell r="BB69">
            <v>418713</v>
          </cell>
          <cell r="BC69">
            <v>460479</v>
          </cell>
          <cell r="BD69">
            <v>1345653</v>
          </cell>
          <cell r="BE69">
            <v>470920</v>
          </cell>
          <cell r="BF69">
            <v>459584</v>
          </cell>
          <cell r="BG69">
            <v>517590</v>
          </cell>
          <cell r="BH69">
            <v>1448094</v>
          </cell>
          <cell r="BI69">
            <v>478389</v>
          </cell>
          <cell r="BJ69">
            <v>461837</v>
          </cell>
          <cell r="BK69">
            <v>498259</v>
          </cell>
          <cell r="BL69">
            <v>1438485</v>
          </cell>
          <cell r="BM69">
            <v>474877</v>
          </cell>
          <cell r="BN69">
            <v>473098</v>
          </cell>
          <cell r="BO69">
            <v>444279</v>
          </cell>
          <cell r="BP69">
            <v>1392254</v>
          </cell>
        </row>
        <row r="70">
          <cell r="A70" t="str">
            <v xml:space="preserve">  % Change</v>
          </cell>
          <cell r="S70">
            <v>0.22401537420982809</v>
          </cell>
          <cell r="U70">
            <v>0.37799248117931405</v>
          </cell>
          <cell r="V70">
            <v>0.37354273144853467</v>
          </cell>
          <cell r="W70">
            <v>0.40716864875608705</v>
          </cell>
          <cell r="X70">
            <v>0.38599790810979084</v>
          </cell>
          <cell r="Y70">
            <v>0.37407342693584544</v>
          </cell>
          <cell r="Z70">
            <v>0.33483360258481421</v>
          </cell>
          <cell r="AA70">
            <v>0.36168244481538991</v>
          </cell>
          <cell r="AC70">
            <v>0.43783652219339753</v>
          </cell>
          <cell r="AD70">
            <v>0.26057210420949395</v>
          </cell>
          <cell r="AE70">
            <v>0.2152624601819384</v>
          </cell>
          <cell r="AF70">
            <v>0.30107122036533229</v>
          </cell>
          <cell r="AG70">
            <v>0.18363556857455965</v>
          </cell>
          <cell r="AH70">
            <v>5.6074859414557254E-2</v>
          </cell>
          <cell r="AI70">
            <v>5.5438221768826734E-2</v>
          </cell>
          <cell r="AJ70">
            <v>9.7693971399648305E-2</v>
          </cell>
          <cell r="AK70">
            <v>-2.105706079288705E-2</v>
          </cell>
          <cell r="AL70">
            <v>-1.9028913114642165E-2</v>
          </cell>
          <cell r="AM70">
            <v>8.9471776111040402E-2</v>
          </cell>
          <cell r="AN70">
            <v>1.6101818080076935E-2</v>
          </cell>
          <cell r="AO70">
            <v>0.13566905612717739</v>
          </cell>
          <cell r="AP70">
            <v>0.11335145510745992</v>
          </cell>
          <cell r="AQ70">
            <v>1.9401849530116477E-2</v>
          </cell>
          <cell r="AR70">
            <v>8.8433733863801711E-2</v>
          </cell>
          <cell r="AS70">
            <v>-6.8072500567700867E-2</v>
          </cell>
          <cell r="AT70">
            <v>-1.0528604592168422E-2</v>
          </cell>
          <cell r="AU70">
            <v>5.2255461021333938E-2</v>
          </cell>
          <cell r="AV70">
            <v>-1.0748047751548362E-2</v>
          </cell>
          <cell r="AW70">
            <v>4.1996140895161016E-2</v>
          </cell>
          <cell r="AX70">
            <v>4.4307571911116117E-2</v>
          </cell>
          <cell r="AY70">
            <v>0.1126591104163992</v>
          </cell>
          <cell r="AZ70">
            <v>6.4858012689115174E-2</v>
          </cell>
          <cell r="BA70">
            <v>8.9658475051392239E-2</v>
          </cell>
          <cell r="BB70">
            <v>5.2240257168030269E-3</v>
          </cell>
          <cell r="BC70">
            <v>-4.9893255659179125E-3</v>
          </cell>
          <cell r="BD70">
            <v>2.9254898061427115E-2</v>
          </cell>
          <cell r="BE70">
            <v>-0.10629495378892828</v>
          </cell>
          <cell r="BF70">
            <v>-8.174623880337073E-4</v>
          </cell>
          <cell r="BG70">
            <v>8.8155775788486768E-2</v>
          </cell>
          <cell r="BH70">
            <v>-9.8827525660696303E-3</v>
          </cell>
          <cell r="BI70">
            <v>5.9707377584812926E-2</v>
          </cell>
          <cell r="BJ70">
            <v>-5.0133142596151536E-3</v>
          </cell>
          <cell r="BK70">
            <v>7.8347307048032944E-2</v>
          </cell>
          <cell r="BL70">
            <v>4.4153225367417281E-2</v>
          </cell>
          <cell r="BM70">
            <v>1.4267498510242449E-2</v>
          </cell>
          <cell r="BN70">
            <v>6.7854531008766816E-2</v>
          </cell>
          <cell r="BO70">
            <v>5.0537841170017472E-3</v>
          </cell>
          <cell r="BP70">
            <v>2.8801177585093374E-2</v>
          </cell>
        </row>
        <row r="71">
          <cell r="A71" t="str">
            <v>Sales (IMS)</v>
          </cell>
          <cell r="C71">
            <v>0.46687800000000002</v>
          </cell>
          <cell r="D71">
            <v>0.58479000000000003</v>
          </cell>
          <cell r="E71">
            <v>0.44071399999999999</v>
          </cell>
          <cell r="F71">
            <v>0.46600399999999997</v>
          </cell>
          <cell r="G71">
            <v>0.60295299999999996</v>
          </cell>
          <cell r="H71">
            <v>1.509671</v>
          </cell>
          <cell r="I71">
            <v>0.48700700000000002</v>
          </cell>
          <cell r="J71">
            <v>0.49916100000000002</v>
          </cell>
          <cell r="K71">
            <v>0.659829</v>
          </cell>
          <cell r="L71">
            <v>1.6459969999999999</v>
          </cell>
          <cell r="M71">
            <v>0.58949600000000002</v>
          </cell>
          <cell r="N71">
            <v>0.74191700000000005</v>
          </cell>
          <cell r="O71">
            <v>0.83697100000000002</v>
          </cell>
          <cell r="P71">
            <v>2.1683840000000001</v>
          </cell>
          <cell r="Q71">
            <v>0.71879499999999996</v>
          </cell>
          <cell r="R71">
            <v>0.80528</v>
          </cell>
          <cell r="S71">
            <v>1.016567</v>
          </cell>
          <cell r="T71">
            <v>2.5406420000000001</v>
          </cell>
          <cell r="U71">
            <v>0.80083300000000002</v>
          </cell>
          <cell r="V71">
            <v>0.99088699999999996</v>
          </cell>
          <cell r="W71">
            <v>1.2324269999999999</v>
          </cell>
          <cell r="X71">
            <v>3.0241469999999997</v>
          </cell>
          <cell r="Y71">
            <v>0.75912199999999996</v>
          </cell>
          <cell r="Z71">
            <v>1.1928259999999999</v>
          </cell>
          <cell r="AA71">
            <v>1.3435440000000001</v>
          </cell>
          <cell r="AB71">
            <v>3.2954919999999999</v>
          </cell>
          <cell r="AC71">
            <v>0.968746</v>
          </cell>
          <cell r="AD71">
            <v>1.054117</v>
          </cell>
          <cell r="AE71">
            <v>1.4126289999999999</v>
          </cell>
          <cell r="AF71">
            <v>3.4354919999999995</v>
          </cell>
          <cell r="AG71">
            <v>0.96362300000000001</v>
          </cell>
          <cell r="AH71">
            <v>0.98783699999999997</v>
          </cell>
          <cell r="AI71">
            <v>1.4168860000000001</v>
          </cell>
          <cell r="AJ71">
            <v>3.3683460000000003</v>
          </cell>
          <cell r="AK71">
            <v>1.1346369999999999</v>
          </cell>
          <cell r="AL71">
            <v>1.1581939999999999</v>
          </cell>
          <cell r="AM71">
            <v>1.555944</v>
          </cell>
          <cell r="AN71">
            <v>3.8487749999999998</v>
          </cell>
          <cell r="AO71">
            <v>1.054943</v>
          </cell>
          <cell r="AP71">
            <v>1.1248039999999999</v>
          </cell>
          <cell r="AQ71">
            <v>1.4472719999999999</v>
          </cell>
          <cell r="AR71">
            <v>3.6270189999999998</v>
          </cell>
          <cell r="AS71">
            <v>1.8391059999999999</v>
          </cell>
          <cell r="AT71">
            <v>1.9034059999999999</v>
          </cell>
          <cell r="AU71">
            <v>2.5414249999999998</v>
          </cell>
          <cell r="AV71">
            <v>6.2839369999999999</v>
          </cell>
          <cell r="AW71">
            <v>2.0044330000000001</v>
          </cell>
          <cell r="AX71">
            <v>2.1913459999999998</v>
          </cell>
          <cell r="AY71">
            <v>2.3780380000000001</v>
          </cell>
          <cell r="AZ71">
            <v>6.573817</v>
          </cell>
          <cell r="BA71">
            <v>1.9749939999999999</v>
          </cell>
          <cell r="BB71">
            <v>1.9394199999999999</v>
          </cell>
          <cell r="BC71">
            <v>2.467546</v>
          </cell>
          <cell r="BD71">
            <v>6.3819599999999994</v>
          </cell>
          <cell r="BE71">
            <v>2.0844149999999999</v>
          </cell>
          <cell r="BF71">
            <v>2.0495519999999998</v>
          </cell>
          <cell r="BG71">
            <v>2.6681159999999999</v>
          </cell>
          <cell r="BH71">
            <v>6.8020829999999997</v>
          </cell>
          <cell r="BI71">
            <v>2.0510199999999998</v>
          </cell>
          <cell r="BJ71">
            <v>2.1615030000000002</v>
          </cell>
          <cell r="BK71">
            <v>2.6538490000000001</v>
          </cell>
          <cell r="BL71">
            <v>6.8663720000000001</v>
          </cell>
          <cell r="BM71">
            <v>1.9196759999999999</v>
          </cell>
          <cell r="BN71">
            <v>2.034033</v>
          </cell>
        </row>
        <row r="72">
          <cell r="A72" t="str">
            <v xml:space="preserve">  % Change</v>
          </cell>
          <cell r="S72">
            <v>0.73834538894303936</v>
          </cell>
          <cell r="U72">
            <v>0.8171262995956563</v>
          </cell>
          <cell r="V72">
            <v>1.1263487008695203</v>
          </cell>
          <cell r="W72">
            <v>1.0439851862417138</v>
          </cell>
          <cell r="X72">
            <v>1.0031828126790536</v>
          </cell>
          <cell r="Y72">
            <v>0.55874966889592947</v>
          </cell>
          <cell r="Z72">
            <v>1.3896618525886435</v>
          </cell>
          <cell r="AA72">
            <v>1.0362002882565031</v>
          </cell>
          <cell r="AC72">
            <v>0.64334618046602521</v>
          </cell>
          <cell r="AD72">
            <v>0.42080178780106126</v>
          </cell>
          <cell r="AE72">
            <v>0.68778727100461046</v>
          </cell>
          <cell r="AF72">
            <v>0.58435590744074828</v>
          </cell>
          <cell r="AG72">
            <v>0.34060893578836815</v>
          </cell>
          <cell r="AH72">
            <v>0.22670002980329818</v>
          </cell>
          <cell r="AI72">
            <v>0.3937949982637643</v>
          </cell>
          <cell r="AJ72">
            <v>0.32578537235864014</v>
          </cell>
          <cell r="AK72">
            <v>0.41682098514921329</v>
          </cell>
          <cell r="AL72">
            <v>0.16884569078007883</v>
          </cell>
          <cell r="AM72">
            <v>0.26250398603730685</v>
          </cell>
          <cell r="AN72">
            <v>0.27268118910886274</v>
          </cell>
          <cell r="AO72">
            <v>0.38968835048911776</v>
          </cell>
          <cell r="AP72">
            <v>-5.7025919958149873E-2</v>
          </cell>
          <cell r="AQ72">
            <v>7.7204765902716854E-2</v>
          </cell>
          <cell r="AR72">
            <v>0.10060015317894866</v>
          </cell>
          <cell r="AS72">
            <v>0.89843983871933397</v>
          </cell>
          <cell r="AT72">
            <v>0.80568760393770322</v>
          </cell>
          <cell r="AU72">
            <v>0.7990746331839429</v>
          </cell>
          <cell r="AV72">
            <v>0.8291228738125429</v>
          </cell>
          <cell r="AW72">
            <v>1.080100827813367</v>
          </cell>
          <cell r="AX72">
            <v>1.2183275175965265</v>
          </cell>
          <cell r="AY72">
            <v>0.67835520994631882</v>
          </cell>
          <cell r="AZ72">
            <v>0.95164540697422395</v>
          </cell>
          <cell r="BA72">
            <v>0.74063951730817879</v>
          </cell>
          <cell r="BB72">
            <v>0.67452084883879548</v>
          </cell>
          <cell r="BC72">
            <v>0.58588355364974576</v>
          </cell>
          <cell r="BD72">
            <v>0.65817955063624134</v>
          </cell>
          <cell r="BE72">
            <v>0.97585556755199088</v>
          </cell>
          <cell r="BF72">
            <v>0.82214145753393475</v>
          </cell>
          <cell r="BG72">
            <v>0.84354841384342416</v>
          </cell>
          <cell r="BH72">
            <v>0.87539216089025174</v>
          </cell>
          <cell r="BI72">
            <v>0.11522663729007454</v>
          </cell>
          <cell r="BJ72">
            <v>0.13559745004481449</v>
          </cell>
          <cell r="BK72">
            <v>4.4236599545530719E-2</v>
          </cell>
          <cell r="BL72">
            <v>9.268632069353977E-2</v>
          </cell>
          <cell r="BM72">
            <v>-4.2284775794451668E-2</v>
          </cell>
          <cell r="BN72">
            <v>-7.1788298150999408E-2</v>
          </cell>
        </row>
        <row r="74">
          <cell r="A74" t="str">
            <v xml:space="preserve">LISINOPRIL </v>
          </cell>
        </row>
        <row r="75">
          <cell r="A75" t="str">
            <v>TRx</v>
          </cell>
          <cell r="AE75">
            <v>2</v>
          </cell>
          <cell r="AF75">
            <v>2</v>
          </cell>
          <cell r="AG75">
            <v>41733</v>
          </cell>
          <cell r="AH75">
            <v>87127</v>
          </cell>
          <cell r="AI75">
            <v>98941</v>
          </cell>
          <cell r="AJ75">
            <v>227801</v>
          </cell>
          <cell r="AK75">
            <v>117067</v>
          </cell>
          <cell r="AL75">
            <v>132881</v>
          </cell>
          <cell r="AM75">
            <v>152292</v>
          </cell>
          <cell r="AN75">
            <v>402240</v>
          </cell>
          <cell r="AO75">
            <v>160919</v>
          </cell>
          <cell r="AP75">
            <v>150190</v>
          </cell>
          <cell r="AQ75">
            <v>171581</v>
          </cell>
          <cell r="AR75">
            <v>482690</v>
          </cell>
          <cell r="AS75">
            <v>169973</v>
          </cell>
          <cell r="AT75">
            <v>180970</v>
          </cell>
          <cell r="AU75">
            <v>187040</v>
          </cell>
          <cell r="AV75">
            <v>537983</v>
          </cell>
          <cell r="AW75">
            <v>191043</v>
          </cell>
          <cell r="AX75">
            <v>189168</v>
          </cell>
          <cell r="AY75">
            <v>190971</v>
          </cell>
          <cell r="AZ75">
            <v>571182</v>
          </cell>
          <cell r="BA75">
            <v>192811</v>
          </cell>
          <cell r="BB75">
            <v>178624</v>
          </cell>
          <cell r="BC75">
            <v>193490</v>
          </cell>
          <cell r="BD75">
            <v>564925</v>
          </cell>
          <cell r="BE75">
            <v>186692</v>
          </cell>
          <cell r="BF75">
            <v>178292</v>
          </cell>
          <cell r="BG75">
            <v>192634</v>
          </cell>
          <cell r="BH75">
            <v>557618</v>
          </cell>
          <cell r="BI75">
            <v>178119</v>
          </cell>
          <cell r="BJ75">
            <v>177513</v>
          </cell>
          <cell r="BK75">
            <v>181438</v>
          </cell>
          <cell r="BL75">
            <v>537070</v>
          </cell>
          <cell r="BM75">
            <v>182171</v>
          </cell>
          <cell r="BN75">
            <v>179416</v>
          </cell>
          <cell r="BO75">
            <v>172708</v>
          </cell>
          <cell r="BP75">
            <v>534295</v>
          </cell>
        </row>
        <row r="76">
          <cell r="A76" t="str">
            <v xml:space="preserve">  % Change</v>
          </cell>
          <cell r="AV76">
            <v>0</v>
          </cell>
          <cell r="AW76">
            <v>3.5777442311839556</v>
          </cell>
          <cell r="AX76">
            <v>1.1711754106075039</v>
          </cell>
          <cell r="AY76">
            <v>0.93015029158791607</v>
          </cell>
          <cell r="AZ76">
            <v>1.5073726629821644</v>
          </cell>
          <cell r="BA76">
            <v>0.64701410303501405</v>
          </cell>
          <cell r="BB76">
            <v>0.34424033533763287</v>
          </cell>
          <cell r="BC76">
            <v>0.2705197909279542</v>
          </cell>
          <cell r="BD76">
            <v>0.40444759347653148</v>
          </cell>
          <cell r="BE76">
            <v>0.16016132339872846</v>
          </cell>
          <cell r="BF76">
            <v>0.18710966109594507</v>
          </cell>
          <cell r="BG76">
            <v>0.12270006585810789</v>
          </cell>
          <cell r="BH76">
            <v>0.15523006484493163</v>
          </cell>
          <cell r="BI76">
            <v>4.7925258717560926E-2</v>
          </cell>
          <cell r="BJ76">
            <v>-1.9102613692877246E-2</v>
          </cell>
          <cell r="BK76">
            <v>-2.9950812660393455E-2</v>
          </cell>
          <cell r="BL76">
            <v>-1.6970796474981009E-3</v>
          </cell>
          <cell r="BM76">
            <v>-4.6439806745078305E-2</v>
          </cell>
          <cell r="BN76">
            <v>-5.1552059544954787E-2</v>
          </cell>
          <cell r="BO76">
            <v>-9.563232113776432E-2</v>
          </cell>
          <cell r="BP76">
            <v>-6.4580116320192116E-2</v>
          </cell>
        </row>
        <row r="77">
          <cell r="A77" t="str">
            <v>NRx</v>
          </cell>
          <cell r="AE77">
            <v>0</v>
          </cell>
          <cell r="AF77">
            <v>0</v>
          </cell>
          <cell r="AG77">
            <v>17033</v>
          </cell>
          <cell r="AH77">
            <v>30983</v>
          </cell>
          <cell r="AI77">
            <v>30971</v>
          </cell>
          <cell r="AJ77">
            <v>78987</v>
          </cell>
          <cell r="AK77">
            <v>35722</v>
          </cell>
          <cell r="AL77">
            <v>40540</v>
          </cell>
          <cell r="AM77">
            <v>44939</v>
          </cell>
          <cell r="AN77">
            <v>121201</v>
          </cell>
          <cell r="AO77">
            <v>48042</v>
          </cell>
          <cell r="AP77">
            <v>44045</v>
          </cell>
          <cell r="AQ77">
            <v>49682</v>
          </cell>
          <cell r="AR77">
            <v>141769</v>
          </cell>
          <cell r="AS77">
            <v>48289</v>
          </cell>
          <cell r="AT77">
            <v>51926</v>
          </cell>
          <cell r="AU77">
            <v>53462</v>
          </cell>
          <cell r="AV77">
            <v>153677</v>
          </cell>
          <cell r="AW77">
            <v>53448</v>
          </cell>
          <cell r="AX77">
            <v>52190</v>
          </cell>
          <cell r="AY77">
            <v>53521</v>
          </cell>
          <cell r="AZ77">
            <v>159159</v>
          </cell>
          <cell r="BA77">
            <v>55211</v>
          </cell>
          <cell r="BB77">
            <v>50362</v>
          </cell>
          <cell r="BC77">
            <v>53723</v>
          </cell>
          <cell r="BD77">
            <v>159296</v>
          </cell>
          <cell r="BE77">
            <v>52690</v>
          </cell>
          <cell r="BF77">
            <v>49624</v>
          </cell>
          <cell r="BG77">
            <v>54649</v>
          </cell>
          <cell r="BH77">
            <v>156963</v>
          </cell>
          <cell r="BI77">
            <v>50865</v>
          </cell>
          <cell r="BJ77">
            <v>48968</v>
          </cell>
          <cell r="BK77">
            <v>50290</v>
          </cell>
          <cell r="BL77">
            <v>150123</v>
          </cell>
          <cell r="BM77">
            <v>49441</v>
          </cell>
          <cell r="BN77">
            <v>49444</v>
          </cell>
          <cell r="BO77">
            <v>48672</v>
          </cell>
          <cell r="BP77">
            <v>147557</v>
          </cell>
        </row>
        <row r="78">
          <cell r="A78" t="str">
            <v xml:space="preserve">  % Change</v>
          </cell>
          <cell r="AV78">
            <v>0</v>
          </cell>
          <cell r="AW78">
            <v>2.1379087653378734</v>
          </cell>
          <cell r="AX78">
            <v>0.68447212987767481</v>
          </cell>
          <cell r="AY78">
            <v>0.72810048109521808</v>
          </cell>
          <cell r="AZ78">
            <v>1.0150024687606822</v>
          </cell>
          <cell r="BA78">
            <v>0.54557415598230774</v>
          </cell>
          <cell r="BB78">
            <v>0.24227923038973853</v>
          </cell>
          <cell r="BC78">
            <v>0.195464963617348</v>
          </cell>
          <cell r="BD78">
            <v>0.31431258817996555</v>
          </cell>
          <cell r="BE78">
            <v>9.6748678239873431E-2</v>
          </cell>
          <cell r="BF78">
            <v>0.126665909864911</v>
          </cell>
          <cell r="BG78">
            <v>9.9975846382995837E-2</v>
          </cell>
          <cell r="BH78">
            <v>0.10717434700110751</v>
          </cell>
          <cell r="BI78">
            <v>5.3345482408001743E-2</v>
          </cell>
          <cell r="BJ78">
            <v>-5.696568193198015E-2</v>
          </cell>
          <cell r="BK78">
            <v>-5.9331861883206716E-2</v>
          </cell>
          <cell r="BL78">
            <v>-2.3126427507043967E-2</v>
          </cell>
          <cell r="BM78">
            <v>-7.4970064361622457E-2</v>
          </cell>
          <cell r="BN78">
            <v>-5.2615443571565446E-2</v>
          </cell>
          <cell r="BO78">
            <v>-9.0599951420937574E-2</v>
          </cell>
          <cell r="BP78">
            <v>-7.2895657801318126E-2</v>
          </cell>
        </row>
        <row r="79">
          <cell r="A79" t="str">
            <v>Sales (IMS)</v>
          </cell>
          <cell r="AE79">
            <v>7.5719999999999996E-2</v>
          </cell>
          <cell r="AF79">
            <v>7.5719999999999996E-2</v>
          </cell>
          <cell r="AG79">
            <v>1.4175519999999999</v>
          </cell>
          <cell r="AH79">
            <v>1.965015</v>
          </cell>
          <cell r="AI79">
            <v>2.4919570000000002</v>
          </cell>
          <cell r="AJ79">
            <v>5.8745240000000001</v>
          </cell>
          <cell r="AK79">
            <v>2.5849120000000001</v>
          </cell>
          <cell r="AL79">
            <v>3.0969820000000001</v>
          </cell>
          <cell r="AM79">
            <v>3.8558629999999998</v>
          </cell>
          <cell r="AN79">
            <v>9.5377569999999992</v>
          </cell>
          <cell r="AO79">
            <v>3.0596939999999999</v>
          </cell>
          <cell r="AP79">
            <v>2.8882750000000001</v>
          </cell>
          <cell r="AQ79">
            <v>3.8525960000000001</v>
          </cell>
          <cell r="AR79">
            <v>9.8005650000000006</v>
          </cell>
          <cell r="AS79">
            <v>1.824376</v>
          </cell>
          <cell r="AT79">
            <v>2.2522739999999999</v>
          </cell>
          <cell r="AU79">
            <v>2.130814</v>
          </cell>
          <cell r="AV79">
            <v>6.2074639999999999</v>
          </cell>
          <cell r="AW79">
            <v>1.8552409999999999</v>
          </cell>
          <cell r="AX79">
            <v>1.5880069999999999</v>
          </cell>
          <cell r="AY79">
            <v>1.2018089999999999</v>
          </cell>
          <cell r="AZ79">
            <v>4.6450569999999995</v>
          </cell>
          <cell r="BA79">
            <v>1.57304</v>
          </cell>
          <cell r="BB79">
            <v>1.5708979999999999</v>
          </cell>
          <cell r="BC79">
            <v>1.899624</v>
          </cell>
          <cell r="BD79">
            <v>5.0435619999999997</v>
          </cell>
          <cell r="BE79">
            <v>1.532376</v>
          </cell>
          <cell r="BF79">
            <v>1.6674599999999999</v>
          </cell>
          <cell r="BG79">
            <v>1.6716249999999999</v>
          </cell>
          <cell r="BH79">
            <v>4.871461</v>
          </cell>
          <cell r="BI79">
            <v>1.209406</v>
          </cell>
          <cell r="BJ79">
            <v>1.215222</v>
          </cell>
          <cell r="BK79">
            <v>1.535517</v>
          </cell>
          <cell r="BL79">
            <v>3.9601450000000002</v>
          </cell>
          <cell r="BM79">
            <v>1.300621</v>
          </cell>
          <cell r="BN79">
            <v>1.218164</v>
          </cell>
        </row>
        <row r="80">
          <cell r="A80" t="str">
            <v xml:space="preserve">  % Change</v>
          </cell>
          <cell r="AV80">
            <v>0</v>
          </cell>
          <cell r="AW80">
            <v>0.30876398185040133</v>
          </cell>
          <cell r="AX80">
            <v>-0.19186011302712702</v>
          </cell>
          <cell r="AY80">
            <v>-0.51772482430475331</v>
          </cell>
          <cell r="AZ80">
            <v>-0.20928793549911462</v>
          </cell>
          <cell r="BA80">
            <v>-0.39145317132652879</v>
          </cell>
          <cell r="BB80">
            <v>-0.49276489175590954</v>
          </cell>
          <cell r="BC80">
            <v>-0.50734141747256056</v>
          </cell>
          <cell r="BD80">
            <v>-0.47120040906892469</v>
          </cell>
          <cell r="BE80">
            <v>-0.49917344675644038</v>
          </cell>
          <cell r="BF80">
            <v>-0.42267962711306928</v>
          </cell>
          <cell r="BG80">
            <v>-0.56610425801200026</v>
          </cell>
          <cell r="BH80">
            <v>-0.50294079984164175</v>
          </cell>
          <cell r="BI80">
            <v>-0.33708511841857158</v>
          </cell>
          <cell r="BJ80">
            <v>-0.46044664192722551</v>
          </cell>
          <cell r="BK80">
            <v>-0.27937539362891362</v>
          </cell>
          <cell r="BL80">
            <v>-0.36203496307026506</v>
          </cell>
          <cell r="BM80">
            <v>-0.29894768388581316</v>
          </cell>
          <cell r="BN80">
            <v>-0.23289758798292448</v>
          </cell>
        </row>
        <row r="82">
          <cell r="A82" t="str">
            <v xml:space="preserve">METFORMIN HCL </v>
          </cell>
        </row>
        <row r="83">
          <cell r="A83" t="str">
            <v>TRx</v>
          </cell>
          <cell r="Y83">
            <v>271</v>
          </cell>
          <cell r="Z83">
            <v>105961</v>
          </cell>
          <cell r="AA83">
            <v>197343</v>
          </cell>
          <cell r="AB83">
            <v>303575</v>
          </cell>
          <cell r="AC83">
            <v>210918</v>
          </cell>
          <cell r="AD83">
            <v>214265</v>
          </cell>
          <cell r="AE83">
            <v>199987</v>
          </cell>
          <cell r="AF83">
            <v>625170</v>
          </cell>
          <cell r="AG83">
            <v>204918</v>
          </cell>
          <cell r="AH83">
            <v>202567</v>
          </cell>
          <cell r="AI83">
            <v>194570</v>
          </cell>
          <cell r="AJ83">
            <v>602055</v>
          </cell>
          <cell r="AK83">
            <v>214711</v>
          </cell>
          <cell r="AL83">
            <v>205450</v>
          </cell>
          <cell r="AM83">
            <v>226404</v>
          </cell>
          <cell r="AN83">
            <v>646565</v>
          </cell>
          <cell r="AO83">
            <v>235925</v>
          </cell>
          <cell r="AP83">
            <v>210557</v>
          </cell>
          <cell r="AQ83">
            <v>234623</v>
          </cell>
          <cell r="AR83">
            <v>681105</v>
          </cell>
          <cell r="AS83">
            <v>237759</v>
          </cell>
          <cell r="AT83">
            <v>209414</v>
          </cell>
          <cell r="AU83">
            <v>164506</v>
          </cell>
          <cell r="AV83">
            <v>611679</v>
          </cell>
          <cell r="AW83">
            <v>187908</v>
          </cell>
          <cell r="AX83">
            <v>185280</v>
          </cell>
          <cell r="AY83">
            <v>189349</v>
          </cell>
          <cell r="AZ83">
            <v>562537</v>
          </cell>
          <cell r="BA83">
            <v>192558</v>
          </cell>
          <cell r="BB83">
            <v>174794</v>
          </cell>
          <cell r="BC83">
            <v>195784</v>
          </cell>
          <cell r="BD83">
            <v>563136</v>
          </cell>
          <cell r="BE83">
            <v>188646</v>
          </cell>
          <cell r="BF83">
            <v>181514</v>
          </cell>
          <cell r="BG83">
            <v>202408</v>
          </cell>
          <cell r="BH83">
            <v>572568</v>
          </cell>
          <cell r="BI83">
            <v>196679</v>
          </cell>
          <cell r="BJ83">
            <v>195000</v>
          </cell>
          <cell r="BK83">
            <v>199736</v>
          </cell>
          <cell r="BL83">
            <v>591415</v>
          </cell>
          <cell r="BM83">
            <v>198054</v>
          </cell>
          <cell r="BN83">
            <v>200122</v>
          </cell>
          <cell r="BO83">
            <v>196287</v>
          </cell>
          <cell r="BP83">
            <v>594463</v>
          </cell>
        </row>
        <row r="84">
          <cell r="A84" t="str">
            <v xml:space="preserve">  % Change</v>
          </cell>
          <cell r="AP84">
            <v>0.98711790186955573</v>
          </cell>
          <cell r="AQ84">
            <v>0.18890966489817229</v>
          </cell>
          <cell r="AR84">
            <v>1.2436136045458288</v>
          </cell>
          <cell r="AS84">
            <v>0.12725798651608677</v>
          </cell>
          <cell r="AT84">
            <v>-2.2640188551560025E-2</v>
          </cell>
          <cell r="AU84">
            <v>-0.17741653207458485</v>
          </cell>
          <cell r="AV84">
            <v>-2.1579730313354806E-2</v>
          </cell>
          <cell r="AW84">
            <v>-8.3008813281410077E-2</v>
          </cell>
          <cell r="AX84">
            <v>-8.5339665394659536E-2</v>
          </cell>
          <cell r="AY84">
            <v>-2.6833530348974621E-2</v>
          </cell>
          <cell r="AZ84">
            <v>-6.5638521397546779E-2</v>
          </cell>
          <cell r="BA84">
            <v>-0.10317589690327933</v>
          </cell>
          <cell r="BB84">
            <v>-0.1492139206619616</v>
          </cell>
          <cell r="BC84">
            <v>-0.13524496033638977</v>
          </cell>
          <cell r="BD84">
            <v>-0.12903420383101472</v>
          </cell>
          <cell r="BE84">
            <v>-0.20039843170499094</v>
          </cell>
          <cell r="BF84">
            <v>-0.1379341460982062</v>
          </cell>
          <cell r="BG84">
            <v>-0.13730537926801722</v>
          </cell>
          <cell r="BH84">
            <v>-0.15935428458167245</v>
          </cell>
          <cell r="BI84">
            <v>-0.17277999991588122</v>
          </cell>
          <cell r="BJ84">
            <v>-6.8830164172404951E-2</v>
          </cell>
          <cell r="BK84">
            <v>0.21415632256574235</v>
          </cell>
          <cell r="BL84">
            <v>-3.3128487327503509E-2</v>
          </cell>
          <cell r="BM84">
            <v>5.3994507950699377E-2</v>
          </cell>
          <cell r="BN84">
            <v>8.0105785837651045E-2</v>
          </cell>
          <cell r="BO84">
            <v>3.6641334255792302E-2</v>
          </cell>
          <cell r="BP84">
            <v>5.6753600207630761E-2</v>
          </cell>
        </row>
        <row r="85">
          <cell r="A85" t="str">
            <v>NRx</v>
          </cell>
          <cell r="Y85">
            <v>204</v>
          </cell>
          <cell r="Z85">
            <v>59234</v>
          </cell>
          <cell r="AA85">
            <v>81910</v>
          </cell>
          <cell r="AB85">
            <v>141348</v>
          </cell>
          <cell r="AC85">
            <v>76480</v>
          </cell>
          <cell r="AD85">
            <v>72957</v>
          </cell>
          <cell r="AE85">
            <v>64227</v>
          </cell>
          <cell r="AF85">
            <v>213664</v>
          </cell>
          <cell r="AG85">
            <v>65675</v>
          </cell>
          <cell r="AH85">
            <v>65370</v>
          </cell>
          <cell r="AI85">
            <v>63163</v>
          </cell>
          <cell r="AJ85">
            <v>194208</v>
          </cell>
          <cell r="AK85">
            <v>71095</v>
          </cell>
          <cell r="AL85">
            <v>65470</v>
          </cell>
          <cell r="AM85">
            <v>71167</v>
          </cell>
          <cell r="AN85">
            <v>207732</v>
          </cell>
          <cell r="AO85">
            <v>78145</v>
          </cell>
          <cell r="AP85">
            <v>69883</v>
          </cell>
          <cell r="AQ85">
            <v>78732</v>
          </cell>
          <cell r="AR85">
            <v>226760</v>
          </cell>
          <cell r="AS85">
            <v>79655</v>
          </cell>
          <cell r="AT85">
            <v>65503</v>
          </cell>
          <cell r="AU85">
            <v>48578</v>
          </cell>
          <cell r="AV85">
            <v>193736</v>
          </cell>
          <cell r="AW85">
            <v>62424</v>
          </cell>
          <cell r="AX85">
            <v>60040</v>
          </cell>
          <cell r="AY85">
            <v>61851</v>
          </cell>
          <cell r="AZ85">
            <v>184315</v>
          </cell>
          <cell r="BA85">
            <v>63906</v>
          </cell>
          <cell r="BB85">
            <v>55237</v>
          </cell>
          <cell r="BC85">
            <v>66535</v>
          </cell>
          <cell r="BD85">
            <v>185678</v>
          </cell>
          <cell r="BE85">
            <v>62509</v>
          </cell>
          <cell r="BF85">
            <v>61226</v>
          </cell>
          <cell r="BG85">
            <v>68868</v>
          </cell>
          <cell r="BH85">
            <v>192603</v>
          </cell>
          <cell r="BI85">
            <v>67214</v>
          </cell>
          <cell r="BJ85">
            <v>64606</v>
          </cell>
          <cell r="BK85">
            <v>67164</v>
          </cell>
          <cell r="BL85">
            <v>198984</v>
          </cell>
          <cell r="BM85">
            <v>65501</v>
          </cell>
          <cell r="BN85">
            <v>67371</v>
          </cell>
          <cell r="BO85">
            <v>66385</v>
          </cell>
          <cell r="BP85">
            <v>199257</v>
          </cell>
        </row>
        <row r="86">
          <cell r="A86" t="str">
            <v xml:space="preserve">  % Change</v>
          </cell>
          <cell r="AP86">
            <v>0.17977850558800679</v>
          </cell>
          <cell r="AQ86">
            <v>-3.8798681479672803E-2</v>
          </cell>
          <cell r="AR86">
            <v>0.60426748167642974</v>
          </cell>
          <cell r="AS86">
            <v>4.151412133891208E-2</v>
          </cell>
          <cell r="AT86">
            <v>-0.10216977123511106</v>
          </cell>
          <cell r="AU86">
            <v>-0.24365142385601068</v>
          </cell>
          <cell r="AV86">
            <v>-9.3267934701213084E-2</v>
          </cell>
          <cell r="AW86">
            <v>-4.9501332318233726E-2</v>
          </cell>
          <cell r="AX86">
            <v>-8.1535872724491365E-2</v>
          </cell>
          <cell r="AY86">
            <v>-2.0771654291278141E-2</v>
          </cell>
          <cell r="AZ86">
            <v>-5.0940229032789608E-2</v>
          </cell>
          <cell r="BA86">
            <v>-0.1011182220971939</v>
          </cell>
          <cell r="BB86">
            <v>-0.15630059569268362</v>
          </cell>
          <cell r="BC86">
            <v>-6.5086346199783596E-2</v>
          </cell>
          <cell r="BD86">
            <v>-0.1061656364931739</v>
          </cell>
          <cell r="BE86">
            <v>-0.20008957706827057</v>
          </cell>
          <cell r="BF86">
            <v>-0.12387848260664258</v>
          </cell>
          <cell r="BG86">
            <v>-0.12528577960676723</v>
          </cell>
          <cell r="BH86">
            <v>-0.15063062268477689</v>
          </cell>
          <cell r="BI86">
            <v>-0.15618605235076266</v>
          </cell>
          <cell r="BJ86">
            <v>-1.3694029281101638E-2</v>
          </cell>
          <cell r="BK86">
            <v>0.38260117748775158</v>
          </cell>
          <cell r="BL86">
            <v>2.7088408968906075E-2</v>
          </cell>
          <cell r="BM86">
            <v>4.929193899782125E-2</v>
          </cell>
          <cell r="BN86">
            <v>0.12210193204530317</v>
          </cell>
          <cell r="BO86">
            <v>7.3305201209358017E-2</v>
          </cell>
          <cell r="BP86">
            <v>8.1067737297561226E-2</v>
          </cell>
        </row>
        <row r="87">
          <cell r="A87" t="str">
            <v>Sales (IMS)</v>
          </cell>
          <cell r="Y87">
            <v>1.931206</v>
          </cell>
          <cell r="Z87">
            <v>6.1407489999999996</v>
          </cell>
          <cell r="AA87">
            <v>3.3663590000000001</v>
          </cell>
          <cell r="AB87">
            <v>11.438313999999998</v>
          </cell>
          <cell r="AC87">
            <v>2.3441459999999998</v>
          </cell>
          <cell r="AD87">
            <v>2.216825</v>
          </cell>
          <cell r="AE87">
            <v>2.5126059999999999</v>
          </cell>
          <cell r="AF87">
            <v>7.0735770000000002</v>
          </cell>
          <cell r="AG87">
            <v>1.7955680000000001</v>
          </cell>
          <cell r="AH87">
            <v>1.6865950000000001</v>
          </cell>
          <cell r="AI87">
            <v>1.8678189999999999</v>
          </cell>
          <cell r="AJ87">
            <v>5.3499819999999998</v>
          </cell>
          <cell r="AK87">
            <v>1.8261879999999999</v>
          </cell>
          <cell r="AL87">
            <v>1.7422610000000001</v>
          </cell>
          <cell r="AM87">
            <v>2.4404750000000002</v>
          </cell>
          <cell r="AN87">
            <v>6.0089240000000004</v>
          </cell>
          <cell r="AO87">
            <v>1.939802</v>
          </cell>
          <cell r="AP87">
            <v>1.4210130000000001</v>
          </cell>
          <cell r="AQ87">
            <v>2.9435229999999999</v>
          </cell>
          <cell r="AR87">
            <v>6.3043380000000004</v>
          </cell>
          <cell r="AS87">
            <v>1.59375</v>
          </cell>
          <cell r="AT87">
            <v>0.69788399999999995</v>
          </cell>
          <cell r="AU87">
            <v>0.93242499999999995</v>
          </cell>
          <cell r="AV87">
            <v>3.224059</v>
          </cell>
          <cell r="AW87">
            <v>1.063423</v>
          </cell>
          <cell r="AX87">
            <v>1.1294690000000001</v>
          </cell>
          <cell r="AY87">
            <v>1.2018089999999999</v>
          </cell>
          <cell r="AZ87">
            <v>3.394701</v>
          </cell>
          <cell r="BA87">
            <v>1.8646180000000001</v>
          </cell>
          <cell r="BB87">
            <v>2.2973910000000002</v>
          </cell>
          <cell r="BC87">
            <v>9.5534250000000007</v>
          </cell>
          <cell r="BD87">
            <v>13.715434000000002</v>
          </cell>
          <cell r="BE87">
            <v>5.4548430000000003</v>
          </cell>
          <cell r="BF87">
            <v>5.5676839999999999</v>
          </cell>
          <cell r="BG87">
            <v>8.3058460000000007</v>
          </cell>
          <cell r="BH87">
            <v>19.328372999999999</v>
          </cell>
          <cell r="BI87">
            <v>6.147189</v>
          </cell>
          <cell r="BJ87">
            <v>6.3320230000000004</v>
          </cell>
          <cell r="BK87">
            <v>6.6926249999999996</v>
          </cell>
          <cell r="BL87">
            <v>19.171837</v>
          </cell>
          <cell r="BM87">
            <v>3.8428460000000002</v>
          </cell>
          <cell r="BN87">
            <v>1.870285</v>
          </cell>
        </row>
        <row r="88">
          <cell r="A88" t="str">
            <v xml:space="preserve">  % Change</v>
          </cell>
          <cell r="AO88">
            <v>4.451104646526538E-3</v>
          </cell>
          <cell r="AP88">
            <v>-0.76859288663321035</v>
          </cell>
          <cell r="AQ88">
            <v>-0.12560633016264755</v>
          </cell>
          <cell r="AR88">
            <v>-0.44884027488666589</v>
          </cell>
          <cell r="AS88">
            <v>-0.32011487339099176</v>
          </cell>
          <cell r="AT88">
            <v>-0.68518759938199914</v>
          </cell>
          <cell r="AU88">
            <v>-0.62890122844568541</v>
          </cell>
          <cell r="AV88">
            <v>-0.54421094164946537</v>
          </cell>
          <cell r="AW88">
            <v>-0.40775119627883771</v>
          </cell>
          <cell r="AX88">
            <v>-0.33032589329388506</v>
          </cell>
          <cell r="AY88">
            <v>-0.35657095253876314</v>
          </cell>
          <cell r="AZ88">
            <v>-0.36547431374535466</v>
          </cell>
          <cell r="BA88">
            <v>2.1043835574431569E-2</v>
          </cell>
          <cell r="BB88">
            <v>0.31862619894493416</v>
          </cell>
          <cell r="BC88">
            <v>2.914576055890759</v>
          </cell>
          <cell r="BD88">
            <v>1.2825108122519109</v>
          </cell>
          <cell r="BE88">
            <v>1.812061746508149</v>
          </cell>
          <cell r="BF88">
            <v>2.918109123561853</v>
          </cell>
          <cell r="BG88">
            <v>1.8217364022635465</v>
          </cell>
          <cell r="BH88">
            <v>2.0658846337236358</v>
          </cell>
          <cell r="BI88">
            <v>2.8570597647058822</v>
          </cell>
          <cell r="BJ88">
            <v>8.0731740518481594</v>
          </cell>
          <cell r="BK88">
            <v>6.1776550392792986</v>
          </cell>
          <cell r="BL88">
            <v>4.9464907435006618</v>
          </cell>
          <cell r="BM88">
            <v>2.6136570301751987</v>
          </cell>
          <cell r="BN88">
            <v>0.65589759435628592</v>
          </cell>
        </row>
        <row r="89">
          <cell r="A89" t="str">
            <v>Product</v>
          </cell>
          <cell r="C89">
            <v>36739</v>
          </cell>
          <cell r="D89">
            <v>36770</v>
          </cell>
          <cell r="E89">
            <v>36800</v>
          </cell>
          <cell r="F89">
            <v>36831</v>
          </cell>
          <cell r="G89">
            <v>36861</v>
          </cell>
          <cell r="H89" t="str">
            <v>Q4:00</v>
          </cell>
          <cell r="I89">
            <v>36892</v>
          </cell>
          <cell r="J89">
            <v>36923</v>
          </cell>
          <cell r="K89">
            <v>36951</v>
          </cell>
          <cell r="L89" t="str">
            <v>Q1:01</v>
          </cell>
          <cell r="M89">
            <v>36982</v>
          </cell>
          <cell r="N89">
            <v>37012</v>
          </cell>
          <cell r="O89">
            <v>37043</v>
          </cell>
          <cell r="P89" t="str">
            <v>Q2:01</v>
          </cell>
          <cell r="Q89">
            <v>37073</v>
          </cell>
          <cell r="R89">
            <v>37104</v>
          </cell>
          <cell r="S89">
            <v>37135</v>
          </cell>
          <cell r="T89" t="str">
            <v>Q3:01</v>
          </cell>
          <cell r="U89">
            <v>37165</v>
          </cell>
          <cell r="V89">
            <v>37196</v>
          </cell>
          <cell r="W89">
            <v>37226</v>
          </cell>
          <cell r="X89" t="str">
            <v>Q4:01</v>
          </cell>
          <cell r="Y89">
            <v>37257</v>
          </cell>
          <cell r="Z89">
            <v>37288</v>
          </cell>
          <cell r="AA89">
            <v>37316</v>
          </cell>
          <cell r="AB89" t="str">
            <v>Q1:02</v>
          </cell>
          <cell r="AC89">
            <v>37347</v>
          </cell>
          <cell r="AD89">
            <v>37377</v>
          </cell>
          <cell r="AE89">
            <v>37408</v>
          </cell>
          <cell r="AF89" t="str">
            <v>Q2:02</v>
          </cell>
          <cell r="AG89">
            <v>37438</v>
          </cell>
          <cell r="AH89">
            <v>37469</v>
          </cell>
          <cell r="AI89">
            <v>37500</v>
          </cell>
          <cell r="AJ89" t="str">
            <v>Q3:02</v>
          </cell>
          <cell r="AK89">
            <v>37530</v>
          </cell>
          <cell r="AL89">
            <v>37561</v>
          </cell>
          <cell r="AM89">
            <v>37591</v>
          </cell>
          <cell r="AN89" t="str">
            <v>Q4:02</v>
          </cell>
          <cell r="AO89">
            <v>37622</v>
          </cell>
          <cell r="AP89">
            <v>37653</v>
          </cell>
          <cell r="AQ89">
            <v>37681</v>
          </cell>
          <cell r="AR89" t="str">
            <v>Q1:03</v>
          </cell>
          <cell r="AS89">
            <v>37712</v>
          </cell>
          <cell r="AT89">
            <v>37742</v>
          </cell>
          <cell r="AU89">
            <v>37773</v>
          </cell>
          <cell r="AV89" t="str">
            <v>Q2:03</v>
          </cell>
          <cell r="AW89">
            <v>37803</v>
          </cell>
          <cell r="AX89">
            <v>37834</v>
          </cell>
          <cell r="AY89">
            <v>37865</v>
          </cell>
          <cell r="AZ89" t="str">
            <v>Q3:03</v>
          </cell>
          <cell r="BA89">
            <v>37895</v>
          </cell>
          <cell r="BB89">
            <v>37926</v>
          </cell>
          <cell r="BC89">
            <v>37956</v>
          </cell>
          <cell r="BD89" t="str">
            <v>Q4:03</v>
          </cell>
          <cell r="BE89">
            <v>37987</v>
          </cell>
          <cell r="BF89">
            <v>38018</v>
          </cell>
          <cell r="BG89">
            <v>38047</v>
          </cell>
          <cell r="BH89" t="str">
            <v>Q1:04</v>
          </cell>
          <cell r="BI89">
            <v>38078</v>
          </cell>
          <cell r="BJ89">
            <v>38108</v>
          </cell>
          <cell r="BK89">
            <v>38139</v>
          </cell>
          <cell r="BL89" t="str">
            <v>Q2:04</v>
          </cell>
          <cell r="BM89">
            <v>38169</v>
          </cell>
          <cell r="BN89">
            <v>38200</v>
          </cell>
          <cell r="BO89">
            <v>38231</v>
          </cell>
          <cell r="BP89" t="str">
            <v>Q3:04E</v>
          </cell>
        </row>
        <row r="90">
          <cell r="A90" t="str">
            <v>METFORMIN ER</v>
          </cell>
        </row>
        <row r="91">
          <cell r="A91" t="str">
            <v>TRx</v>
          </cell>
          <cell r="BC91">
            <v>193135</v>
          </cell>
          <cell r="BD91">
            <v>193135</v>
          </cell>
          <cell r="BE91">
            <v>313673</v>
          </cell>
          <cell r="BF91">
            <v>312411</v>
          </cell>
          <cell r="BG91">
            <v>359395</v>
          </cell>
          <cell r="BH91">
            <v>985479</v>
          </cell>
          <cell r="BI91">
            <v>351036</v>
          </cell>
          <cell r="BJ91">
            <v>352192</v>
          </cell>
          <cell r="BK91">
            <v>365306</v>
          </cell>
          <cell r="BL91">
            <v>1068534</v>
          </cell>
          <cell r="BM91">
            <v>339351</v>
          </cell>
          <cell r="BN91">
            <v>298172</v>
          </cell>
          <cell r="BO91">
            <v>271353</v>
          </cell>
          <cell r="BP91">
            <v>908876</v>
          </cell>
        </row>
        <row r="92">
          <cell r="A92" t="str">
            <v xml:space="preserve">  % Change</v>
          </cell>
        </row>
        <row r="93">
          <cell r="A93" t="str">
            <v>NRx</v>
          </cell>
          <cell r="BC93">
            <v>116360</v>
          </cell>
          <cell r="BD93">
            <v>116360</v>
          </cell>
          <cell r="BE93">
            <v>141483</v>
          </cell>
          <cell r="BF93">
            <v>125125</v>
          </cell>
          <cell r="BG93">
            <v>132993</v>
          </cell>
          <cell r="BH93">
            <v>399601</v>
          </cell>
          <cell r="BI93">
            <v>123655</v>
          </cell>
          <cell r="BJ93">
            <v>119357</v>
          </cell>
          <cell r="BK93">
            <v>123604</v>
          </cell>
          <cell r="BL93">
            <v>366616</v>
          </cell>
          <cell r="BM93">
            <v>106956</v>
          </cell>
          <cell r="BN93">
            <v>91436</v>
          </cell>
          <cell r="BO93">
            <v>84989</v>
          </cell>
          <cell r="BP93">
            <v>283381</v>
          </cell>
        </row>
        <row r="94">
          <cell r="A94" t="str">
            <v xml:space="preserve">  % Change</v>
          </cell>
        </row>
        <row r="95">
          <cell r="A95" t="str">
            <v>Sales (IMS)</v>
          </cell>
          <cell r="BC95">
            <v>10.821025000000001</v>
          </cell>
          <cell r="BD95">
            <v>10.821025000000001</v>
          </cell>
          <cell r="BE95">
            <v>7.9312319999999996</v>
          </cell>
          <cell r="BF95">
            <v>8.5948589999999996</v>
          </cell>
          <cell r="BG95">
            <v>11.734403</v>
          </cell>
          <cell r="BH95">
            <v>28.260494000000001</v>
          </cell>
          <cell r="BI95">
            <v>8.9593279999999993</v>
          </cell>
          <cell r="BJ95">
            <v>9.3179879999999997</v>
          </cell>
          <cell r="BK95">
            <v>9.9564939999999993</v>
          </cell>
          <cell r="BL95">
            <v>28.233809999999998</v>
          </cell>
          <cell r="BM95">
            <v>5.3954459999999997</v>
          </cell>
          <cell r="BN95">
            <v>4.32822</v>
          </cell>
        </row>
        <row r="96">
          <cell r="A96" t="str">
            <v xml:space="preserve">  % Change</v>
          </cell>
        </row>
        <row r="98">
          <cell r="A98" t="str">
            <v>GLYBURIDE/METFORMIN</v>
          </cell>
        </row>
        <row r="99">
          <cell r="A99" t="str">
            <v>TRx</v>
          </cell>
          <cell r="BJ99">
            <v>169593</v>
          </cell>
          <cell r="BK99">
            <v>306884</v>
          </cell>
          <cell r="BL99">
            <v>476477</v>
          </cell>
          <cell r="BM99">
            <v>320843</v>
          </cell>
          <cell r="BN99">
            <v>300583</v>
          </cell>
          <cell r="BO99">
            <v>280111</v>
          </cell>
          <cell r="BP99">
            <v>901537</v>
          </cell>
        </row>
        <row r="100">
          <cell r="A100" t="str">
            <v xml:space="preserve">  % Change</v>
          </cell>
        </row>
        <row r="101">
          <cell r="A101" t="str">
            <v>NRx</v>
          </cell>
          <cell r="BJ101">
            <v>105089</v>
          </cell>
          <cell r="BK101">
            <v>148578</v>
          </cell>
          <cell r="BL101">
            <v>253667</v>
          </cell>
          <cell r="BM101">
            <v>126288</v>
          </cell>
          <cell r="BN101">
            <v>103740</v>
          </cell>
          <cell r="BO101">
            <v>93003</v>
          </cell>
          <cell r="BP101">
            <v>323031</v>
          </cell>
        </row>
        <row r="102">
          <cell r="A102" t="str">
            <v xml:space="preserve">  % Change</v>
          </cell>
        </row>
        <row r="103">
          <cell r="A103" t="str">
            <v>Sales (IMS)</v>
          </cell>
          <cell r="BJ103">
            <v>19.068515000000001</v>
          </cell>
          <cell r="BK103">
            <v>16.638051999999998</v>
          </cell>
          <cell r="BL103">
            <v>35.706567</v>
          </cell>
          <cell r="BM103">
            <v>12.370257000000001</v>
          </cell>
          <cell r="BN103">
            <v>12.178136</v>
          </cell>
        </row>
        <row r="104">
          <cell r="A104" t="str">
            <v xml:space="preserve">  % Change</v>
          </cell>
        </row>
        <row r="106">
          <cell r="A106" t="str">
            <v>GABAPENTIN</v>
          </cell>
        </row>
        <row r="107">
          <cell r="A107" t="str">
            <v>TRx</v>
          </cell>
          <cell r="BN107">
            <v>1455</v>
          </cell>
          <cell r="BO107">
            <v>77337</v>
          </cell>
          <cell r="BP107">
            <v>78792</v>
          </cell>
        </row>
        <row r="108">
          <cell r="A108" t="str">
            <v>NRx</v>
          </cell>
          <cell r="BN108">
            <v>1450</v>
          </cell>
          <cell r="BO108">
            <v>75115</v>
          </cell>
          <cell r="BP108">
            <v>76565</v>
          </cell>
        </row>
        <row r="109">
          <cell r="A109" t="str">
            <v>Sales (IMS)</v>
          </cell>
          <cell r="BN109">
            <v>5.5966760000000004</v>
          </cell>
        </row>
        <row r="111">
          <cell r="A111" t="str">
            <v>ENALAPRIL MALEATE</v>
          </cell>
        </row>
        <row r="112">
          <cell r="A112" t="str">
            <v>TRx</v>
          </cell>
          <cell r="D112">
            <v>70519</v>
          </cell>
          <cell r="E112">
            <v>93005</v>
          </cell>
          <cell r="F112">
            <v>99828</v>
          </cell>
          <cell r="G112">
            <v>106492</v>
          </cell>
          <cell r="H112">
            <v>299325</v>
          </cell>
          <cell r="I112">
            <v>117622</v>
          </cell>
          <cell r="J112">
            <v>110223</v>
          </cell>
          <cell r="K112">
            <v>122756</v>
          </cell>
          <cell r="L112">
            <v>350601</v>
          </cell>
          <cell r="M112">
            <v>116003</v>
          </cell>
          <cell r="N112">
            <v>121337</v>
          </cell>
          <cell r="O112">
            <v>117671</v>
          </cell>
          <cell r="P112">
            <v>355011</v>
          </cell>
          <cell r="Q112">
            <v>116153</v>
          </cell>
          <cell r="R112">
            <v>119328</v>
          </cell>
          <cell r="S112">
            <v>113193</v>
          </cell>
          <cell r="T112">
            <v>348674</v>
          </cell>
          <cell r="U112">
            <v>122090</v>
          </cell>
          <cell r="V112">
            <v>117853</v>
          </cell>
          <cell r="W112">
            <v>118547</v>
          </cell>
          <cell r="X112">
            <v>358490</v>
          </cell>
          <cell r="Y112">
            <v>125202</v>
          </cell>
          <cell r="Z112">
            <v>117522</v>
          </cell>
          <cell r="AA112">
            <v>130262</v>
          </cell>
          <cell r="AB112">
            <v>372986</v>
          </cell>
          <cell r="AC112">
            <v>137110</v>
          </cell>
          <cell r="AD112">
            <v>138252</v>
          </cell>
          <cell r="AE112">
            <v>126182</v>
          </cell>
          <cell r="AF112">
            <v>401544</v>
          </cell>
          <cell r="AG112">
            <v>131082</v>
          </cell>
          <cell r="AH112">
            <v>101083</v>
          </cell>
          <cell r="AI112">
            <v>57077</v>
          </cell>
          <cell r="AJ112">
            <v>289242</v>
          </cell>
          <cell r="AK112">
            <v>50462</v>
          </cell>
          <cell r="AL112">
            <v>46955</v>
          </cell>
          <cell r="AM112">
            <v>45903</v>
          </cell>
          <cell r="AN112">
            <v>143320</v>
          </cell>
          <cell r="AO112">
            <v>42528</v>
          </cell>
          <cell r="AP112">
            <v>38615</v>
          </cell>
          <cell r="AQ112">
            <v>41798</v>
          </cell>
          <cell r="AR112">
            <v>122941</v>
          </cell>
          <cell r="AS112">
            <v>40850</v>
          </cell>
          <cell r="AT112">
            <v>42265</v>
          </cell>
          <cell r="AU112">
            <v>39321</v>
          </cell>
          <cell r="AV112">
            <v>122436</v>
          </cell>
          <cell r="AW112">
            <v>66045</v>
          </cell>
          <cell r="AX112">
            <v>81656</v>
          </cell>
          <cell r="AY112">
            <v>82962</v>
          </cell>
          <cell r="AZ112">
            <v>230663</v>
          </cell>
          <cell r="BA112">
            <v>84863</v>
          </cell>
          <cell r="BB112">
            <v>74457</v>
          </cell>
          <cell r="BC112">
            <v>84083</v>
          </cell>
          <cell r="BD112">
            <v>243403</v>
          </cell>
          <cell r="BE112">
            <v>83174</v>
          </cell>
          <cell r="BF112">
            <v>79416</v>
          </cell>
          <cell r="BG112">
            <v>92064</v>
          </cell>
          <cell r="BH112">
            <v>254654</v>
          </cell>
          <cell r="BI112">
            <v>102570</v>
          </cell>
          <cell r="BJ112">
            <v>126062</v>
          </cell>
          <cell r="BK112">
            <v>145720</v>
          </cell>
          <cell r="BL112">
            <v>374352</v>
          </cell>
          <cell r="BM112">
            <v>152207</v>
          </cell>
          <cell r="BN112">
            <v>153515</v>
          </cell>
          <cell r="BO112">
            <v>158335</v>
          </cell>
          <cell r="BP112">
            <v>464057</v>
          </cell>
        </row>
        <row r="113">
          <cell r="A113" t="str">
            <v xml:space="preserve">  % Change</v>
          </cell>
          <cell r="S113">
            <v>0.60514187665735486</v>
          </cell>
          <cell r="U113">
            <v>0.31272512230525251</v>
          </cell>
          <cell r="V113">
            <v>0.18056056417037314</v>
          </cell>
          <cell r="W113">
            <v>0.11320099162378394</v>
          </cell>
          <cell r="X113">
            <v>0.1976614048275287</v>
          </cell>
          <cell r="Y113">
            <v>6.4443726513747412E-2</v>
          </cell>
          <cell r="Z113">
            <v>6.6220298848697734E-2</v>
          </cell>
          <cell r="AA113">
            <v>6.114568737984305E-2</v>
          </cell>
          <cell r="AB113">
            <v>6.3847507565580219E-2</v>
          </cell>
          <cell r="AC113">
            <v>0.18195219089161485</v>
          </cell>
          <cell r="AD113">
            <v>0.13940512786701498</v>
          </cell>
          <cell r="AE113">
            <v>7.2328781093047523E-2</v>
          </cell>
          <cell r="AF113">
            <v>0.13107481176639602</v>
          </cell>
          <cell r="AG113">
            <v>0.12852875087169502</v>
          </cell>
          <cell r="AH113">
            <v>-0.15289789487798333</v>
          </cell>
          <cell r="AI113">
            <v>-0.49575503785569774</v>
          </cell>
          <cell r="AJ113">
            <v>-0.17045148189999826</v>
          </cell>
          <cell r="AK113">
            <v>-0.58668195593414696</v>
          </cell>
          <cell r="AL113">
            <v>-0.60157993432496415</v>
          </cell>
          <cell r="AM113">
            <v>-0.61278648974668282</v>
          </cell>
          <cell r="AN113">
            <v>-0.60021200033473732</v>
          </cell>
          <cell r="AO113">
            <v>-0.66032491493746104</v>
          </cell>
          <cell r="AP113">
            <v>-0.67142322288592782</v>
          </cell>
          <cell r="AQ113">
            <v>-0.67912361241190833</v>
          </cell>
          <cell r="AR113">
            <v>-0.67038709227692195</v>
          </cell>
          <cell r="AS113">
            <v>-0.70206403617533364</v>
          </cell>
          <cell r="AT113">
            <v>-0.69429013685154639</v>
          </cell>
          <cell r="AU113">
            <v>-0.68837869109698691</v>
          </cell>
          <cell r="AV113">
            <v>-0.69508696431773354</v>
          </cell>
          <cell r="AW113">
            <v>-0.49615507850048057</v>
          </cell>
          <cell r="AX113">
            <v>-0.19218859748919204</v>
          </cell>
          <cell r="AY113">
            <v>0.45351017047146835</v>
          </cell>
          <cell r="AZ113">
            <v>-0.20252591255765073</v>
          </cell>
          <cell r="BA113">
            <v>0.68172089889421739</v>
          </cell>
          <cell r="BB113">
            <v>0.58570972207432659</v>
          </cell>
          <cell r="BC113">
            <v>0.8317539158660654</v>
          </cell>
          <cell r="BD113">
            <v>0.69831844822774203</v>
          </cell>
          <cell r="BE113">
            <v>0.95574680210684715</v>
          </cell>
          <cell r="BF113">
            <v>1.0566101255988607</v>
          </cell>
          <cell r="BG113">
            <v>1.2025934255227524</v>
          </cell>
          <cell r="BH113">
            <v>1.0713512985903808</v>
          </cell>
          <cell r="BI113">
            <v>1.5108935128518972</v>
          </cell>
          <cell r="BJ113">
            <v>1.9826570448361527</v>
          </cell>
          <cell r="BK113">
            <v>2.7059077846443378</v>
          </cell>
          <cell r="BL113">
            <v>2.0575320984024308</v>
          </cell>
          <cell r="BM113">
            <v>1.3045953516541751</v>
          </cell>
          <cell r="BN113">
            <v>0.8800210639757029</v>
          </cell>
          <cell r="BO113">
            <v>0.9085243846580362</v>
          </cell>
          <cell r="BP113">
            <v>1.011839783580375</v>
          </cell>
        </row>
        <row r="114">
          <cell r="A114" t="str">
            <v>NRx</v>
          </cell>
          <cell r="D114">
            <v>42938</v>
          </cell>
          <cell r="E114">
            <v>43313</v>
          </cell>
          <cell r="F114">
            <v>40002</v>
          </cell>
          <cell r="G114">
            <v>38594</v>
          </cell>
          <cell r="H114">
            <v>121909</v>
          </cell>
          <cell r="I114">
            <v>44410</v>
          </cell>
          <cell r="J114">
            <v>40179</v>
          </cell>
          <cell r="K114">
            <v>43869</v>
          </cell>
          <cell r="L114">
            <v>128458</v>
          </cell>
          <cell r="M114">
            <v>40359</v>
          </cell>
          <cell r="N114">
            <v>41464</v>
          </cell>
          <cell r="O114">
            <v>39049</v>
          </cell>
          <cell r="P114">
            <v>120872</v>
          </cell>
          <cell r="Q114">
            <v>37678</v>
          </cell>
          <cell r="R114">
            <v>38480</v>
          </cell>
          <cell r="S114">
            <v>36759</v>
          </cell>
          <cell r="T114">
            <v>112917</v>
          </cell>
          <cell r="U114">
            <v>41955</v>
          </cell>
          <cell r="V114">
            <v>39534</v>
          </cell>
          <cell r="W114">
            <v>38681</v>
          </cell>
          <cell r="X114">
            <v>120170</v>
          </cell>
          <cell r="Y114">
            <v>43806</v>
          </cell>
          <cell r="Z114">
            <v>41873</v>
          </cell>
          <cell r="AA114">
            <v>45795</v>
          </cell>
          <cell r="AB114">
            <v>131474</v>
          </cell>
          <cell r="AC114">
            <v>47172</v>
          </cell>
          <cell r="AD114">
            <v>46402</v>
          </cell>
          <cell r="AE114">
            <v>40791</v>
          </cell>
          <cell r="AF114">
            <v>134365</v>
          </cell>
          <cell r="AG114">
            <v>41896</v>
          </cell>
          <cell r="AH114">
            <v>31244</v>
          </cell>
          <cell r="AI114">
            <v>18036</v>
          </cell>
          <cell r="AJ114">
            <v>91176</v>
          </cell>
          <cell r="AK114">
            <v>16992</v>
          </cell>
          <cell r="AL114">
            <v>15360</v>
          </cell>
          <cell r="AM114">
            <v>15015</v>
          </cell>
          <cell r="AN114">
            <v>47367</v>
          </cell>
          <cell r="AO114">
            <v>14759</v>
          </cell>
          <cell r="AP114">
            <v>13146</v>
          </cell>
          <cell r="AQ114">
            <v>14051</v>
          </cell>
          <cell r="AR114">
            <v>41956</v>
          </cell>
          <cell r="AS114">
            <v>13612</v>
          </cell>
          <cell r="AT114">
            <v>14171</v>
          </cell>
          <cell r="AU114">
            <v>12675</v>
          </cell>
          <cell r="AV114">
            <v>40458</v>
          </cell>
          <cell r="AW114">
            <v>22038</v>
          </cell>
          <cell r="AX114">
            <v>26495</v>
          </cell>
          <cell r="AY114">
            <v>27085</v>
          </cell>
          <cell r="AZ114">
            <v>75618</v>
          </cell>
          <cell r="BA114">
            <v>28243</v>
          </cell>
          <cell r="BB114">
            <v>24619</v>
          </cell>
          <cell r="BC114">
            <v>27590</v>
          </cell>
          <cell r="BD114">
            <v>80452</v>
          </cell>
          <cell r="BE114">
            <v>31190</v>
          </cell>
          <cell r="BF114">
            <v>32686</v>
          </cell>
          <cell r="BG114">
            <v>38700</v>
          </cell>
          <cell r="BH114">
            <v>102576</v>
          </cell>
          <cell r="BI114">
            <v>43712</v>
          </cell>
          <cell r="BJ114">
            <v>49306</v>
          </cell>
          <cell r="BK114">
            <v>53908</v>
          </cell>
          <cell r="BL114">
            <v>146926</v>
          </cell>
          <cell r="BM114">
            <v>53383</v>
          </cell>
          <cell r="BN114">
            <v>51444</v>
          </cell>
          <cell r="BO114">
            <v>54097</v>
          </cell>
          <cell r="BP114">
            <v>158924</v>
          </cell>
        </row>
        <row r="115">
          <cell r="A115" t="str">
            <v xml:space="preserve">  % Change</v>
          </cell>
          <cell r="S115">
            <v>-0.14390516558759137</v>
          </cell>
          <cell r="U115">
            <v>-3.1353173412139501E-2</v>
          </cell>
          <cell r="V115">
            <v>-1.1699415029248539E-2</v>
          </cell>
          <cell r="W115">
            <v>2.2542364098045997E-3</v>
          </cell>
          <cell r="X115">
            <v>-1.4264738452452241E-2</v>
          </cell>
          <cell r="Y115">
            <v>-1.3600540418824636E-2</v>
          </cell>
          <cell r="Z115">
            <v>4.216132805694528E-2</v>
          </cell>
          <cell r="AA115">
            <v>4.3903439786637577E-2</v>
          </cell>
          <cell r="AB115">
            <v>2.3478491024303771E-2</v>
          </cell>
          <cell r="AC115">
            <v>0.16880993087043783</v>
          </cell>
          <cell r="AD115">
            <v>0.11909125988809577</v>
          </cell>
          <cell r="AE115">
            <v>4.4610617429383659E-2</v>
          </cell>
          <cell r="AF115">
            <v>0.11163048514130658</v>
          </cell>
          <cell r="AG115">
            <v>0.11194861723021399</v>
          </cell>
          <cell r="AH115">
            <v>-0.1880457380457381</v>
          </cell>
          <cell r="AI115">
            <v>-0.50934465028972498</v>
          </cell>
          <cell r="AJ115">
            <v>-0.19253965301947451</v>
          </cell>
          <cell r="AK115">
            <v>-0.59499463711119049</v>
          </cell>
          <cell r="AL115">
            <v>-0.6114736682349371</v>
          </cell>
          <cell r="AM115">
            <v>-0.61182492696672786</v>
          </cell>
          <cell r="AN115">
            <v>-0.60583340267953734</v>
          </cell>
          <cell r="AO115">
            <v>-0.66308268273752446</v>
          </cell>
          <cell r="AP115">
            <v>-0.68605067704726197</v>
          </cell>
          <cell r="AQ115">
            <v>-0.69317611092914078</v>
          </cell>
          <cell r="AR115">
            <v>-0.68087986978413984</v>
          </cell>
          <cell r="AS115">
            <v>-0.71143898923089965</v>
          </cell>
          <cell r="AT115">
            <v>-0.69460368087582425</v>
          </cell>
          <cell r="AU115">
            <v>-0.68926969184378906</v>
          </cell>
          <cell r="AV115">
            <v>-0.69889480147359806</v>
          </cell>
          <cell r="AW115">
            <v>-0.47398319648653808</v>
          </cell>
          <cell r="AX115">
            <v>-0.15199718345922419</v>
          </cell>
          <cell r="AY115">
            <v>0.50171878465291631</v>
          </cell>
          <cell r="AZ115">
            <v>-0.1706370097394051</v>
          </cell>
          <cell r="BA115">
            <v>0.66213512241054606</v>
          </cell>
          <cell r="BB115">
            <v>0.60279947916666665</v>
          </cell>
          <cell r="BC115">
            <v>0.83749583749583745</v>
          </cell>
          <cell r="BD115">
            <v>0.69848206557307835</v>
          </cell>
          <cell r="BE115">
            <v>1.1132868080493257</v>
          </cell>
          <cell r="BF115">
            <v>1.4863836908565342</v>
          </cell>
          <cell r="BG115">
            <v>1.754252366379617</v>
          </cell>
          <cell r="BH115">
            <v>1.4448469825531509</v>
          </cell>
          <cell r="BI115">
            <v>2.2112841610343814</v>
          </cell>
          <cell r="BJ115">
            <v>2.479359254816174</v>
          </cell>
          <cell r="BK115">
            <v>3.2530966469428009</v>
          </cell>
          <cell r="BL115">
            <v>2.6315685402145435</v>
          </cell>
          <cell r="BM115">
            <v>1.4223159996369907</v>
          </cell>
          <cell r="BN115">
            <v>0.94164936780524622</v>
          </cell>
          <cell r="BO115">
            <v>0.99730478124423105</v>
          </cell>
          <cell r="BP115">
            <v>1.1016689148086436</v>
          </cell>
        </row>
        <row r="116">
          <cell r="A116" t="str">
            <v>Sales (IMS)</v>
          </cell>
          <cell r="C116">
            <v>0.17447099999999999</v>
          </cell>
          <cell r="D116">
            <v>0.87785100000000005</v>
          </cell>
          <cell r="E116">
            <v>0.63285100000000005</v>
          </cell>
          <cell r="F116">
            <v>0.45493600000000001</v>
          </cell>
          <cell r="G116">
            <v>1.4372309999999999</v>
          </cell>
          <cell r="H116">
            <v>2.5250180000000002</v>
          </cell>
          <cell r="I116">
            <v>1.1627670000000001</v>
          </cell>
          <cell r="J116">
            <v>1.265584</v>
          </cell>
          <cell r="K116">
            <v>1.6866319999999999</v>
          </cell>
          <cell r="L116">
            <v>4.1149830000000005</v>
          </cell>
          <cell r="M116">
            <v>1.1798029999999999</v>
          </cell>
          <cell r="N116">
            <v>1.4225989999999999</v>
          </cell>
          <cell r="O116">
            <v>1.799634</v>
          </cell>
          <cell r="P116">
            <v>4.4020359999999998</v>
          </cell>
          <cell r="Q116">
            <v>1.3254269999999999</v>
          </cell>
          <cell r="R116">
            <v>1.300603</v>
          </cell>
          <cell r="S116">
            <v>1.750048</v>
          </cell>
          <cell r="T116">
            <v>4.3760779999999997</v>
          </cell>
          <cell r="U116">
            <v>1.35412</v>
          </cell>
          <cell r="V116">
            <v>1.57752</v>
          </cell>
          <cell r="W116">
            <v>1.712723</v>
          </cell>
          <cell r="X116">
            <v>4.6443630000000002</v>
          </cell>
          <cell r="Y116">
            <v>1.4555819999999999</v>
          </cell>
          <cell r="Z116">
            <v>1.5171650000000001</v>
          </cell>
          <cell r="AA116">
            <v>1.951557</v>
          </cell>
          <cell r="AB116">
            <v>4.9243040000000002</v>
          </cell>
          <cell r="AC116">
            <v>1.920304</v>
          </cell>
          <cell r="AD116">
            <v>1.792089</v>
          </cell>
          <cell r="AE116">
            <v>1.831331</v>
          </cell>
          <cell r="AF116">
            <v>5.5437240000000001</v>
          </cell>
          <cell r="AG116">
            <v>1.4113990000000001</v>
          </cell>
          <cell r="AH116">
            <v>1.3711230000000001</v>
          </cell>
          <cell r="AI116">
            <v>1.2919290000000001</v>
          </cell>
          <cell r="AJ116">
            <v>4.0744510000000007</v>
          </cell>
          <cell r="AK116">
            <v>0.80755399999999999</v>
          </cell>
          <cell r="AL116">
            <v>0.81926900000000002</v>
          </cell>
          <cell r="AM116">
            <v>0.795207</v>
          </cell>
          <cell r="AN116">
            <v>2.4220299999999999</v>
          </cell>
          <cell r="AO116">
            <v>0.72735000000000005</v>
          </cell>
          <cell r="AP116">
            <v>0.92046899999999998</v>
          </cell>
          <cell r="AQ116">
            <v>1.045342</v>
          </cell>
          <cell r="AR116">
            <v>2.6931609999999999</v>
          </cell>
          <cell r="AS116">
            <v>0.166517</v>
          </cell>
          <cell r="AT116">
            <v>0.16464599999999999</v>
          </cell>
          <cell r="AU116">
            <v>0.26106200000000002</v>
          </cell>
          <cell r="AV116">
            <v>0.592225</v>
          </cell>
          <cell r="AW116">
            <v>0.71394899999999994</v>
          </cell>
          <cell r="AX116">
            <v>0.96626800000000002</v>
          </cell>
          <cell r="AY116">
            <v>1.1999249999999999</v>
          </cell>
          <cell r="AZ116">
            <v>2.8801419999999998</v>
          </cell>
          <cell r="BA116">
            <v>1.2816259999999999</v>
          </cell>
          <cell r="BB116">
            <v>1.4125030000000001</v>
          </cell>
          <cell r="BC116">
            <v>1.2270049999999999</v>
          </cell>
          <cell r="BD116">
            <v>3.9211340000000003</v>
          </cell>
          <cell r="BE116">
            <v>1.0915779999999999</v>
          </cell>
          <cell r="BF116">
            <v>1.1948430000000001</v>
          </cell>
          <cell r="BG116">
            <v>1.9550909999999999</v>
          </cell>
          <cell r="BH116">
            <v>4.2415120000000002</v>
          </cell>
          <cell r="BI116">
            <v>1.5917330000000001</v>
          </cell>
          <cell r="BJ116">
            <v>1.4608570000000001</v>
          </cell>
          <cell r="BK116">
            <v>1.9049689999999999</v>
          </cell>
          <cell r="BL116">
            <v>4.9575589999999998</v>
          </cell>
          <cell r="BM116">
            <v>1.5685249999999999</v>
          </cell>
          <cell r="BN116">
            <v>1.7435769999999999</v>
          </cell>
        </row>
        <row r="117">
          <cell r="A117" t="str">
            <v xml:space="preserve">  % Change</v>
          </cell>
          <cell r="S117">
            <v>0.99355927144811584</v>
          </cell>
          <cell r="U117">
            <v>1.1397137714880752</v>
          </cell>
          <cell r="V117">
            <v>2.467564668436879</v>
          </cell>
          <cell r="W117">
            <v>0.19168247832116059</v>
          </cell>
          <cell r="X117">
            <v>0.83933857105177068</v>
          </cell>
          <cell r="Y117">
            <v>0.25182603221453626</v>
          </cell>
          <cell r="Z117">
            <v>0.19878648908330065</v>
          </cell>
          <cell r="AA117">
            <v>0.15707338648857605</v>
          </cell>
          <cell r="AB117">
            <v>0.19667663268596725</v>
          </cell>
          <cell r="AC117">
            <v>0.62764800564161982</v>
          </cell>
          <cell r="AD117">
            <v>0.25972884839649124</v>
          </cell>
          <cell r="AE117">
            <v>1.7613025759682266E-2</v>
          </cell>
          <cell r="AF117">
            <v>0.25935453503787809</v>
          </cell>
          <cell r="AG117">
            <v>6.4863625080823217E-2</v>
          </cell>
          <cell r="AH117">
            <v>5.4221003642156873E-2</v>
          </cell>
          <cell r="AI117">
            <v>-0.2617751055971036</v>
          </cell>
          <cell r="AJ117">
            <v>-6.8926330837795646E-2</v>
          </cell>
          <cell r="AK117">
            <v>-0.40363187900629194</v>
          </cell>
          <cell r="AL117">
            <v>-0.48066015010903185</v>
          </cell>
          <cell r="AM117">
            <v>-0.53570600733451934</v>
          </cell>
          <cell r="AN117">
            <v>-0.47850114213725337</v>
          </cell>
          <cell r="AO117">
            <v>-0.50030297159486714</v>
          </cell>
          <cell r="AP117">
            <v>-0.3932967080047326</v>
          </cell>
          <cell r="AQ117">
            <v>-0.46435487152053467</v>
          </cell>
          <cell r="AR117">
            <v>-0.45308798969356889</v>
          </cell>
          <cell r="AS117">
            <v>-0.91328612553012434</v>
          </cell>
          <cell r="AT117">
            <v>-0.90812621471366661</v>
          </cell>
          <cell r="AU117">
            <v>-0.85744685149762656</v>
          </cell>
          <cell r="AV117">
            <v>-0.8931719905247808</v>
          </cell>
          <cell r="AW117">
            <v>-0.49415509009146252</v>
          </cell>
          <cell r="AX117">
            <v>-0.29527256125088708</v>
          </cell>
          <cell r="AY117">
            <v>-7.1214439802806617E-2</v>
          </cell>
          <cell r="AZ117">
            <v>-0.29312145366332809</v>
          </cell>
          <cell r="BA117">
            <v>0.58704681049192997</v>
          </cell>
          <cell r="BB117">
            <v>0.72410160765267584</v>
          </cell>
          <cell r="BC117">
            <v>0.5430007532629868</v>
          </cell>
          <cell r="BD117">
            <v>0.6189452649224001</v>
          </cell>
          <cell r="BE117">
            <v>0.50076029421873902</v>
          </cell>
          <cell r="BF117">
            <v>0.298080652363089</v>
          </cell>
          <cell r="BG117">
            <v>0.87028838408865217</v>
          </cell>
          <cell r="BH117">
            <v>0.57491958334462745</v>
          </cell>
          <cell r="BI117">
            <v>8.5589819658052928</v>
          </cell>
          <cell r="BJ117">
            <v>7.8727147941644517</v>
          </cell>
          <cell r="BK117">
            <v>6.2969984141698134</v>
          </cell>
          <cell r="BL117">
            <v>7.3710734940267635</v>
          </cell>
          <cell r="BM117">
            <v>1.1969706519653367</v>
          </cell>
          <cell r="BN117">
            <v>0.80444452263761179</v>
          </cell>
        </row>
        <row r="119">
          <cell r="A119" t="str">
            <v>TRx GENERICS1</v>
          </cell>
          <cell r="D119">
            <v>5751037</v>
          </cell>
          <cell r="E119">
            <v>6140645</v>
          </cell>
          <cell r="F119">
            <v>6008943</v>
          </cell>
          <cell r="G119">
            <v>6113046</v>
          </cell>
          <cell r="H119">
            <v>18262634</v>
          </cell>
          <cell r="I119">
            <v>6493302</v>
          </cell>
          <cell r="J119">
            <v>5917706</v>
          </cell>
          <cell r="K119">
            <v>6545455</v>
          </cell>
          <cell r="L119">
            <v>18956463</v>
          </cell>
          <cell r="M119">
            <v>6292434</v>
          </cell>
          <cell r="N119">
            <v>6633090</v>
          </cell>
          <cell r="O119">
            <v>6315094</v>
          </cell>
          <cell r="P119">
            <v>19240618</v>
          </cell>
          <cell r="Q119">
            <v>6360526</v>
          </cell>
          <cell r="R119">
            <v>6601209</v>
          </cell>
          <cell r="S119">
            <v>6239151</v>
          </cell>
          <cell r="T119">
            <v>19200886</v>
          </cell>
          <cell r="U119">
            <v>7023897</v>
          </cell>
          <cell r="V119">
            <v>6669410</v>
          </cell>
          <cell r="W119">
            <v>6715869</v>
          </cell>
          <cell r="X119">
            <v>20409176</v>
          </cell>
          <cell r="Y119">
            <v>7088601</v>
          </cell>
          <cell r="Z119">
            <v>6525305</v>
          </cell>
          <cell r="AA119">
            <v>7076622</v>
          </cell>
          <cell r="AB119">
            <v>20690528</v>
          </cell>
          <cell r="AC119">
            <v>7191708</v>
          </cell>
          <cell r="AD119">
            <v>7234401</v>
          </cell>
          <cell r="AE119">
            <v>6722210</v>
          </cell>
          <cell r="AF119">
            <v>21148319</v>
          </cell>
          <cell r="AG119">
            <v>7153910</v>
          </cell>
          <cell r="AH119">
            <v>6923325</v>
          </cell>
          <cell r="AI119">
            <v>6438304</v>
          </cell>
          <cell r="AJ119">
            <v>20515539</v>
          </cell>
          <cell r="AK119">
            <v>6781653</v>
          </cell>
          <cell r="AL119">
            <v>6509410</v>
          </cell>
          <cell r="AM119">
            <v>6944369</v>
          </cell>
          <cell r="AN119">
            <v>20235432</v>
          </cell>
          <cell r="AO119">
            <v>7102338</v>
          </cell>
          <cell r="AP119">
            <v>6433428</v>
          </cell>
          <cell r="AQ119">
            <v>6932251</v>
          </cell>
          <cell r="AR119">
            <v>20468017</v>
          </cell>
          <cell r="AS119">
            <v>6732490</v>
          </cell>
          <cell r="AT119">
            <v>6732871</v>
          </cell>
          <cell r="AU119">
            <v>6516334</v>
          </cell>
          <cell r="AV119">
            <v>19981695</v>
          </cell>
          <cell r="AW119">
            <v>6816843</v>
          </cell>
          <cell r="AX119">
            <v>6823253</v>
          </cell>
          <cell r="AY119">
            <v>7080055</v>
          </cell>
          <cell r="AZ119">
            <v>20720151</v>
          </cell>
          <cell r="BA119">
            <v>7416064</v>
          </cell>
          <cell r="BB119">
            <v>6891426</v>
          </cell>
          <cell r="BC119">
            <v>8084847</v>
          </cell>
          <cell r="BD119">
            <v>22392337</v>
          </cell>
          <cell r="BE119">
            <v>7834732</v>
          </cell>
          <cell r="BF119">
            <v>7407944</v>
          </cell>
          <cell r="BG119">
            <v>8260208</v>
          </cell>
          <cell r="BH119">
            <v>23502884</v>
          </cell>
          <cell r="BI119">
            <v>7826539</v>
          </cell>
          <cell r="BJ119">
            <v>7836123</v>
          </cell>
          <cell r="BK119">
            <v>8356851</v>
          </cell>
          <cell r="BL119">
            <v>24019513</v>
          </cell>
          <cell r="BM119">
            <v>8326850</v>
          </cell>
          <cell r="BN119">
            <v>8427014</v>
          </cell>
          <cell r="BO119">
            <v>8368929</v>
          </cell>
          <cell r="BP119">
            <v>25122793</v>
          </cell>
        </row>
        <row r="120">
          <cell r="A120" t="str">
            <v xml:space="preserve">  % Change</v>
          </cell>
          <cell r="U120">
            <v>0.1438370073502051</v>
          </cell>
          <cell r="V120">
            <v>0.1099140065066353</v>
          </cell>
          <cell r="W120">
            <v>9.8612541112891972E-2</v>
          </cell>
          <cell r="X120">
            <v>0.11753737166281719</v>
          </cell>
          <cell r="Y120">
            <v>9.1678933152962827E-2</v>
          </cell>
          <cell r="Z120">
            <v>0.10267475268288084</v>
          </cell>
          <cell r="AA120">
            <v>8.1150508253436948E-2</v>
          </cell>
          <cell r="AB120">
            <v>9.1476189413605358E-2</v>
          </cell>
          <cell r="AC120">
            <v>0.14291353711457289</v>
          </cell>
          <cell r="AD120">
            <v>9.0653224967549129E-2</v>
          </cell>
          <cell r="AE120">
            <v>6.44671322390451E-2</v>
          </cell>
          <cell r="AF120">
            <v>9.9149673882616529E-2</v>
          </cell>
          <cell r="AG120">
            <v>0.12473559576676529</v>
          </cell>
          <cell r="AH120">
            <v>4.8796515910949134E-2</v>
          </cell>
          <cell r="AI120">
            <v>3.1919887818070203E-2</v>
          </cell>
          <cell r="AJ120">
            <v>6.8468350887558094E-2</v>
          </cell>
          <cell r="AK120">
            <v>-3.4488546742641568E-2</v>
          </cell>
          <cell r="AL120">
            <v>-2.3990128062302385E-2</v>
          </cell>
          <cell r="AM120">
            <v>3.4023891770372572E-2</v>
          </cell>
          <cell r="AN120">
            <v>-8.5130335492231701E-3</v>
          </cell>
          <cell r="AO120">
            <v>1.9379000172248251E-3</v>
          </cell>
          <cell r="AP120">
            <v>-1.4080108132876523E-2</v>
          </cell>
          <cell r="AQ120">
            <v>-2.0401117934517377E-2</v>
          </cell>
          <cell r="AR120">
            <v>-1.0754244647599109E-2</v>
          </cell>
          <cell r="AS120">
            <v>-6.3853816089307291E-2</v>
          </cell>
          <cell r="AT120">
            <v>-6.9325711969795423E-2</v>
          </cell>
          <cell r="AU120">
            <v>-3.062623750225002E-2</v>
          </cell>
          <cell r="AV120">
            <v>-5.5163911609239502E-2</v>
          </cell>
          <cell r="AW120">
            <v>-4.7116471971271667E-2</v>
          </cell>
          <cell r="AX120">
            <v>-1.4454326497744918E-2</v>
          </cell>
          <cell r="AY120">
            <v>9.9677026744931618E-2</v>
          </cell>
          <cell r="AZ120">
            <v>9.9735132476899135E-3</v>
          </cell>
          <cell r="BA120">
            <v>9.3548136420427364E-2</v>
          </cell>
          <cell r="BB120">
            <v>5.8686731977245277E-2</v>
          </cell>
          <cell r="BC120">
            <v>0.16423061620141444</v>
          </cell>
          <cell r="BD120">
            <v>0.10659050916234447</v>
          </cell>
          <cell r="BE120">
            <v>0.10312012748478039</v>
          </cell>
          <cell r="BF120">
            <v>0.15147694199733031</v>
          </cell>
          <cell r="BG120">
            <v>0.19156216357428479</v>
          </cell>
          <cell r="BH120">
            <v>0.14827362123062526</v>
          </cell>
          <cell r="BI120">
            <v>0.1625028778356894</v>
          </cell>
          <cell r="BJ120">
            <v>0.16386055814822531</v>
          </cell>
          <cell r="BK120">
            <v>0.2824466947212958</v>
          </cell>
          <cell r="BL120">
            <v>0.20207584992164085</v>
          </cell>
          <cell r="BM120">
            <v>0.22151118927045843</v>
          </cell>
          <cell r="BN120">
            <v>0.23504346094157724</v>
          </cell>
          <cell r="BO120">
            <v>0.18204293610713473</v>
          </cell>
          <cell r="BP120">
            <v>0.2124811735204053</v>
          </cell>
        </row>
        <row r="122">
          <cell r="A122" t="str">
            <v xml:space="preserve">TOTAL GENERICS REPORTED SALES </v>
          </cell>
          <cell r="H122">
            <v>70.691999999999993</v>
          </cell>
          <cell r="L122">
            <v>88.7</v>
          </cell>
          <cell r="P122">
            <v>85.2</v>
          </cell>
          <cell r="T122">
            <v>99.8</v>
          </cell>
          <cell r="X122">
            <v>98</v>
          </cell>
          <cell r="AB122">
            <v>95</v>
          </cell>
          <cell r="AF122">
            <v>98.5</v>
          </cell>
          <cell r="AJ122">
            <v>116.4</v>
          </cell>
          <cell r="AN122">
            <v>121.2</v>
          </cell>
          <cell r="AR122">
            <v>136.4</v>
          </cell>
          <cell r="AV122">
            <v>131.69999999999999</v>
          </cell>
          <cell r="AZ122">
            <v>155.4</v>
          </cell>
          <cell r="BD122">
            <v>157.4</v>
          </cell>
          <cell r="BH122">
            <v>152.80000000000001</v>
          </cell>
          <cell r="BL122">
            <v>208.84700000000001</v>
          </cell>
          <cell r="BP122">
            <v>190</v>
          </cell>
        </row>
        <row r="123">
          <cell r="A123" t="str">
            <v xml:space="preserve">  % Change</v>
          </cell>
          <cell r="X123">
            <v>0.38629547897923389</v>
          </cell>
          <cell r="AB123">
            <v>7.1025930101465518E-2</v>
          </cell>
          <cell r="AF123">
            <v>0.1561032863849765</v>
          </cell>
          <cell r="AJ123">
            <v>0.16633266533066138</v>
          </cell>
          <cell r="AN123">
            <v>0.23673469387755097</v>
          </cell>
          <cell r="AR123">
            <v>0.4357894736842105</v>
          </cell>
          <cell r="AV123">
            <v>0.33705583756345159</v>
          </cell>
          <cell r="AZ123">
            <v>0.3350515463917525</v>
          </cell>
          <cell r="BD123">
            <v>0.2986798679867988</v>
          </cell>
          <cell r="BH123">
            <v>0.12023460410557196</v>
          </cell>
          <cell r="BL123">
            <v>0.58577828397873977</v>
          </cell>
          <cell r="BP123">
            <v>0.2226512226512225</v>
          </cell>
        </row>
        <row r="125">
          <cell r="A125" t="str">
            <v>TOTAL GENERICS SALES (IMS)</v>
          </cell>
          <cell r="H125">
            <v>104.466992</v>
          </cell>
          <cell r="L125">
            <v>134.75798699999999</v>
          </cell>
          <cell r="P125">
            <v>141.71523199999999</v>
          </cell>
          <cell r="T125">
            <v>146.507925</v>
          </cell>
          <cell r="X125">
            <v>168.56063499999999</v>
          </cell>
          <cell r="AB125">
            <v>165.609791</v>
          </cell>
          <cell r="AF125">
            <v>151.74770799999999</v>
          </cell>
          <cell r="AG125">
            <v>47.954553000000004</v>
          </cell>
          <cell r="AH125">
            <v>49.557359999999996</v>
          </cell>
          <cell r="AI125">
            <v>58.783174000000002</v>
          </cell>
          <cell r="AJ125">
            <v>156.295087</v>
          </cell>
          <cell r="AK125">
            <v>46.932521000000001</v>
          </cell>
          <cell r="AL125">
            <v>48.603287999999999</v>
          </cell>
          <cell r="AM125">
            <v>60.409233999999998</v>
          </cell>
          <cell r="AN125">
            <v>155.945043</v>
          </cell>
          <cell r="AO125">
            <v>47.783560999999999</v>
          </cell>
          <cell r="AP125">
            <v>46.345352000000005</v>
          </cell>
          <cell r="AQ125">
            <v>64.182310999999999</v>
          </cell>
          <cell r="AR125">
            <v>158.31122400000001</v>
          </cell>
          <cell r="AS125">
            <v>44.699543000000006</v>
          </cell>
          <cell r="AT125">
            <v>42.033898000000001</v>
          </cell>
          <cell r="AU125">
            <v>56.153168999999998</v>
          </cell>
          <cell r="AV125">
            <v>142.88661000000002</v>
          </cell>
          <cell r="AW125">
            <v>45.601714000000001</v>
          </cell>
          <cell r="AX125">
            <v>49.808036999999999</v>
          </cell>
          <cell r="AY125">
            <v>61.563879999999997</v>
          </cell>
          <cell r="AZ125">
            <v>156.97363099999998</v>
          </cell>
          <cell r="BA125">
            <v>49.536499999999997</v>
          </cell>
          <cell r="BB125">
            <v>49.418810000000001</v>
          </cell>
          <cell r="BC125">
            <v>76.642685999999998</v>
          </cell>
          <cell r="BD125">
            <v>175.59799600000002</v>
          </cell>
          <cell r="BE125">
            <v>60.337698999999994</v>
          </cell>
          <cell r="BF125">
            <v>62.376011999999996</v>
          </cell>
          <cell r="BG125">
            <v>81.614062000000004</v>
          </cell>
          <cell r="BH125">
            <v>204.32777300000001</v>
          </cell>
          <cell r="BI125">
            <v>63.036727999999997</v>
          </cell>
          <cell r="BJ125">
            <v>84.826239999999999</v>
          </cell>
          <cell r="BK125">
            <v>97.070706999999999</v>
          </cell>
          <cell r="BL125">
            <v>244.93367499999997</v>
          </cell>
          <cell r="BM125">
            <v>71.896680000000003</v>
          </cell>
          <cell r="BN125">
            <v>74.979169999999996</v>
          </cell>
        </row>
        <row r="126">
          <cell r="A126" t="str">
            <v xml:space="preserve">  % Change</v>
          </cell>
          <cell r="X126">
            <v>0.61353008996372727</v>
          </cell>
          <cell r="AB126">
            <v>0.22894230380571079</v>
          </cell>
          <cell r="AF126">
            <v>7.0793208735670632E-2</v>
          </cell>
          <cell r="AJ126">
            <v>6.6802952809549287E-2</v>
          </cell>
          <cell r="AK126" t="e">
            <v>#DIV/0!</v>
          </cell>
          <cell r="AL126" t="e">
            <v>#DIV/0!</v>
          </cell>
          <cell r="AM126" t="e">
            <v>#DIV/0!</v>
          </cell>
          <cell r="AN126">
            <v>-7.4843049802226891E-2</v>
          </cell>
          <cell r="AO126" t="e">
            <v>#DIV/0!</v>
          </cell>
          <cell r="AP126" t="e">
            <v>#DIV/0!</v>
          </cell>
          <cell r="AQ126" t="e">
            <v>#DIV/0!</v>
          </cell>
          <cell r="AR126">
            <v>-4.4070866558849731E-2</v>
          </cell>
          <cell r="AS126" t="e">
            <v>#DIV/0!</v>
          </cell>
          <cell r="AT126" t="e">
            <v>#DIV/0!</v>
          </cell>
          <cell r="AU126" t="e">
            <v>#DIV/0!</v>
          </cell>
          <cell r="AV126">
            <v>-5.8393620020936177E-2</v>
          </cell>
          <cell r="AW126">
            <v>-4.9063933512215274E-2</v>
          </cell>
          <cell r="AX126">
            <v>5.0583202979335162E-3</v>
          </cell>
          <cell r="AY126">
            <v>4.7304454842809207E-2</v>
          </cell>
          <cell r="AZ126">
            <v>4.34142885118316E-3</v>
          </cell>
          <cell r="BA126">
            <v>5.5483467423367072E-2</v>
          </cell>
          <cell r="BB126">
            <v>1.6779152883648507E-2</v>
          </cell>
          <cell r="BC126">
            <v>0.26872467874696104</v>
          </cell>
          <cell r="BD126">
            <v>0.12602486505454369</v>
          </cell>
          <cell r="BE126">
            <v>0.26272922606165738</v>
          </cell>
          <cell r="BF126">
            <v>0.34589574376304211</v>
          </cell>
          <cell r="BG126">
            <v>0.27159743437720718</v>
          </cell>
          <cell r="BH126">
            <v>0.29067142453525596</v>
          </cell>
          <cell r="BI126">
            <v>0.4102320464439646</v>
          </cell>
          <cell r="BJ126">
            <v>1.0180436275503166</v>
          </cell>
          <cell r="BK126">
            <v>0.72867727198085652</v>
          </cell>
          <cell r="BL126">
            <v>0.71418214064984764</v>
          </cell>
          <cell r="BM126">
            <v>0.57662231731026603</v>
          </cell>
          <cell r="BN126">
            <v>0.50536287948870573</v>
          </cell>
        </row>
        <row r="128">
          <cell r="A128" t="str">
            <v>REPORTED SALES/TRx U.S.</v>
          </cell>
          <cell r="H128">
            <v>3.8708545547153821</v>
          </cell>
          <cell r="L128">
            <v>4.6791429392708963</v>
          </cell>
          <cell r="P128">
            <v>4.4281321940906473</v>
          </cell>
          <cell r="T128">
            <v>5.1976768155386166</v>
          </cell>
          <cell r="X128">
            <v>4.8017617173765368</v>
          </cell>
          <cell r="AB128">
            <v>4.5914729677270678</v>
          </cell>
          <cell r="AF128">
            <v>4.6575805859557917</v>
          </cell>
          <cell r="AJ128">
            <v>5.6737480794435866</v>
          </cell>
          <cell r="AN128">
            <v>5.9894940715869076</v>
          </cell>
          <cell r="AR128">
            <v>6.6640554382967343</v>
          </cell>
          <cell r="AV128">
            <v>6.5910324424429447</v>
          </cell>
          <cell r="AZ128">
            <v>7.4999453430624134</v>
          </cell>
          <cell r="BD128">
            <v>7.0291903877652429</v>
          </cell>
          <cell r="BH128">
            <v>6.5013297942499308</v>
          </cell>
          <cell r="BL128">
            <v>8.6948890262679353</v>
          </cell>
          <cell r="BP128">
            <v>7.5628533817876065</v>
          </cell>
        </row>
        <row r="129">
          <cell r="A129" t="str">
            <v>IMS SALES/REPORTED SALES</v>
          </cell>
          <cell r="H129">
            <v>1.4777767215526512</v>
          </cell>
          <cell r="L129">
            <v>1.5192557722660651</v>
          </cell>
          <cell r="P129">
            <v>1.6633243192488261</v>
          </cell>
          <cell r="T129">
            <v>1.4680152805611222</v>
          </cell>
          <cell r="X129">
            <v>1.7200064795918366</v>
          </cell>
          <cell r="AB129">
            <v>1.7432609578947369</v>
          </cell>
          <cell r="AF129">
            <v>1.5405858680203044</v>
          </cell>
          <cell r="AJ129">
            <v>1.342741297250859</v>
          </cell>
          <cell r="AN129">
            <v>1.2866752722772277</v>
          </cell>
          <cell r="AR129">
            <v>1.1606394721407625</v>
          </cell>
          <cell r="AV129">
            <v>1.0849400911161733</v>
          </cell>
          <cell r="AZ129">
            <v>1.0101263256113255</v>
          </cell>
          <cell r="BD129">
            <v>1.1156162388818298</v>
          </cell>
          <cell r="BH129">
            <v>1.337223645287958</v>
          </cell>
          <cell r="BL129">
            <v>1.1727900089539229</v>
          </cell>
        </row>
        <row r="130">
          <cell r="A130" t="str">
            <v>Projected Sales for Quarter (based on TRx and Price)</v>
          </cell>
          <cell r="AJ130">
            <v>95.552776156818894</v>
          </cell>
        </row>
        <row r="132">
          <cell r="A132" t="str">
            <v>Brands</v>
          </cell>
        </row>
        <row r="133">
          <cell r="A133" t="str">
            <v xml:space="preserve">QVAR </v>
          </cell>
        </row>
        <row r="134">
          <cell r="A134" t="str">
            <v>TRx</v>
          </cell>
          <cell r="E134">
            <v>658</v>
          </cell>
          <cell r="F134">
            <v>2174</v>
          </cell>
          <cell r="G134">
            <v>2694</v>
          </cell>
          <cell r="H134">
            <v>5526</v>
          </cell>
          <cell r="I134">
            <v>3678</v>
          </cell>
          <cell r="J134">
            <v>4044</v>
          </cell>
          <cell r="K134">
            <v>5903</v>
          </cell>
          <cell r="L134">
            <v>13625</v>
          </cell>
          <cell r="M134">
            <v>6812</v>
          </cell>
          <cell r="N134">
            <v>8186</v>
          </cell>
          <cell r="O134">
            <v>8251</v>
          </cell>
          <cell r="P134">
            <v>23249</v>
          </cell>
          <cell r="Q134">
            <v>8112</v>
          </cell>
          <cell r="R134">
            <v>8545</v>
          </cell>
          <cell r="S134">
            <v>8275</v>
          </cell>
          <cell r="T134">
            <v>24932</v>
          </cell>
          <cell r="U134">
            <v>9477</v>
          </cell>
          <cell r="V134">
            <v>9323</v>
          </cell>
          <cell r="W134">
            <v>10030</v>
          </cell>
          <cell r="X134">
            <v>28830</v>
          </cell>
          <cell r="Y134">
            <v>10383</v>
          </cell>
          <cell r="Z134">
            <v>9416</v>
          </cell>
          <cell r="AA134">
            <v>10634</v>
          </cell>
          <cell r="AB134">
            <v>30433</v>
          </cell>
          <cell r="AC134">
            <v>10692</v>
          </cell>
          <cell r="AD134">
            <v>10798</v>
          </cell>
          <cell r="AE134">
            <v>9756</v>
          </cell>
          <cell r="AF134">
            <v>31246</v>
          </cell>
          <cell r="AG134">
            <v>9862</v>
          </cell>
          <cell r="AH134">
            <v>10215</v>
          </cell>
          <cell r="AI134">
            <v>11348</v>
          </cell>
          <cell r="AJ134">
            <v>31425</v>
          </cell>
          <cell r="AK134">
            <v>14996</v>
          </cell>
          <cell r="AL134">
            <v>17883</v>
          </cell>
          <cell r="AM134">
            <v>22234</v>
          </cell>
          <cell r="AN134">
            <v>55113</v>
          </cell>
          <cell r="AO134">
            <v>24400</v>
          </cell>
          <cell r="AP134">
            <v>23949</v>
          </cell>
          <cell r="AQ134">
            <v>26276</v>
          </cell>
          <cell r="AR134">
            <v>74625</v>
          </cell>
          <cell r="AS134">
            <v>25062</v>
          </cell>
          <cell r="AT134">
            <v>26763</v>
          </cell>
          <cell r="AU134">
            <v>25694</v>
          </cell>
          <cell r="AV134">
            <v>77519</v>
          </cell>
          <cell r="AW134">
            <v>25806</v>
          </cell>
          <cell r="AX134">
            <v>25880</v>
          </cell>
          <cell r="AY134">
            <v>29456</v>
          </cell>
          <cell r="AZ134">
            <v>81142</v>
          </cell>
          <cell r="BA134">
            <v>33437</v>
          </cell>
          <cell r="BB134">
            <v>32462</v>
          </cell>
          <cell r="BC134">
            <v>39883</v>
          </cell>
          <cell r="BD134">
            <v>105782</v>
          </cell>
          <cell r="BE134">
            <v>35985</v>
          </cell>
          <cell r="BF134">
            <v>35529</v>
          </cell>
          <cell r="BG134">
            <v>40576</v>
          </cell>
          <cell r="BH134">
            <v>112090</v>
          </cell>
          <cell r="BI134">
            <v>38606</v>
          </cell>
          <cell r="BJ134">
            <v>37802</v>
          </cell>
          <cell r="BK134">
            <v>38162</v>
          </cell>
          <cell r="BL134">
            <v>114570</v>
          </cell>
          <cell r="BM134">
            <v>36244</v>
          </cell>
          <cell r="BN134">
            <v>37862</v>
          </cell>
          <cell r="BO134">
            <v>40132</v>
          </cell>
          <cell r="BP134">
            <v>114238</v>
          </cell>
        </row>
        <row r="135">
          <cell r="A135" t="str">
            <v xml:space="preserve">  % Change</v>
          </cell>
          <cell r="U135">
            <v>13.402735562310031</v>
          </cell>
          <cell r="V135">
            <v>3.2884084636614537</v>
          </cell>
          <cell r="W135">
            <v>2.7230883444691907</v>
          </cell>
          <cell r="X135">
            <v>4.217155266015201</v>
          </cell>
          <cell r="Y135">
            <v>1.8230016313213704</v>
          </cell>
          <cell r="Z135">
            <v>1.3283877349159248</v>
          </cell>
          <cell r="AA135">
            <v>0.80145688632898526</v>
          </cell>
          <cell r="AB135">
            <v>1.2336146788990825</v>
          </cell>
          <cell r="AC135">
            <v>0.56958308866705809</v>
          </cell>
          <cell r="AD135">
            <v>0.31908135841680929</v>
          </cell>
          <cell r="AE135">
            <v>0.18240213307477871</v>
          </cell>
          <cell r="AF135">
            <v>0.34397178373263371</v>
          </cell>
          <cell r="AG135">
            <v>0.21572978303747536</v>
          </cell>
          <cell r="AH135">
            <v>0.19543592744294913</v>
          </cell>
          <cell r="AI135">
            <v>0.37135951661631417</v>
          </cell>
          <cell r="AJ135">
            <v>0.26042836515321666</v>
          </cell>
          <cell r="AK135">
            <v>0.5823572860609898</v>
          </cell>
          <cell r="AL135">
            <v>0.91815939075404907</v>
          </cell>
          <cell r="AM135">
            <v>1.2167497507477569</v>
          </cell>
          <cell r="AN135">
            <v>0.91165452653485946</v>
          </cell>
          <cell r="AO135">
            <v>1.3499951844360973</v>
          </cell>
          <cell r="AP135">
            <v>1.5434367034834326</v>
          </cell>
          <cell r="AQ135">
            <v>1.4709422606733118</v>
          </cell>
          <cell r="AR135">
            <v>1.4521079091775375</v>
          </cell>
          <cell r="AS135">
            <v>1.3439955106621775</v>
          </cell>
          <cell r="AT135">
            <v>1.4785145397295794</v>
          </cell>
          <cell r="AU135">
            <v>1.6336613366133661</v>
          </cell>
          <cell r="AV135">
            <v>1.4809255584714842</v>
          </cell>
          <cell r="AW135">
            <v>1.6167106063678767</v>
          </cell>
          <cell r="AX135">
            <v>1.5335291238374937</v>
          </cell>
          <cell r="AY135">
            <v>1.5956996827634824</v>
          </cell>
          <cell r="AZ135">
            <v>1.5820843277645187</v>
          </cell>
          <cell r="BA135">
            <v>1.2297279274473194</v>
          </cell>
          <cell r="BB135">
            <v>0.81524352737236483</v>
          </cell>
          <cell r="BC135">
            <v>0.79378429432400832</v>
          </cell>
          <cell r="BD135">
            <v>0.91936566690254562</v>
          </cell>
          <cell r="BE135">
            <v>0.4747950819672131</v>
          </cell>
          <cell r="BF135">
            <v>0.48352749592884869</v>
          </cell>
          <cell r="BG135">
            <v>0.54422286497183747</v>
          </cell>
          <cell r="BH135">
            <v>0.5020435510887773</v>
          </cell>
          <cell r="BI135">
            <v>0.5404197589976858</v>
          </cell>
          <cell r="BJ135">
            <v>0.41247244329858379</v>
          </cell>
          <cell r="BK135">
            <v>0.48524947458550627</v>
          </cell>
          <cell r="BL135">
            <v>0.47796024200518583</v>
          </cell>
          <cell r="BM135">
            <v>0.40447957839262183</v>
          </cell>
          <cell r="BN135">
            <v>0.46298299845440494</v>
          </cell>
          <cell r="BO135">
            <v>0.36243889190657241</v>
          </cell>
          <cell r="BP135">
            <v>0.40787754800226761</v>
          </cell>
        </row>
        <row r="136">
          <cell r="A136" t="str">
            <v>NRx</v>
          </cell>
          <cell r="E136">
            <v>518</v>
          </cell>
          <cell r="F136">
            <v>1927</v>
          </cell>
          <cell r="G136">
            <v>2153</v>
          </cell>
          <cell r="H136">
            <v>4598</v>
          </cell>
          <cell r="I136">
            <v>2753</v>
          </cell>
          <cell r="J136">
            <v>2904</v>
          </cell>
          <cell r="K136">
            <v>4093</v>
          </cell>
          <cell r="L136">
            <v>9750</v>
          </cell>
          <cell r="M136">
            <v>4608</v>
          </cell>
          <cell r="N136">
            <v>5310</v>
          </cell>
          <cell r="O136">
            <v>4917</v>
          </cell>
          <cell r="P136">
            <v>14835</v>
          </cell>
          <cell r="Q136">
            <v>4315</v>
          </cell>
          <cell r="R136">
            <v>4262</v>
          </cell>
          <cell r="S136">
            <v>4359</v>
          </cell>
          <cell r="T136">
            <v>12936</v>
          </cell>
          <cell r="U136">
            <v>4958</v>
          </cell>
          <cell r="V136">
            <v>4950</v>
          </cell>
          <cell r="W136">
            <v>5076</v>
          </cell>
          <cell r="X136">
            <v>14984</v>
          </cell>
          <cell r="Y136">
            <v>5519</v>
          </cell>
          <cell r="Z136">
            <v>4805</v>
          </cell>
          <cell r="AA136">
            <v>5667</v>
          </cell>
          <cell r="AB136">
            <v>15991</v>
          </cell>
          <cell r="AC136">
            <v>5352</v>
          </cell>
          <cell r="AD136">
            <v>5381</v>
          </cell>
          <cell r="AE136">
            <v>4767</v>
          </cell>
          <cell r="AF136">
            <v>15500</v>
          </cell>
          <cell r="AG136">
            <v>4625</v>
          </cell>
          <cell r="AH136">
            <v>4850</v>
          </cell>
          <cell r="AI136">
            <v>5951</v>
          </cell>
          <cell r="AJ136">
            <v>15426</v>
          </cell>
          <cell r="AK136">
            <v>8948</v>
          </cell>
          <cell r="AL136">
            <v>11028</v>
          </cell>
          <cell r="AM136">
            <v>13495</v>
          </cell>
          <cell r="AN136">
            <v>33471</v>
          </cell>
          <cell r="AO136">
            <v>14735</v>
          </cell>
          <cell r="AP136">
            <v>13841</v>
          </cell>
          <cell r="AQ136">
            <v>13947</v>
          </cell>
          <cell r="AR136">
            <v>42523</v>
          </cell>
          <cell r="AS136">
            <v>12986</v>
          </cell>
          <cell r="AT136">
            <v>13614</v>
          </cell>
          <cell r="AU136">
            <v>12586</v>
          </cell>
          <cell r="AV136">
            <v>39186</v>
          </cell>
          <cell r="AW136">
            <v>12469</v>
          </cell>
          <cell r="AX136">
            <v>12470</v>
          </cell>
          <cell r="AY136">
            <v>15480</v>
          </cell>
          <cell r="AZ136">
            <v>40419</v>
          </cell>
          <cell r="BA136">
            <v>18649</v>
          </cell>
          <cell r="BB136">
            <v>18002</v>
          </cell>
          <cell r="BC136">
            <v>22640</v>
          </cell>
          <cell r="BD136">
            <v>59291</v>
          </cell>
          <cell r="BE136">
            <v>20196</v>
          </cell>
          <cell r="BF136">
            <v>20301</v>
          </cell>
          <cell r="BG136">
            <v>23167</v>
          </cell>
          <cell r="BH136">
            <v>63664</v>
          </cell>
          <cell r="BI136">
            <v>21663</v>
          </cell>
          <cell r="BJ136">
            <v>20831</v>
          </cell>
          <cell r="BK136">
            <v>20094</v>
          </cell>
          <cell r="BL136">
            <v>62588</v>
          </cell>
          <cell r="BM136">
            <v>18058</v>
          </cell>
          <cell r="BN136">
            <v>19221</v>
          </cell>
          <cell r="BO136">
            <v>21371</v>
          </cell>
          <cell r="BP136">
            <v>58650</v>
          </cell>
        </row>
        <row r="137">
          <cell r="A137" t="str">
            <v xml:space="preserve">  % Change</v>
          </cell>
          <cell r="U137">
            <v>8.5714285714285712</v>
          </cell>
          <cell r="V137">
            <v>1.568759730150493</v>
          </cell>
          <cell r="W137">
            <v>1.3576405016256388</v>
          </cell>
          <cell r="X137">
            <v>2.2588081774684645</v>
          </cell>
          <cell r="Y137">
            <v>1.0047221213221942</v>
          </cell>
          <cell r="Z137">
            <v>0.65461432506887052</v>
          </cell>
          <cell r="AA137">
            <v>0.38455900317615432</v>
          </cell>
          <cell r="AB137">
            <v>0.64010256410256416</v>
          </cell>
          <cell r="AC137">
            <v>0.16145833333333326</v>
          </cell>
          <cell r="AD137">
            <v>1.3370998116760902E-2</v>
          </cell>
          <cell r="AE137">
            <v>-3.0506406345332526E-2</v>
          </cell>
          <cell r="AF137">
            <v>4.4826423997303744E-2</v>
          </cell>
          <cell r="AG137">
            <v>7.1842410196987228E-2</v>
          </cell>
          <cell r="AH137">
            <v>0.13796339746597841</v>
          </cell>
          <cell r="AI137">
            <v>0.36522138105069968</v>
          </cell>
          <cell r="AJ137">
            <v>0.1924860853432282</v>
          </cell>
          <cell r="AK137">
            <v>0.80475998386446146</v>
          </cell>
          <cell r="AL137">
            <v>1.227878787878788</v>
          </cell>
          <cell r="AM137">
            <v>1.658589440504334</v>
          </cell>
          <cell r="AN137">
            <v>1.2337827015483183</v>
          </cell>
          <cell r="AO137">
            <v>1.6698677296611706</v>
          </cell>
          <cell r="AP137">
            <v>1.88054110301769</v>
          </cell>
          <cell r="AQ137">
            <v>1.4610905240868184</v>
          </cell>
          <cell r="AR137">
            <v>1.6591832906009629</v>
          </cell>
          <cell r="AS137">
            <v>1.4263826606875933</v>
          </cell>
          <cell r="AT137">
            <v>1.5300130087344361</v>
          </cell>
          <cell r="AU137">
            <v>1.6402349486049927</v>
          </cell>
          <cell r="AV137">
            <v>1.5281290322580645</v>
          </cell>
          <cell r="AW137">
            <v>1.6960000000000002</v>
          </cell>
          <cell r="AX137">
            <v>1.5711340206185569</v>
          </cell>
          <cell r="AY137">
            <v>1.6012434884893296</v>
          </cell>
          <cell r="AZ137">
            <v>1.6201866977829638</v>
          </cell>
          <cell r="BA137">
            <v>1.0841528833258827</v>
          </cell>
          <cell r="BB137">
            <v>0.63239027928908231</v>
          </cell>
          <cell r="BC137">
            <v>0.67765839199703604</v>
          </cell>
          <cell r="BD137">
            <v>0.7714140599324788</v>
          </cell>
          <cell r="BE137">
            <v>0.37061418391584655</v>
          </cell>
          <cell r="BF137">
            <v>0.46672928256628854</v>
          </cell>
          <cell r="BG137">
            <v>0.6610740661074066</v>
          </cell>
          <cell r="BH137">
            <v>0.49716623944688765</v>
          </cell>
          <cell r="BI137">
            <v>0.66818111812721392</v>
          </cell>
          <cell r="BJ137">
            <v>0.53011605700014686</v>
          </cell>
          <cell r="BK137">
            <v>0.59653583346575556</v>
          </cell>
          <cell r="BL137">
            <v>0.59720308273362943</v>
          </cell>
          <cell r="BM137">
            <v>0.44823161440372128</v>
          </cell>
          <cell r="BN137">
            <v>0.54137931034482767</v>
          </cell>
          <cell r="BO137">
            <v>0.38055555555555554</v>
          </cell>
          <cell r="BP137">
            <v>0.45105024864543908</v>
          </cell>
        </row>
        <row r="138">
          <cell r="A138" t="str">
            <v>Sales (IMS)</v>
          </cell>
          <cell r="E138">
            <v>1.2926029999999999</v>
          </cell>
          <cell r="F138">
            <v>0.60927500000000001</v>
          </cell>
          <cell r="G138">
            <v>0.26016800000000001</v>
          </cell>
          <cell r="H138">
            <v>2.1620460000000001</v>
          </cell>
          <cell r="I138">
            <v>0.22992699999999999</v>
          </cell>
          <cell r="J138">
            <v>0.30076900000000001</v>
          </cell>
          <cell r="K138">
            <v>0.43883800000000001</v>
          </cell>
          <cell r="L138">
            <v>0.96953400000000001</v>
          </cell>
          <cell r="M138">
            <v>0.44332300000000002</v>
          </cell>
          <cell r="N138">
            <v>0.50647399999999998</v>
          </cell>
          <cell r="O138">
            <v>0.58268600000000004</v>
          </cell>
          <cell r="P138">
            <v>1.532483</v>
          </cell>
          <cell r="Q138">
            <v>0.44533800000000001</v>
          </cell>
          <cell r="R138">
            <v>0.433979</v>
          </cell>
          <cell r="S138">
            <v>0.58496300000000001</v>
          </cell>
          <cell r="T138">
            <v>1.46428</v>
          </cell>
          <cell r="U138">
            <v>0.52914000000000005</v>
          </cell>
          <cell r="V138">
            <v>0.72849900000000001</v>
          </cell>
          <cell r="W138">
            <v>0.75752299999999995</v>
          </cell>
          <cell r="X138">
            <v>2.0151620000000001</v>
          </cell>
          <cell r="Y138">
            <v>0.57276700000000003</v>
          </cell>
          <cell r="Z138">
            <v>0.62759399999999999</v>
          </cell>
          <cell r="AA138">
            <v>0.80480399999999996</v>
          </cell>
          <cell r="AB138">
            <v>2.0051649999999999</v>
          </cell>
          <cell r="AC138">
            <v>0.63492099999999996</v>
          </cell>
          <cell r="AD138">
            <v>0.67099799999999998</v>
          </cell>
          <cell r="AE138">
            <v>0.87665199999999999</v>
          </cell>
          <cell r="AF138">
            <v>2.1825709999999998</v>
          </cell>
          <cell r="AG138">
            <v>0.67092600000000002</v>
          </cell>
          <cell r="AH138">
            <v>0.672655</v>
          </cell>
          <cell r="AI138">
            <v>1.0725359999999999</v>
          </cell>
          <cell r="AJ138">
            <v>2.4161169999999998</v>
          </cell>
          <cell r="AK138">
            <v>1.1856549999999999</v>
          </cell>
          <cell r="AL138">
            <v>1.326308</v>
          </cell>
          <cell r="AM138">
            <v>1.973638</v>
          </cell>
          <cell r="AN138">
            <v>4.4856009999999999</v>
          </cell>
          <cell r="AO138">
            <v>1.729873</v>
          </cell>
          <cell r="AP138">
            <v>1.7565379999999999</v>
          </cell>
          <cell r="AQ138">
            <v>2.3425419999999999</v>
          </cell>
          <cell r="AR138">
            <v>5.8289530000000003</v>
          </cell>
          <cell r="AS138">
            <v>1.816646</v>
          </cell>
          <cell r="AT138">
            <v>1.8734869999999999</v>
          </cell>
          <cell r="AU138">
            <v>2.5196000000000001</v>
          </cell>
          <cell r="AV138">
            <v>6.2097329999999999</v>
          </cell>
          <cell r="AW138">
            <v>1.959198</v>
          </cell>
          <cell r="AX138">
            <v>1.973303</v>
          </cell>
          <cell r="AY138">
            <v>2.800011</v>
          </cell>
          <cell r="AZ138">
            <v>6.7325119999999998</v>
          </cell>
          <cell r="BA138">
            <v>2.508435</v>
          </cell>
          <cell r="BB138">
            <v>2.5253920000000001</v>
          </cell>
          <cell r="BC138">
            <v>3.3771040000000001</v>
          </cell>
          <cell r="BD138">
            <v>8.4109309999999997</v>
          </cell>
          <cell r="BE138">
            <v>2.6080809999999999</v>
          </cell>
          <cell r="BF138">
            <v>2.9500139999999999</v>
          </cell>
          <cell r="BG138">
            <v>3.7416239999999998</v>
          </cell>
          <cell r="BH138">
            <v>9.2997189999999996</v>
          </cell>
          <cell r="BI138">
            <v>2.9730530000000002</v>
          </cell>
          <cell r="BJ138">
            <v>3.5139749999999998</v>
          </cell>
          <cell r="BK138">
            <v>4.1833710000000002</v>
          </cell>
          <cell r="BL138">
            <v>10.670399</v>
          </cell>
          <cell r="BM138">
            <v>2.997957</v>
          </cell>
          <cell r="BN138">
            <v>3.0149400000000002</v>
          </cell>
        </row>
        <row r="139">
          <cell r="A139" t="str">
            <v xml:space="preserve">  % Change</v>
          </cell>
          <cell r="U139">
            <v>-0.59063997221111197</v>
          </cell>
          <cell r="V139">
            <v>0.19568175290304057</v>
          </cell>
          <cell r="W139">
            <v>1.9116686141262567</v>
          </cell>
          <cell r="X139">
            <v>-6.7937499942184343E-2</v>
          </cell>
          <cell r="Y139">
            <v>1.49108195209784</v>
          </cell>
          <cell r="Z139">
            <v>1.0866312685150397</v>
          </cell>
          <cell r="AA139">
            <v>0.83394327747369168</v>
          </cell>
          <cell r="AB139">
            <v>1.0681739887409827</v>
          </cell>
          <cell r="AC139">
            <v>0.43218601335820583</v>
          </cell>
          <cell r="AD139">
            <v>0.32484194647701559</v>
          </cell>
          <cell r="AE139">
            <v>0.50450156688164793</v>
          </cell>
          <cell r="AF139">
            <v>0.42420568450025198</v>
          </cell>
          <cell r="AG139">
            <v>0.50655457203292786</v>
          </cell>
          <cell r="AH139">
            <v>0.54997131197592508</v>
          </cell>
          <cell r="AI139">
            <v>0.83351083743758148</v>
          </cell>
          <cell r="AJ139">
            <v>0.65003756112218958</v>
          </cell>
          <cell r="AK139">
            <v>1.2407207922288994</v>
          </cell>
          <cell r="AL139">
            <v>0.82060373452811874</v>
          </cell>
          <cell r="AM139">
            <v>1.6053835989138285</v>
          </cell>
          <cell r="AN139">
            <v>1.2259257568374156</v>
          </cell>
          <cell r="AO139">
            <v>2.0202036779353558</v>
          </cell>
          <cell r="AP139">
            <v>1.7988444758872775</v>
          </cell>
          <cell r="AQ139">
            <v>1.9106987539823361</v>
          </cell>
          <cell r="AR139">
            <v>1.9069692519069505</v>
          </cell>
          <cell r="AS139">
            <v>1.8612158048009122</v>
          </cell>
          <cell r="AT139">
            <v>1.7920902893898343</v>
          </cell>
          <cell r="AU139">
            <v>1.8741165251433864</v>
          </cell>
          <cell r="AV139">
            <v>1.8451459311060217</v>
          </cell>
          <cell r="AW139">
            <v>1.9201402241081729</v>
          </cell>
          <cell r="AX139">
            <v>1.9336034073930914</v>
          </cell>
          <cell r="AY139">
            <v>1.6106452370829514</v>
          </cell>
          <cell r="AZ139">
            <v>1.7865008192897944</v>
          </cell>
          <cell r="BA139">
            <v>1.1156533730300975</v>
          </cell>
          <cell r="BB139">
            <v>0.90407657949737175</v>
          </cell>
          <cell r="BC139">
            <v>0.71110608936390562</v>
          </cell>
          <cell r="BD139">
            <v>0.87509566722497167</v>
          </cell>
          <cell r="BE139">
            <v>0.5076719504842262</v>
          </cell>
          <cell r="BF139">
            <v>0.67944786847765326</v>
          </cell>
          <cell r="BG139">
            <v>0.59724948368054864</v>
          </cell>
          <cell r="BH139">
            <v>0.59543557822476845</v>
          </cell>
          <cell r="BI139">
            <v>0.63656155354427901</v>
          </cell>
          <cell r="BJ139">
            <v>0.87563351120130539</v>
          </cell>
          <cell r="BK139">
            <v>0.6603314018098112</v>
          </cell>
          <cell r="BL139">
            <v>0.71833458862079902</v>
          </cell>
          <cell r="BM139">
            <v>0.53019602919153663</v>
          </cell>
          <cell r="BN139">
            <v>0.52786470197430413</v>
          </cell>
        </row>
        <row r="141">
          <cell r="A141" t="str">
            <v xml:space="preserve">NASAREL </v>
          </cell>
        </row>
        <row r="142">
          <cell r="A142" t="str">
            <v>TRx</v>
          </cell>
          <cell r="D142">
            <v>47045</v>
          </cell>
          <cell r="E142">
            <v>47955</v>
          </cell>
          <cell r="F142">
            <v>46309</v>
          </cell>
          <cell r="G142">
            <v>48174</v>
          </cell>
          <cell r="H142">
            <v>142438</v>
          </cell>
          <cell r="I142">
            <v>50124</v>
          </cell>
          <cell r="J142">
            <v>41715</v>
          </cell>
          <cell r="K142">
            <v>45226</v>
          </cell>
          <cell r="L142">
            <v>137065</v>
          </cell>
          <cell r="M142">
            <v>40161</v>
          </cell>
          <cell r="N142">
            <v>37111</v>
          </cell>
          <cell r="O142">
            <v>29443</v>
          </cell>
          <cell r="P142">
            <v>106715</v>
          </cell>
          <cell r="Q142">
            <v>26954</v>
          </cell>
          <cell r="R142">
            <v>27517</v>
          </cell>
          <cell r="S142">
            <v>26564</v>
          </cell>
          <cell r="T142">
            <v>81035</v>
          </cell>
          <cell r="U142">
            <v>27888</v>
          </cell>
          <cell r="V142">
            <v>25454</v>
          </cell>
          <cell r="W142">
            <v>26055</v>
          </cell>
          <cell r="X142">
            <v>79397</v>
          </cell>
          <cell r="Y142">
            <v>25467</v>
          </cell>
          <cell r="Z142">
            <v>22730</v>
          </cell>
          <cell r="AA142">
            <v>22890</v>
          </cell>
          <cell r="AB142">
            <v>71087</v>
          </cell>
          <cell r="AC142">
            <v>23083</v>
          </cell>
          <cell r="AD142">
            <v>21221</v>
          </cell>
          <cell r="AE142">
            <v>17524</v>
          </cell>
          <cell r="AF142">
            <v>61828</v>
          </cell>
          <cell r="AG142">
            <v>16837</v>
          </cell>
          <cell r="AH142">
            <v>17081</v>
          </cell>
          <cell r="AI142">
            <v>16769</v>
          </cell>
          <cell r="AJ142">
            <v>50687</v>
          </cell>
          <cell r="AK142">
            <v>17053</v>
          </cell>
          <cell r="AL142">
            <v>16601</v>
          </cell>
          <cell r="AM142">
            <v>17710</v>
          </cell>
          <cell r="AN142">
            <v>51364</v>
          </cell>
          <cell r="AO142">
            <v>17256</v>
          </cell>
          <cell r="AP142">
            <v>16181</v>
          </cell>
          <cell r="AQ142">
            <v>18316</v>
          </cell>
          <cell r="AR142">
            <v>51753</v>
          </cell>
          <cell r="AS142">
            <v>18637</v>
          </cell>
          <cell r="AT142">
            <v>18850</v>
          </cell>
          <cell r="AU142">
            <v>17472</v>
          </cell>
          <cell r="AV142">
            <v>54959</v>
          </cell>
          <cell r="AW142">
            <v>17188</v>
          </cell>
          <cell r="AX142">
            <v>18027</v>
          </cell>
          <cell r="AY142">
            <v>20287</v>
          </cell>
          <cell r="AZ142">
            <v>55502</v>
          </cell>
          <cell r="BA142">
            <v>21675</v>
          </cell>
          <cell r="BB142">
            <v>19481</v>
          </cell>
          <cell r="BC142">
            <v>23334</v>
          </cell>
          <cell r="BD142">
            <v>64490</v>
          </cell>
          <cell r="BE142">
            <v>21701</v>
          </cell>
          <cell r="BF142">
            <v>21127</v>
          </cell>
          <cell r="BG142">
            <v>27191</v>
          </cell>
          <cell r="BH142">
            <v>70019</v>
          </cell>
          <cell r="BI142">
            <v>26105</v>
          </cell>
          <cell r="BJ142">
            <v>24532</v>
          </cell>
          <cell r="BK142">
            <v>22964</v>
          </cell>
          <cell r="BL142">
            <v>73601</v>
          </cell>
          <cell r="BM142">
            <v>21127</v>
          </cell>
          <cell r="BN142">
            <v>23039</v>
          </cell>
          <cell r="BO142">
            <v>24358</v>
          </cell>
          <cell r="BP142">
            <v>68524</v>
          </cell>
        </row>
        <row r="143">
          <cell r="A143" t="str">
            <v xml:space="preserve">  % Change</v>
          </cell>
          <cell r="S143">
            <v>-0.43534913380805607</v>
          </cell>
          <cell r="U143">
            <v>-0.41845480137629032</v>
          </cell>
          <cell r="V143">
            <v>-0.45034442548964559</v>
          </cell>
          <cell r="W143">
            <v>-0.45914808818034625</v>
          </cell>
          <cell r="X143">
            <v>-0.44258554599194033</v>
          </cell>
          <cell r="Y143">
            <v>-0.49192003830500364</v>
          </cell>
          <cell r="Z143">
            <v>-0.45511206999880138</v>
          </cell>
          <cell r="AA143">
            <v>-0.49387520452836864</v>
          </cell>
          <cell r="AB143">
            <v>-0.48136285703863135</v>
          </cell>
          <cell r="AC143">
            <v>-0.42523841537810314</v>
          </cell>
          <cell r="AD143">
            <v>-0.42817493465549294</v>
          </cell>
          <cell r="AE143">
            <v>-0.40481608531739288</v>
          </cell>
          <cell r="AF143">
            <v>-0.4206250292836059</v>
          </cell>
          <cell r="AG143">
            <v>-0.37534317726496991</v>
          </cell>
          <cell r="AH143">
            <v>-0.37925645964312971</v>
          </cell>
          <cell r="AI143">
            <v>-0.36873211865682876</v>
          </cell>
          <cell r="AJ143">
            <v>-0.37450484358610481</v>
          </cell>
          <cell r="AK143">
            <v>-0.38851835915088928</v>
          </cell>
          <cell r="AL143">
            <v>-0.34780388151174668</v>
          </cell>
          <cell r="AM143">
            <v>-0.32028401458453271</v>
          </cell>
          <cell r="AN143">
            <v>-0.35307379372016579</v>
          </cell>
          <cell r="AO143">
            <v>-0.32241724584756748</v>
          </cell>
          <cell r="AP143">
            <v>-0.28812142542894847</v>
          </cell>
          <cell r="AQ143">
            <v>-0.19982525120139794</v>
          </cell>
          <cell r="AR143">
            <v>-0.27197659206324643</v>
          </cell>
          <cell r="AS143">
            <v>-0.19260927955638352</v>
          </cell>
          <cell r="AT143">
            <v>-0.11172894774044584</v>
          </cell>
          <cell r="AU143">
            <v>-2.9673590504450953E-3</v>
          </cell>
          <cell r="AV143">
            <v>-0.11109853140971726</v>
          </cell>
          <cell r="AW143">
            <v>2.0846944229969688E-2</v>
          </cell>
          <cell r="AX143">
            <v>5.5383174287219727E-2</v>
          </cell>
          <cell r="AY143">
            <v>0.20979187786987885</v>
          </cell>
          <cell r="AZ143">
            <v>9.4994771834987279E-2</v>
          </cell>
          <cell r="BA143">
            <v>0.27103735413123786</v>
          </cell>
          <cell r="BB143">
            <v>0.17348352508885001</v>
          </cell>
          <cell r="BC143">
            <v>0.31756070016939586</v>
          </cell>
          <cell r="BD143">
            <v>0.25554863328401223</v>
          </cell>
          <cell r="BE143">
            <v>0.25759156235512282</v>
          </cell>
          <cell r="BF143">
            <v>0.30566714047339483</v>
          </cell>
          <cell r="BG143">
            <v>0.48454902817208989</v>
          </cell>
          <cell r="BH143">
            <v>0.35294572295325866</v>
          </cell>
          <cell r="BI143">
            <v>0.40070826849814889</v>
          </cell>
          <cell r="BJ143">
            <v>0.30143236074270563</v>
          </cell>
          <cell r="BK143">
            <v>0.31433150183150182</v>
          </cell>
          <cell r="BL143">
            <v>0.33919831146854929</v>
          </cell>
          <cell r="BM143">
            <v>0.2291715150104725</v>
          </cell>
          <cell r="BN143">
            <v>0.27802740333943521</v>
          </cell>
          <cell r="BO143">
            <v>0.20067038004633519</v>
          </cell>
          <cell r="BP143">
            <v>0.23462217577744937</v>
          </cell>
        </row>
        <row r="144">
          <cell r="A144" t="str">
            <v>NRx</v>
          </cell>
          <cell r="D144">
            <v>27602</v>
          </cell>
          <cell r="E144">
            <v>28440</v>
          </cell>
          <cell r="F144">
            <v>27772</v>
          </cell>
          <cell r="G144">
            <v>28289</v>
          </cell>
          <cell r="H144">
            <v>84501</v>
          </cell>
          <cell r="I144">
            <v>32102</v>
          </cell>
          <cell r="J144">
            <v>25438</v>
          </cell>
          <cell r="K144">
            <v>26934</v>
          </cell>
          <cell r="L144">
            <v>84474</v>
          </cell>
          <cell r="M144">
            <v>22529</v>
          </cell>
          <cell r="N144">
            <v>20081</v>
          </cell>
          <cell r="O144">
            <v>13605</v>
          </cell>
          <cell r="P144">
            <v>56215</v>
          </cell>
          <cell r="Q144">
            <v>12046</v>
          </cell>
          <cell r="R144">
            <v>12622</v>
          </cell>
          <cell r="S144">
            <v>12449</v>
          </cell>
          <cell r="T144">
            <v>37117</v>
          </cell>
          <cell r="U144">
            <v>13190</v>
          </cell>
          <cell r="V144">
            <v>11298</v>
          </cell>
          <cell r="W144">
            <v>11680</v>
          </cell>
          <cell r="X144">
            <v>36168</v>
          </cell>
          <cell r="Y144">
            <v>12975</v>
          </cell>
          <cell r="Z144">
            <v>11591</v>
          </cell>
          <cell r="AA144">
            <v>11285</v>
          </cell>
          <cell r="AB144">
            <v>35851</v>
          </cell>
          <cell r="AC144">
            <v>12046</v>
          </cell>
          <cell r="AD144">
            <v>10619</v>
          </cell>
          <cell r="AE144">
            <v>8312</v>
          </cell>
          <cell r="AF144">
            <v>30977</v>
          </cell>
          <cell r="AG144">
            <v>7812</v>
          </cell>
          <cell r="AH144">
            <v>8016</v>
          </cell>
          <cell r="AI144">
            <v>8288</v>
          </cell>
          <cell r="AJ144">
            <v>24116</v>
          </cell>
          <cell r="AK144">
            <v>8430</v>
          </cell>
          <cell r="AL144">
            <v>8265</v>
          </cell>
          <cell r="AM144">
            <v>8727</v>
          </cell>
          <cell r="AN144">
            <v>25422</v>
          </cell>
          <cell r="AO144">
            <v>9519</v>
          </cell>
          <cell r="AP144">
            <v>8976</v>
          </cell>
          <cell r="AQ144">
            <v>10474</v>
          </cell>
          <cell r="AR144">
            <v>28969</v>
          </cell>
          <cell r="AS144">
            <v>10659</v>
          </cell>
          <cell r="AT144">
            <v>10640</v>
          </cell>
          <cell r="AU144">
            <v>9638</v>
          </cell>
          <cell r="AV144">
            <v>30937</v>
          </cell>
          <cell r="AW144">
            <v>9565</v>
          </cell>
          <cell r="AX144">
            <v>10702</v>
          </cell>
          <cell r="AY144">
            <v>12409</v>
          </cell>
          <cell r="AZ144">
            <v>32676</v>
          </cell>
          <cell r="BA144">
            <v>13376</v>
          </cell>
          <cell r="BB144">
            <v>11575</v>
          </cell>
          <cell r="BC144">
            <v>13856</v>
          </cell>
          <cell r="BD144">
            <v>38807</v>
          </cell>
          <cell r="BE144">
            <v>13272</v>
          </cell>
          <cell r="BF144">
            <v>13528</v>
          </cell>
          <cell r="BG144">
            <v>18073</v>
          </cell>
          <cell r="BH144">
            <v>44873</v>
          </cell>
          <cell r="BI144">
            <v>17061</v>
          </cell>
          <cell r="BJ144">
            <v>15458</v>
          </cell>
          <cell r="BK144">
            <v>13632</v>
          </cell>
          <cell r="BL144">
            <v>46151</v>
          </cell>
          <cell r="BM144">
            <v>12276</v>
          </cell>
          <cell r="BN144">
            <v>13748</v>
          </cell>
          <cell r="BO144">
            <v>14985</v>
          </cell>
          <cell r="BP144">
            <v>41009</v>
          </cell>
        </row>
        <row r="145">
          <cell r="A145" t="str">
            <v xml:space="preserve">  % Change</v>
          </cell>
          <cell r="S145">
            <v>-0.54898195782914283</v>
          </cell>
          <cell r="U145">
            <v>-0.53621659634317864</v>
          </cell>
          <cell r="V145">
            <v>-0.59318738297565887</v>
          </cell>
          <cell r="W145">
            <v>-0.5871186680335112</v>
          </cell>
          <cell r="X145">
            <v>-0.57198139666986192</v>
          </cell>
          <cell r="Y145">
            <v>-0.5958195751043549</v>
          </cell>
          <cell r="Z145">
            <v>-0.5443431087349635</v>
          </cell>
          <cell r="AA145">
            <v>-0.58101284621667781</v>
          </cell>
          <cell r="AB145">
            <v>-0.57559722518171275</v>
          </cell>
          <cell r="AC145">
            <v>-0.46531137644813347</v>
          </cell>
          <cell r="AD145">
            <v>-0.47119167372142823</v>
          </cell>
          <cell r="AE145">
            <v>-0.38904814406468213</v>
          </cell>
          <cell r="AF145">
            <v>-0.44895490527439297</v>
          </cell>
          <cell r="AG145">
            <v>-0.35148597044662133</v>
          </cell>
          <cell r="AH145">
            <v>-0.36491839645064172</v>
          </cell>
          <cell r="AI145">
            <v>-0.33424371435456668</v>
          </cell>
          <cell r="AJ145">
            <v>-0.35027076541746371</v>
          </cell>
          <cell r="AK145">
            <v>-0.36087945413191813</v>
          </cell>
          <cell r="AL145">
            <v>-0.26845459373340419</v>
          </cell>
          <cell r="AM145">
            <v>-0.25282534246575339</v>
          </cell>
          <cell r="AN145">
            <v>-0.29711347047113468</v>
          </cell>
          <cell r="AO145">
            <v>-0.26635838150289015</v>
          </cell>
          <cell r="AP145">
            <v>-0.22560607367785346</v>
          </cell>
          <cell r="AQ145">
            <v>-7.186530793088175E-2</v>
          </cell>
          <cell r="AR145">
            <v>-0.19196117263116785</v>
          </cell>
          <cell r="AS145">
            <v>-0.1151419558359621</v>
          </cell>
          <cell r="AT145">
            <v>1.9775873434411118E-3</v>
          </cell>
          <cell r="AU145">
            <v>0.15952839268527441</v>
          </cell>
          <cell r="AV145">
            <v>-1.2912806275623412E-3</v>
          </cell>
          <cell r="AW145">
            <v>0.2243983614951357</v>
          </cell>
          <cell r="AX145">
            <v>0.33507984031936133</v>
          </cell>
          <cell r="AY145">
            <v>0.49722490347490345</v>
          </cell>
          <cell r="AZ145">
            <v>0.35495106982915914</v>
          </cell>
          <cell r="BA145">
            <v>0.58671411625148284</v>
          </cell>
          <cell r="BB145">
            <v>0.40048396854204471</v>
          </cell>
          <cell r="BC145">
            <v>0.58771628280050425</v>
          </cell>
          <cell r="BD145">
            <v>0.52651246951459374</v>
          </cell>
          <cell r="BE145">
            <v>0.39426410337220297</v>
          </cell>
          <cell r="BF145">
            <v>0.50713012477718356</v>
          </cell>
          <cell r="BG145">
            <v>0.72551078861943852</v>
          </cell>
          <cell r="BH145">
            <v>0.54900065587351987</v>
          </cell>
          <cell r="BI145">
            <v>0.60061919504643968</v>
          </cell>
          <cell r="BJ145">
            <v>0.45281954887218046</v>
          </cell>
          <cell r="BK145">
            <v>0.41440132807636432</v>
          </cell>
          <cell r="BL145">
            <v>0.49177360442188967</v>
          </cell>
          <cell r="BM145">
            <v>0.28342916884474656</v>
          </cell>
          <cell r="BN145">
            <v>0.28461969725284986</v>
          </cell>
          <cell r="BO145">
            <v>0.20759126440486741</v>
          </cell>
          <cell r="BP145">
            <v>0.25501897417064523</v>
          </cell>
        </row>
        <row r="146">
          <cell r="A146" t="str">
            <v>Sales (IMS)</v>
          </cell>
          <cell r="C146">
            <v>1.6148960000000001</v>
          </cell>
          <cell r="D146">
            <v>2.286152</v>
          </cell>
          <cell r="E146">
            <v>1.8084180000000001</v>
          </cell>
          <cell r="F146">
            <v>1.7323599999999999</v>
          </cell>
          <cell r="G146">
            <v>2.333628</v>
          </cell>
          <cell r="H146">
            <v>5.8744060000000005</v>
          </cell>
          <cell r="I146">
            <v>1.891051</v>
          </cell>
          <cell r="J146">
            <v>1.788678</v>
          </cell>
          <cell r="K146">
            <v>2.1397409999999999</v>
          </cell>
          <cell r="L146">
            <v>5.8194699999999999</v>
          </cell>
          <cell r="M146">
            <v>1.5325089999999999</v>
          </cell>
          <cell r="N146">
            <v>1.4671000000000001</v>
          </cell>
          <cell r="O146">
            <v>1.618743</v>
          </cell>
          <cell r="P146">
            <v>4.6183519999999998</v>
          </cell>
          <cell r="Q146">
            <v>1.227627</v>
          </cell>
          <cell r="R146">
            <v>1.324065</v>
          </cell>
          <cell r="S146">
            <v>1.8474390000000001</v>
          </cell>
          <cell r="T146">
            <v>4.3991310000000006</v>
          </cell>
          <cell r="U146">
            <v>1.231884</v>
          </cell>
          <cell r="V146">
            <v>1.5684610000000001</v>
          </cell>
          <cell r="W146">
            <v>1.5964339999999999</v>
          </cell>
          <cell r="X146">
            <v>4.3967790000000004</v>
          </cell>
          <cell r="Y146">
            <v>1.1877740000000001</v>
          </cell>
          <cell r="Z146">
            <v>1.4442250000000001</v>
          </cell>
          <cell r="AA146">
            <v>1.564927</v>
          </cell>
          <cell r="AB146">
            <v>4.1969260000000004</v>
          </cell>
          <cell r="AC146">
            <v>1.2220489999999999</v>
          </cell>
          <cell r="AD146">
            <v>0.951407</v>
          </cell>
          <cell r="AE146">
            <v>1.2161120000000001</v>
          </cell>
          <cell r="AF146">
            <v>3.3895679999999997</v>
          </cell>
          <cell r="AG146">
            <v>0.80893899999999996</v>
          </cell>
          <cell r="AH146">
            <v>0.849217</v>
          </cell>
          <cell r="AI146">
            <v>1.243592</v>
          </cell>
          <cell r="AJ146">
            <v>2.901748</v>
          </cell>
          <cell r="AK146">
            <v>0.86733300000000002</v>
          </cell>
          <cell r="AL146">
            <v>0.998722</v>
          </cell>
          <cell r="AM146">
            <v>1.206413</v>
          </cell>
          <cell r="AN146">
            <v>3.0724679999999998</v>
          </cell>
          <cell r="AO146">
            <v>0.93810300000000002</v>
          </cell>
          <cell r="AP146">
            <v>1.0585100000000001</v>
          </cell>
          <cell r="AQ146">
            <v>1.48146</v>
          </cell>
          <cell r="AR146">
            <v>3.4780730000000002</v>
          </cell>
          <cell r="AS146">
            <v>1.4084429999999999</v>
          </cell>
          <cell r="AT146">
            <v>1.560438</v>
          </cell>
          <cell r="AU146">
            <v>1.465684</v>
          </cell>
          <cell r="AV146">
            <v>4.4345650000000001</v>
          </cell>
          <cell r="AW146">
            <v>0.94428100000000004</v>
          </cell>
          <cell r="AX146">
            <v>0.96207100000000001</v>
          </cell>
          <cell r="AY146">
            <v>1.5607500000000001</v>
          </cell>
          <cell r="AZ146">
            <v>3.4671020000000001</v>
          </cell>
          <cell r="BA146">
            <v>1.076311</v>
          </cell>
          <cell r="BB146">
            <v>1.0798989999999999</v>
          </cell>
          <cell r="BC146">
            <v>1.4446380000000001</v>
          </cell>
          <cell r="BD146">
            <v>3.600848</v>
          </cell>
          <cell r="BE146">
            <v>1.1282380000000001</v>
          </cell>
          <cell r="BF146">
            <v>1.191098</v>
          </cell>
          <cell r="BG146">
            <v>1.7212940000000001</v>
          </cell>
          <cell r="BH146">
            <v>4.0406300000000002</v>
          </cell>
          <cell r="BI146">
            <v>1.4089370000000001</v>
          </cell>
          <cell r="BJ146">
            <v>1.388803</v>
          </cell>
          <cell r="BK146">
            <v>1.4968349999999999</v>
          </cell>
          <cell r="BL146">
            <v>4.294575</v>
          </cell>
          <cell r="BM146">
            <v>1.1440239999999999</v>
          </cell>
          <cell r="BN146">
            <v>1.171586</v>
          </cell>
        </row>
        <row r="147">
          <cell r="A147" t="str">
            <v xml:space="preserve">  % Change</v>
          </cell>
          <cell r="S147">
            <v>-0.19190018861388036</v>
          </cell>
          <cell r="U147">
            <v>-0.31880571858939699</v>
          </cell>
          <cell r="V147">
            <v>-9.4610242674732614E-2</v>
          </cell>
          <cell r="W147">
            <v>-0.31590039200763798</v>
          </cell>
          <cell r="X147">
            <v>-0.25153641066007348</v>
          </cell>
          <cell r="Y147">
            <v>-0.37189742635180112</v>
          </cell>
          <cell r="Z147">
            <v>-0.19257406866971016</v>
          </cell>
          <cell r="AA147">
            <v>-0.26863718552852889</v>
          </cell>
          <cell r="AB147">
            <v>-0.27881301905499978</v>
          </cell>
          <cell r="AC147">
            <v>-0.20258282333089073</v>
          </cell>
          <cell r="AD147">
            <v>-0.35150500988344358</v>
          </cell>
          <cell r="AE147">
            <v>-0.24873065088157909</v>
          </cell>
          <cell r="AF147">
            <v>-0.26606547097319566</v>
          </cell>
          <cell r="AG147">
            <v>-0.34105473405195552</v>
          </cell>
          <cell r="AH147">
            <v>-0.35862891927511109</v>
          </cell>
          <cell r="AI147">
            <v>-0.32685625885347225</v>
          </cell>
          <cell r="AJ147">
            <v>-0.34038154353666672</v>
          </cell>
          <cell r="AK147">
            <v>-0.2959296492202188</v>
          </cell>
          <cell r="AL147">
            <v>-0.36324715756400705</v>
          </cell>
          <cell r="AM147">
            <v>-0.24430762562060193</v>
          </cell>
          <cell r="AN147">
            <v>-0.30120026501218289</v>
          </cell>
          <cell r="AO147">
            <v>-0.21020076209784022</v>
          </cell>
          <cell r="AP147">
            <v>-0.26707403624781456</v>
          </cell>
          <cell r="AQ147">
            <v>-5.3336034204790383E-2</v>
          </cell>
          <cell r="AR147">
            <v>-0.17128083745102962</v>
          </cell>
          <cell r="AS147">
            <v>0.15252579888367812</v>
          </cell>
          <cell r="AT147">
            <v>0.6401371862935632</v>
          </cell>
          <cell r="AU147">
            <v>0.20522122962358713</v>
          </cell>
          <cell r="AV147">
            <v>0.30829798959631449</v>
          </cell>
          <cell r="AW147">
            <v>0.16730804176829173</v>
          </cell>
          <cell r="AX147">
            <v>0.13289182859033666</v>
          </cell>
          <cell r="AY147">
            <v>0.25503380529948738</v>
          </cell>
          <cell r="AZ147">
            <v>0.19483221837320119</v>
          </cell>
          <cell r="BA147">
            <v>0.24094321327563928</v>
          </cell>
          <cell r="BB147">
            <v>8.128087696075581E-2</v>
          </cell>
          <cell r="BC147">
            <v>0.19746554455232168</v>
          </cell>
          <cell r="BD147">
            <v>0.1719724989812752</v>
          </cell>
          <cell r="BE147">
            <v>0.2026803026959727</v>
          </cell>
          <cell r="BF147">
            <v>0.12525909060849671</v>
          </cell>
          <cell r="BG147">
            <v>0.1618902974093126</v>
          </cell>
          <cell r="BH147">
            <v>0.16174387369097776</v>
          </cell>
          <cell r="BI147">
            <v>3.5074191855843928E-4</v>
          </cell>
          <cell r="BJ147">
            <v>-0.10999155365352542</v>
          </cell>
          <cell r="BK147">
            <v>2.1253558065722267E-2</v>
          </cell>
          <cell r="BL147">
            <v>-3.1567921543601218E-2</v>
          </cell>
          <cell r="BM147">
            <v>0.21152919522896241</v>
          </cell>
          <cell r="BN147">
            <v>0.2177749875009225</v>
          </cell>
        </row>
        <row r="149">
          <cell r="A149" t="str">
            <v>TRx BRANDED</v>
          </cell>
          <cell r="D149">
            <v>47045</v>
          </cell>
          <cell r="E149">
            <v>48613</v>
          </cell>
          <cell r="F149">
            <v>48483</v>
          </cell>
          <cell r="G149">
            <v>50868</v>
          </cell>
          <cell r="H149">
            <v>147964</v>
          </cell>
          <cell r="I149">
            <v>53802</v>
          </cell>
          <cell r="J149">
            <v>45759</v>
          </cell>
          <cell r="K149">
            <v>51129</v>
          </cell>
          <cell r="L149">
            <v>150690</v>
          </cell>
          <cell r="M149">
            <v>46973</v>
          </cell>
          <cell r="N149">
            <v>45297</v>
          </cell>
          <cell r="O149">
            <v>37694</v>
          </cell>
          <cell r="P149">
            <v>129964</v>
          </cell>
          <cell r="Q149">
            <v>35066</v>
          </cell>
          <cell r="R149">
            <v>36062</v>
          </cell>
          <cell r="S149">
            <v>34839</v>
          </cell>
          <cell r="T149">
            <v>105967</v>
          </cell>
          <cell r="U149">
            <v>37365</v>
          </cell>
          <cell r="V149">
            <v>34777</v>
          </cell>
          <cell r="W149">
            <v>36085</v>
          </cell>
          <cell r="X149">
            <v>108227</v>
          </cell>
          <cell r="Y149">
            <v>35850</v>
          </cell>
          <cell r="Z149">
            <v>32146</v>
          </cell>
          <cell r="AA149">
            <v>33524</v>
          </cell>
          <cell r="AB149">
            <v>101520</v>
          </cell>
          <cell r="AC149">
            <v>33775</v>
          </cell>
          <cell r="AD149">
            <v>32019</v>
          </cell>
          <cell r="AE149">
            <v>27280</v>
          </cell>
          <cell r="AF149">
            <v>93074</v>
          </cell>
          <cell r="AG149">
            <v>26699</v>
          </cell>
          <cell r="AH149">
            <v>27296</v>
          </cell>
          <cell r="AI149">
            <v>28117</v>
          </cell>
          <cell r="AJ149">
            <v>82112</v>
          </cell>
          <cell r="AK149">
            <v>32049</v>
          </cell>
          <cell r="AL149">
            <v>34484</v>
          </cell>
          <cell r="AM149">
            <v>39944</v>
          </cell>
          <cell r="AN149">
            <v>106477</v>
          </cell>
          <cell r="AO149">
            <v>41656</v>
          </cell>
          <cell r="AP149">
            <v>40130</v>
          </cell>
          <cell r="AQ149">
            <v>44592</v>
          </cell>
          <cell r="AR149">
            <v>126378</v>
          </cell>
          <cell r="AS149">
            <v>43699</v>
          </cell>
          <cell r="AT149">
            <v>45613</v>
          </cell>
          <cell r="AU149">
            <v>43166</v>
          </cell>
          <cell r="AV149">
            <v>132478</v>
          </cell>
          <cell r="AW149">
            <v>42994</v>
          </cell>
          <cell r="AX149">
            <v>43907</v>
          </cell>
          <cell r="AY149">
            <v>49743</v>
          </cell>
          <cell r="AZ149">
            <v>136644</v>
          </cell>
          <cell r="BA149">
            <v>55112</v>
          </cell>
          <cell r="BB149">
            <v>51943</v>
          </cell>
          <cell r="BC149">
            <v>63217</v>
          </cell>
          <cell r="BD149">
            <v>170272</v>
          </cell>
          <cell r="BE149">
            <v>57686</v>
          </cell>
          <cell r="BF149">
            <v>56656</v>
          </cell>
          <cell r="BG149">
            <v>67767</v>
          </cell>
          <cell r="BH149">
            <v>182109</v>
          </cell>
          <cell r="BI149">
            <v>64711</v>
          </cell>
          <cell r="BJ149">
            <v>62334</v>
          </cell>
          <cell r="BK149">
            <v>61126</v>
          </cell>
          <cell r="BL149">
            <v>188171</v>
          </cell>
          <cell r="BM149">
            <v>57371</v>
          </cell>
          <cell r="BN149">
            <v>60901</v>
          </cell>
          <cell r="BO149">
            <v>64490</v>
          </cell>
          <cell r="BP149">
            <v>182762</v>
          </cell>
        </row>
        <row r="150">
          <cell r="A150" t="str">
            <v xml:space="preserve">  % Change</v>
          </cell>
          <cell r="S150">
            <v>-0.25945371452864274</v>
          </cell>
          <cell r="U150">
            <v>-0.23137843786641432</v>
          </cell>
          <cell r="V150">
            <v>-0.28269702782418582</v>
          </cell>
          <cell r="W150">
            <v>-0.29061492490367224</v>
          </cell>
          <cell r="X150">
            <v>-0.26855856830039737</v>
          </cell>
          <cell r="Y150">
            <v>-0.33366789338686298</v>
          </cell>
          <cell r="Z150">
            <v>-0.29749338927861191</v>
          </cell>
          <cell r="AA150">
            <v>-0.34432513837548162</v>
          </cell>
          <cell r="AB150">
            <v>-0.32629902448735815</v>
          </cell>
          <cell r="AC150">
            <v>-0.2809699188895749</v>
          </cell>
          <cell r="AD150">
            <v>-0.29313199549639046</v>
          </cell>
          <cell r="AE150">
            <v>-0.27627739162731468</v>
          </cell>
          <cell r="AF150">
            <v>-0.28384783478501741</v>
          </cell>
          <cell r="AG150">
            <v>-0.23860719785547257</v>
          </cell>
          <cell r="AH150">
            <v>-0.24308135988020629</v>
          </cell>
          <cell r="AI150">
            <v>-0.19294468842389279</v>
          </cell>
          <cell r="AJ150">
            <v>-0.22511725348457534</v>
          </cell>
          <cell r="AK150">
            <v>-0.14227217984745077</v>
          </cell>
          <cell r="AL150">
            <v>-8.4251085487534461E-3</v>
          </cell>
          <cell r="AM150">
            <v>0.1069419426354441</v>
          </cell>
          <cell r="AN150">
            <v>-1.6169717353340718E-2</v>
          </cell>
          <cell r="AO150">
            <v>0.16195258019525793</v>
          </cell>
          <cell r="AP150">
            <v>0.24836682635475649</v>
          </cell>
          <cell r="AQ150">
            <v>0.33015153322992474</v>
          </cell>
          <cell r="AR150">
            <v>0.24485815602836869</v>
          </cell>
          <cell r="AS150">
            <v>0.29382679496669128</v>
          </cell>
          <cell r="AT150">
            <v>0.42456041725225657</v>
          </cell>
          <cell r="AU150">
            <v>0.58233137829912018</v>
          </cell>
          <cell r="AV150">
            <v>0.42336205599845278</v>
          </cell>
          <cell r="AW150">
            <v>0.61032248398816424</v>
          </cell>
          <cell r="AX150">
            <v>0.60855070339976547</v>
          </cell>
          <cell r="AY150">
            <v>0.76914322296119786</v>
          </cell>
          <cell r="AZ150">
            <v>0.66411730319563533</v>
          </cell>
          <cell r="BA150">
            <v>0.7196168367187743</v>
          </cell>
          <cell r="BB150">
            <v>0.50629277346015544</v>
          </cell>
          <cell r="BC150">
            <v>0.58264069697576604</v>
          </cell>
          <cell r="BD150">
            <v>0.5991434769950319</v>
          </cell>
          <cell r="BE150">
            <v>0.38481851353946617</v>
          </cell>
          <cell r="BF150">
            <v>0.4118116122601545</v>
          </cell>
          <cell r="BG150">
            <v>0.5197120559741657</v>
          </cell>
          <cell r="BH150">
            <v>0.44098656411717219</v>
          </cell>
          <cell r="BI150">
            <v>0.48083480171170967</v>
          </cell>
          <cell r="BJ150">
            <v>0.36658408786968621</v>
          </cell>
          <cell r="BK150">
            <v>0.41606820182551085</v>
          </cell>
          <cell r="BL150">
            <v>0.42039432962454137</v>
          </cell>
          <cell r="BM150">
            <v>0.33439549704609939</v>
          </cell>
          <cell r="BN150">
            <v>0.38704534584462613</v>
          </cell>
          <cell r="BO150">
            <v>0.29646382405564609</v>
          </cell>
          <cell r="BP150">
            <v>0.33750475688650794</v>
          </cell>
        </row>
        <row r="152">
          <cell r="A152" t="str">
            <v xml:space="preserve">TOTAL BRANDED REPORTED SALES </v>
          </cell>
          <cell r="H152">
            <v>0</v>
          </cell>
          <cell r="L152">
            <v>0</v>
          </cell>
          <cell r="P152">
            <v>0</v>
          </cell>
          <cell r="T152">
            <v>0</v>
          </cell>
          <cell r="X152">
            <v>4.7</v>
          </cell>
          <cell r="AB152">
            <v>3</v>
          </cell>
          <cell r="AF152">
            <v>5</v>
          </cell>
          <cell r="AJ152">
            <v>7</v>
          </cell>
          <cell r="AN152">
            <v>9</v>
          </cell>
          <cell r="AR152">
            <v>10</v>
          </cell>
          <cell r="AV152">
            <v>10.7</v>
          </cell>
          <cell r="AZ152">
            <v>12</v>
          </cell>
          <cell r="BD152">
            <v>13</v>
          </cell>
          <cell r="BH152">
            <v>14</v>
          </cell>
          <cell r="BL152">
            <v>16.5</v>
          </cell>
          <cell r="BP152">
            <v>22</v>
          </cell>
        </row>
        <row r="153">
          <cell r="A153" t="str">
            <v xml:space="preserve">  % Change</v>
          </cell>
          <cell r="AN153">
            <v>0.91489361702127647</v>
          </cell>
          <cell r="AR153">
            <v>2.3333333333333335</v>
          </cell>
          <cell r="AV153">
            <v>1.1399999999999999</v>
          </cell>
          <cell r="AZ153">
            <v>0.71428571428571419</v>
          </cell>
          <cell r="BD153">
            <v>0.44444444444444442</v>
          </cell>
          <cell r="BH153">
            <v>0.4</v>
          </cell>
          <cell r="BL153">
            <v>0.5420560747663552</v>
          </cell>
          <cell r="BP153">
            <v>0.83333333333333326</v>
          </cell>
        </row>
        <row r="155">
          <cell r="A155" t="str">
            <v>TOTAL BRANDED (IMS)</v>
          </cell>
          <cell r="H155">
            <v>8.0364520000000006</v>
          </cell>
          <cell r="L155">
            <v>6.7890040000000003</v>
          </cell>
          <cell r="P155">
            <v>6.1508349999999998</v>
          </cell>
          <cell r="T155">
            <v>5.863411000000001</v>
          </cell>
          <cell r="X155">
            <v>6.4119410000000006</v>
          </cell>
          <cell r="AB155">
            <v>6.2020910000000002</v>
          </cell>
          <cell r="AF155">
            <v>5.572139</v>
          </cell>
          <cell r="AG155">
            <v>1.479865</v>
          </cell>
          <cell r="AH155">
            <v>1.5218720000000001</v>
          </cell>
          <cell r="AI155">
            <v>2.316128</v>
          </cell>
          <cell r="AJ155">
            <v>5.3178649999999994</v>
          </cell>
          <cell r="AK155">
            <v>2.052988</v>
          </cell>
          <cell r="AL155">
            <v>2.3250299999999999</v>
          </cell>
          <cell r="AM155">
            <v>3.1800509999999997</v>
          </cell>
          <cell r="AN155">
            <v>7.5580689999999997</v>
          </cell>
          <cell r="AO155">
            <v>2.6679759999999999</v>
          </cell>
          <cell r="AP155">
            <v>2.815048</v>
          </cell>
          <cell r="AQ155">
            <v>3.8240020000000001</v>
          </cell>
          <cell r="AR155">
            <v>9.3070260000000005</v>
          </cell>
          <cell r="AS155">
            <v>3.2250889999999997</v>
          </cell>
          <cell r="AT155">
            <v>3.4339249999999999</v>
          </cell>
          <cell r="AU155">
            <v>3.985284</v>
          </cell>
          <cell r="AV155">
            <v>10.644297999999999</v>
          </cell>
          <cell r="AW155">
            <v>2.9034789999999999</v>
          </cell>
          <cell r="AX155">
            <v>2.9353739999999999</v>
          </cell>
          <cell r="AY155">
            <v>4.3607610000000001</v>
          </cell>
          <cell r="AZ155">
            <v>10.199614</v>
          </cell>
          <cell r="BA155">
            <v>3.584746</v>
          </cell>
          <cell r="BB155">
            <v>3.6052910000000002</v>
          </cell>
          <cell r="BC155">
            <v>4.8217420000000004</v>
          </cell>
          <cell r="BD155">
            <v>12.011779000000001</v>
          </cell>
          <cell r="BE155">
            <v>3.7363189999999999</v>
          </cell>
          <cell r="BF155">
            <v>4.1411119999999997</v>
          </cell>
          <cell r="BG155">
            <v>5.4629180000000002</v>
          </cell>
          <cell r="BH155">
            <v>13.340349</v>
          </cell>
          <cell r="BI155">
            <v>4.3819900000000001</v>
          </cell>
          <cell r="BJ155">
            <v>4.9027779999999996</v>
          </cell>
          <cell r="BK155">
            <v>5.6802060000000001</v>
          </cell>
          <cell r="BL155">
            <v>14.964974</v>
          </cell>
          <cell r="BM155">
            <v>4.1419809999999995</v>
          </cell>
          <cell r="BN155">
            <v>4.1865260000000006</v>
          </cell>
        </row>
        <row r="156">
          <cell r="A156" t="str">
            <v xml:space="preserve">  % Change</v>
          </cell>
          <cell r="X156">
            <v>-0.20214281128040079</v>
          </cell>
          <cell r="AB156">
            <v>-8.6450530887888677E-2</v>
          </cell>
          <cell r="AF156">
            <v>-9.4084136544062669E-2</v>
          </cell>
          <cell r="AJ156">
            <v>-9.3042428715981451E-2</v>
          </cell>
          <cell r="AK156" t="e">
            <v>#DIV/0!</v>
          </cell>
          <cell r="AL156" t="e">
            <v>#DIV/0!</v>
          </cell>
          <cell r="AM156" t="e">
            <v>#DIV/0!</v>
          </cell>
          <cell r="AN156">
            <v>0.17874899347950945</v>
          </cell>
          <cell r="AR156">
            <v>0.50062712720596969</v>
          </cell>
          <cell r="AV156">
            <v>0.91027144154156936</v>
          </cell>
          <cell r="AW156">
            <v>0.96198910035712704</v>
          </cell>
          <cell r="AX156">
            <v>0.92879164607798792</v>
          </cell>
          <cell r="AY156">
            <v>0.88278065806380313</v>
          </cell>
          <cell r="AZ156">
            <v>0.91799039652191272</v>
          </cell>
          <cell r="BA156">
            <v>0.74611152135326653</v>
          </cell>
          <cell r="BB156">
            <v>0.55064278740489381</v>
          </cell>
          <cell r="BC156">
            <v>0.51624675201749937</v>
          </cell>
          <cell r="BD156">
            <v>0.58926559151550495</v>
          </cell>
          <cell r="BE156">
            <v>0.40043201288167518</v>
          </cell>
          <cell r="BF156">
            <v>0.4710626603880288</v>
          </cell>
          <cell r="BG156">
            <v>0.42858659592751258</v>
          </cell>
          <cell r="BH156">
            <v>0.43336324621850197</v>
          </cell>
          <cell r="BI156">
            <v>0.35871909271341051</v>
          </cell>
          <cell r="BJ156">
            <v>0.42774754835938467</v>
          </cell>
          <cell r="BK156">
            <v>0.42529516089693975</v>
          </cell>
          <cell r="BL156">
            <v>0.40591460329276763</v>
          </cell>
          <cell r="BM156">
            <v>0.42655793274206544</v>
          </cell>
          <cell r="BN156">
            <v>0.42623256866075687</v>
          </cell>
        </row>
        <row r="158">
          <cell r="A158" t="str">
            <v>REPORTED SALES/TRx BRANDED</v>
          </cell>
          <cell r="X158">
            <v>43.427240891829214</v>
          </cell>
          <cell r="AB158">
            <v>29.550827423167849</v>
          </cell>
          <cell r="AF158">
            <v>53.72069536068075</v>
          </cell>
          <cell r="AJ158">
            <v>85.249415432579895</v>
          </cell>
          <cell r="AN158">
            <v>84.52529654291537</v>
          </cell>
          <cell r="AR158">
            <v>79.127696276250617</v>
          </cell>
          <cell r="AV158">
            <v>80.768127538157273</v>
          </cell>
          <cell r="AZ158">
            <v>87.819443224729952</v>
          </cell>
          <cell r="BD158">
            <v>76.348430746100362</v>
          </cell>
          <cell r="BH158">
            <v>76.877035182226024</v>
          </cell>
          <cell r="BL158">
            <v>87.68620031779605</v>
          </cell>
          <cell r="BP158">
            <v>120.3751326862258</v>
          </cell>
        </row>
        <row r="159">
          <cell r="A159" t="str">
            <v>IMS SALES/REPORTED SALES</v>
          </cell>
          <cell r="X159">
            <v>1.364242765957447</v>
          </cell>
          <cell r="AB159">
            <v>2.0673636666666666</v>
          </cell>
          <cell r="AF159">
            <v>1.1144278000000001</v>
          </cell>
          <cell r="AJ159">
            <v>0.7596949999999999</v>
          </cell>
          <cell r="AN159">
            <v>0.83978544444444436</v>
          </cell>
          <cell r="AR159">
            <v>0.93070260000000005</v>
          </cell>
          <cell r="AV159">
            <v>0.99479420560747667</v>
          </cell>
          <cell r="AZ159">
            <v>0.84996783333333337</v>
          </cell>
          <cell r="BD159">
            <v>0.923983</v>
          </cell>
          <cell r="BH159">
            <v>0.9528820714285714</v>
          </cell>
          <cell r="BL159">
            <v>0.90696812121212123</v>
          </cell>
        </row>
        <row r="161">
          <cell r="A161" t="str">
            <v>TRx IVX PRODUCTS</v>
          </cell>
          <cell r="C161">
            <v>6148369</v>
          </cell>
          <cell r="D161">
            <v>5798082</v>
          </cell>
          <cell r="E161">
            <v>6189258</v>
          </cell>
          <cell r="F161">
            <v>6057426</v>
          </cell>
          <cell r="G161">
            <v>6163914</v>
          </cell>
          <cell r="H161">
            <v>18410598</v>
          </cell>
          <cell r="I161">
            <v>6547104</v>
          </cell>
          <cell r="J161">
            <v>5963465</v>
          </cell>
          <cell r="K161">
            <v>6596584</v>
          </cell>
          <cell r="L161">
            <v>19107153</v>
          </cell>
          <cell r="M161">
            <v>6339407</v>
          </cell>
          <cell r="N161">
            <v>6678387</v>
          </cell>
          <cell r="O161">
            <v>6352788</v>
          </cell>
          <cell r="P161">
            <v>19370582</v>
          </cell>
          <cell r="Q161">
            <v>6395592</v>
          </cell>
          <cell r="R161">
            <v>6637271</v>
          </cell>
          <cell r="S161">
            <v>6273990</v>
          </cell>
          <cell r="T161">
            <v>19306853</v>
          </cell>
          <cell r="U161">
            <v>7061262</v>
          </cell>
          <cell r="V161">
            <v>6704187</v>
          </cell>
          <cell r="W161">
            <v>6751954</v>
          </cell>
          <cell r="X161">
            <v>20517403</v>
          </cell>
          <cell r="Y161">
            <v>7124451</v>
          </cell>
          <cell r="Z161">
            <v>6557451</v>
          </cell>
          <cell r="AA161">
            <v>7110146</v>
          </cell>
          <cell r="AB161">
            <v>20792048</v>
          </cell>
          <cell r="AC161">
            <v>7225483</v>
          </cell>
          <cell r="AD161">
            <v>7266420</v>
          </cell>
          <cell r="AE161">
            <v>6749490</v>
          </cell>
          <cell r="AF161">
            <v>21241393</v>
          </cell>
          <cell r="AG161">
            <v>7180609</v>
          </cell>
          <cell r="AH161">
            <v>6950621</v>
          </cell>
          <cell r="AI161">
            <v>6466421</v>
          </cell>
          <cell r="AJ161">
            <v>20597651</v>
          </cell>
          <cell r="AK161">
            <v>6813702</v>
          </cell>
          <cell r="AL161">
            <v>6543894</v>
          </cell>
          <cell r="AM161">
            <v>6984313</v>
          </cell>
          <cell r="AN161">
            <v>20341909</v>
          </cell>
          <cell r="AO161">
            <v>7143994</v>
          </cell>
          <cell r="AP161">
            <v>6473558</v>
          </cell>
          <cell r="AQ161">
            <v>6976843</v>
          </cell>
          <cell r="AR161">
            <v>20594395</v>
          </cell>
          <cell r="AS161">
            <v>6776189</v>
          </cell>
          <cell r="AT161">
            <v>6778484</v>
          </cell>
          <cell r="AU161">
            <v>6559500</v>
          </cell>
          <cell r="AV161">
            <v>20114173</v>
          </cell>
          <cell r="AW161">
            <v>6859837</v>
          </cell>
          <cell r="AX161">
            <v>6867160</v>
          </cell>
          <cell r="AY161">
            <v>7129798</v>
          </cell>
          <cell r="AZ161">
            <v>20856795</v>
          </cell>
          <cell r="BA161">
            <v>7471176</v>
          </cell>
          <cell r="BB161">
            <v>6943369</v>
          </cell>
          <cell r="BC161">
            <v>8148064</v>
          </cell>
          <cell r="BD161">
            <v>22562609</v>
          </cell>
          <cell r="BE161">
            <v>7892418</v>
          </cell>
          <cell r="BF161">
            <v>7464600</v>
          </cell>
          <cell r="BG161">
            <v>8327975</v>
          </cell>
          <cell r="BH161">
            <v>23684993</v>
          </cell>
          <cell r="BI161">
            <v>7891250</v>
          </cell>
          <cell r="BJ161">
            <v>7898457</v>
          </cell>
          <cell r="BK161">
            <v>8417977</v>
          </cell>
          <cell r="BL161">
            <v>24207684</v>
          </cell>
          <cell r="BM161">
            <v>8384221</v>
          </cell>
          <cell r="BN161">
            <v>8487915</v>
          </cell>
          <cell r="BO161">
            <v>8433419</v>
          </cell>
          <cell r="BP161">
            <v>25305555</v>
          </cell>
        </row>
        <row r="162">
          <cell r="A162" t="str">
            <v xml:space="preserve">  % Change</v>
          </cell>
          <cell r="S162">
            <v>8.2080246536699653E-2</v>
          </cell>
          <cell r="U162">
            <v>0.14088990958205327</v>
          </cell>
          <cell r="V162">
            <v>0.10677158912052742</v>
          </cell>
          <cell r="W162">
            <v>9.5400422523740591E-2</v>
          </cell>
          <cell r="X162">
            <v>0.1144343600354536</v>
          </cell>
          <cell r="Y162">
            <v>8.8183569407175977E-2</v>
          </cell>
          <cell r="Z162">
            <v>9.9604173077229463E-2</v>
          </cell>
          <cell r="AA162">
            <v>7.7852718922399866E-2</v>
          </cell>
          <cell r="AB162">
            <v>8.8181373750448433E-2</v>
          </cell>
          <cell r="AC162">
            <v>0.13977269482776533</v>
          </cell>
          <cell r="AD162">
            <v>8.8050153427766231E-2</v>
          </cell>
          <cell r="AE162">
            <v>6.2445338959839392E-2</v>
          </cell>
          <cell r="AF162">
            <v>9.6580009831403135E-2</v>
          </cell>
          <cell r="AG162">
            <v>0.12274344579829366</v>
          </cell>
          <cell r="AH162">
            <v>4.7210668360535557E-2</v>
          </cell>
          <cell r="AI162">
            <v>3.0671231544838307E-2</v>
          </cell>
          <cell r="AJ162">
            <v>6.6856985962445492E-2</v>
          </cell>
          <cell r="AK162">
            <v>-3.5058888906827179E-2</v>
          </cell>
          <cell r="AL162">
            <v>-2.3909386775756714E-2</v>
          </cell>
          <cell r="AM162">
            <v>3.4413593457538472E-2</v>
          </cell>
          <cell r="AN162">
            <v>-8.5534216976680399E-3</v>
          </cell>
          <cell r="AO162">
            <v>2.7430885551742445E-3</v>
          </cell>
          <cell r="AP162">
            <v>-1.2793538220872702E-2</v>
          </cell>
          <cell r="AQ162">
            <v>-1.874827886797259E-2</v>
          </cell>
          <cell r="AR162">
            <v>-9.5061823635651521E-3</v>
          </cell>
          <cell r="AS162">
            <v>-6.218186382834201E-2</v>
          </cell>
          <cell r="AT162">
            <v>-6.7149435347805375E-2</v>
          </cell>
          <cell r="AU162">
            <v>-2.8148793464395139E-2</v>
          </cell>
          <cell r="AV162">
            <v>-5.3067141123936623E-2</v>
          </cell>
          <cell r="AW162">
            <v>-4.4671976986910167E-2</v>
          </cell>
          <cell r="AX162">
            <v>-1.200770405982432E-2</v>
          </cell>
          <cell r="AY162">
            <v>0.10258796945017967</v>
          </cell>
          <cell r="AZ162">
            <v>1.2581240453098275E-2</v>
          </cell>
          <cell r="BA162">
            <v>9.6492919707964919E-2</v>
          </cell>
          <cell r="BB162">
            <v>6.1045457032158579E-2</v>
          </cell>
          <cell r="BC162">
            <v>0.16662354622423137</v>
          </cell>
          <cell r="BD162">
            <v>0.10916871174676879</v>
          </cell>
          <cell r="BE162">
            <v>0.10476268597090077</v>
          </cell>
          <cell r="BF162">
            <v>0.15309077326564458</v>
          </cell>
          <cell r="BG162">
            <v>0.19365951046913343</v>
          </cell>
          <cell r="BH162">
            <v>0.15006986124137178</v>
          </cell>
          <cell r="BI162">
            <v>0.16455577021243051</v>
          </cell>
          <cell r="BJ162">
            <v>0.16522470216054219</v>
          </cell>
          <cell r="BK162">
            <v>0.28332601570241644</v>
          </cell>
          <cell r="BL162">
            <v>0.20351376116731212</v>
          </cell>
          <cell r="BM162">
            <v>0.222218691202138</v>
          </cell>
          <cell r="BN162">
            <v>0.23601532511256473</v>
          </cell>
          <cell r="BO162">
            <v>0.18284122495476018</v>
          </cell>
          <cell r="BP162">
            <v>0.21330026976819783</v>
          </cell>
        </row>
        <row r="163">
          <cell r="A163" t="str">
            <v xml:space="preserve">TOTAL IVX REPORTED SALES </v>
          </cell>
          <cell r="H163">
            <v>105.7</v>
          </cell>
          <cell r="L163">
            <v>138.74299999999999</v>
          </cell>
          <cell r="P163">
            <v>162.24599999999998</v>
          </cell>
          <cell r="T163">
            <v>139.804</v>
          </cell>
          <cell r="X163">
            <v>141.678</v>
          </cell>
          <cell r="AB163">
            <v>102.964</v>
          </cell>
          <cell r="AF163">
            <v>111.54600000000001</v>
          </cell>
          <cell r="AJ163">
            <v>131.369</v>
          </cell>
          <cell r="AN163">
            <v>130.19999999999999</v>
          </cell>
          <cell r="AR163">
            <v>146.4</v>
          </cell>
          <cell r="AV163">
            <v>142.4</v>
          </cell>
          <cell r="AZ163">
            <v>167.4</v>
          </cell>
          <cell r="BD163">
            <v>170.4</v>
          </cell>
          <cell r="BH163">
            <v>166.8</v>
          </cell>
          <cell r="BL163">
            <v>225.3</v>
          </cell>
          <cell r="BP163">
            <v>222</v>
          </cell>
        </row>
        <row r="164">
          <cell r="A164" t="str">
            <v xml:space="preserve">  % Change</v>
          </cell>
          <cell r="X164">
            <v>0.3403784295175023</v>
          </cell>
          <cell r="AB164">
            <v>-0.25787967681252388</v>
          </cell>
          <cell r="AF164">
            <v>-0.31248844347472349</v>
          </cell>
          <cell r="AJ164">
            <v>-6.0334468255557772E-2</v>
          </cell>
          <cell r="AN164">
            <v>-8.1014695294964745E-2</v>
          </cell>
          <cell r="AR164">
            <v>0.42185618274348324</v>
          </cell>
          <cell r="AV164">
            <v>0.27660337439262728</v>
          </cell>
          <cell r="AZ164">
            <v>0.27427323036637263</v>
          </cell>
          <cell r="BD164">
            <v>0.3087557603686637</v>
          </cell>
          <cell r="BH164">
            <v>0.13934426229508201</v>
          </cell>
          <cell r="BL164">
            <v>0.5821629213483146</v>
          </cell>
          <cell r="BP164">
            <v>0.32616487455197118</v>
          </cell>
        </row>
        <row r="165">
          <cell r="A165" t="str">
            <v>TOTAL IVX SALES (IMS)</v>
          </cell>
          <cell r="C165">
            <v>26.261935000000001</v>
          </cell>
          <cell r="D165">
            <v>33.086646000000002</v>
          </cell>
          <cell r="E165">
            <v>29.594082</v>
          </cell>
          <cell r="F165">
            <v>36.154440999999998</v>
          </cell>
          <cell r="G165">
            <v>46.754921000000003</v>
          </cell>
          <cell r="H165">
            <v>112.503444</v>
          </cell>
          <cell r="I165">
            <v>39.550925999999997</v>
          </cell>
          <cell r="J165">
            <v>45.564059999999998</v>
          </cell>
          <cell r="K165">
            <v>56.432004999999997</v>
          </cell>
          <cell r="L165">
            <v>141.54699099999999</v>
          </cell>
          <cell r="M165">
            <v>43.770499000000001</v>
          </cell>
          <cell r="N165">
            <v>47.117353000000001</v>
          </cell>
          <cell r="O165">
            <v>56.978214999999999</v>
          </cell>
          <cell r="P165">
            <v>147.86606699999999</v>
          </cell>
          <cell r="Q165">
            <v>45.233600000000003</v>
          </cell>
          <cell r="R165">
            <v>46.878672000000002</v>
          </cell>
          <cell r="S165">
            <v>60.259064000000002</v>
          </cell>
          <cell r="T165">
            <v>152.37133600000001</v>
          </cell>
          <cell r="U165">
            <v>51.238568000000001</v>
          </cell>
          <cell r="V165">
            <v>63.281516000000003</v>
          </cell>
          <cell r="W165">
            <v>60.452491999999999</v>
          </cell>
          <cell r="X165">
            <v>174.972576</v>
          </cell>
          <cell r="Y165">
            <v>50.930019999999999</v>
          </cell>
          <cell r="Z165">
            <v>55.566226</v>
          </cell>
          <cell r="AA165">
            <v>65.315635999999998</v>
          </cell>
          <cell r="AB165">
            <v>171.811882</v>
          </cell>
          <cell r="AC165">
            <v>49.789440999999997</v>
          </cell>
          <cell r="AD165">
            <v>48.308504999999997</v>
          </cell>
          <cell r="AE165">
            <v>59.221901000000003</v>
          </cell>
          <cell r="AF165">
            <v>157.31984699999998</v>
          </cell>
          <cell r="AG165">
            <v>49.434418000000001</v>
          </cell>
          <cell r="AH165">
            <v>51.079231999999998</v>
          </cell>
          <cell r="AI165">
            <v>61.099302000000002</v>
          </cell>
          <cell r="AJ165">
            <v>161.61295200000001</v>
          </cell>
          <cell r="AK165">
            <v>48.985509</v>
          </cell>
          <cell r="AL165">
            <v>50.928317999999997</v>
          </cell>
          <cell r="AM165">
            <v>63.589284999999997</v>
          </cell>
          <cell r="AN165">
            <v>163.50311199999999</v>
          </cell>
          <cell r="AO165">
            <v>50.451537000000002</v>
          </cell>
          <cell r="AP165">
            <v>49.160400000000003</v>
          </cell>
          <cell r="AQ165">
            <v>68.006313000000006</v>
          </cell>
          <cell r="AR165">
            <v>167.61825000000002</v>
          </cell>
          <cell r="AS165">
            <v>47.924632000000003</v>
          </cell>
          <cell r="AT165">
            <v>45.467823000000003</v>
          </cell>
          <cell r="AU165">
            <v>60.138452999999998</v>
          </cell>
          <cell r="AV165">
            <v>153.53090800000001</v>
          </cell>
          <cell r="AW165">
            <v>48.505192999999998</v>
          </cell>
          <cell r="AX165">
            <v>52.743411000000002</v>
          </cell>
          <cell r="AY165">
            <v>65.924640999999994</v>
          </cell>
          <cell r="AZ165">
            <v>167.17324499999998</v>
          </cell>
          <cell r="BA165">
            <v>53.121245999999999</v>
          </cell>
          <cell r="BB165">
            <v>53.024101000000002</v>
          </cell>
          <cell r="BC165">
            <v>81.464427999999998</v>
          </cell>
          <cell r="BD165">
            <v>187.60977500000001</v>
          </cell>
          <cell r="BE165">
            <v>64.074017999999995</v>
          </cell>
          <cell r="BF165">
            <v>66.517123999999995</v>
          </cell>
          <cell r="BG165">
            <v>87.076980000000006</v>
          </cell>
          <cell r="BH165">
            <v>217.66812200000001</v>
          </cell>
          <cell r="BI165">
            <v>67.418717999999998</v>
          </cell>
          <cell r="BJ165">
            <v>89.729017999999996</v>
          </cell>
          <cell r="BK165">
            <v>102.750913</v>
          </cell>
          <cell r="BL165">
            <v>259.89864899999998</v>
          </cell>
          <cell r="BM165">
            <v>76.038661000000005</v>
          </cell>
          <cell r="BN165">
            <v>79.165695999999997</v>
          </cell>
        </row>
        <row r="166">
          <cell r="A166" t="str">
            <v xml:space="preserve">  % Change</v>
          </cell>
          <cell r="X166">
            <v>0.55526417484606072</v>
          </cell>
          <cell r="AB166">
            <v>0.2138151492037017</v>
          </cell>
          <cell r="AF166">
            <v>6.3934749816535019E-2</v>
          </cell>
          <cell r="AJ166">
            <v>6.0651932591835989E-2</v>
          </cell>
          <cell r="AN166">
            <v>-6.555006654299933E-2</v>
          </cell>
          <cell r="AR166">
            <v>-2.4408276954907993E-2</v>
          </cell>
          <cell r="AV166">
            <v>-2.4084303870445356E-2</v>
          </cell>
          <cell r="AW166">
            <v>-1.8797126326034697E-2</v>
          </cell>
          <cell r="AX166">
            <v>3.2580344982477527E-2</v>
          </cell>
          <cell r="AY166">
            <v>7.8975353924664926E-2</v>
          </cell>
          <cell r="AZ166">
            <v>3.4404996203521998E-2</v>
          </cell>
          <cell r="BA166">
            <v>8.4427764137349204E-2</v>
          </cell>
          <cell r="BB166">
            <v>4.1151624131784637E-2</v>
          </cell>
          <cell r="BC166">
            <v>0.28110306634207327</v>
          </cell>
          <cell r="BD166">
            <v>0.14743855762207159</v>
          </cell>
          <cell r="BE166">
            <v>0.27001121888516488</v>
          </cell>
          <cell r="BF166">
            <v>0.35306311584120542</v>
          </cell>
          <cell r="BG166">
            <v>0.28042495113652177</v>
          </cell>
          <cell r="BH166">
            <v>0.29859440723190933</v>
          </cell>
          <cell r="BI166">
            <v>0.4067654812665018</v>
          </cell>
          <cell r="BJ166">
            <v>0.97346193592774366</v>
          </cell>
          <cell r="BK166">
            <v>0.70857259996362054</v>
          </cell>
          <cell r="BL166">
            <v>0.69280995198699635</v>
          </cell>
          <cell r="BM166">
            <v>0.56763959273391618</v>
          </cell>
          <cell r="BN166">
            <v>0.50095897286582391</v>
          </cell>
        </row>
        <row r="168">
          <cell r="A168" t="str">
            <v>REPORTED SALES/TRx IVX PRODUCTS</v>
          </cell>
          <cell r="H168">
            <v>5.7412583773759005</v>
          </cell>
          <cell r="L168">
            <v>7.2613120332474441</v>
          </cell>
          <cell r="P168">
            <v>8.3758970174463503</v>
          </cell>
          <cell r="T168">
            <v>7.2411593955783475</v>
          </cell>
          <cell r="X168">
            <v>6.9052598908351124</v>
          </cell>
          <cell r="AB168">
            <v>4.9520855280826597</v>
          </cell>
          <cell r="AF168">
            <v>5.2513505117107906</v>
          </cell>
          <cell r="AJ168">
            <v>6.3778631844961353</v>
          </cell>
          <cell r="AN168">
            <v>6.4005792180075129</v>
          </cell>
          <cell r="AR168">
            <v>7.1087303123009926</v>
          </cell>
          <cell r="AV168">
            <v>7.0795851263683574</v>
          </cell>
          <cell r="AZ168">
            <v>8.0261612582374227</v>
          </cell>
          <cell r="BD168">
            <v>7.5523180852001648</v>
          </cell>
          <cell r="BH168">
            <v>7.0424340002971499</v>
          </cell>
          <cell r="BL168">
            <v>9.3069622025799745</v>
          </cell>
          <cell r="BP168">
            <v>8.7727773605439587</v>
          </cell>
        </row>
        <row r="169">
          <cell r="A169" t="str">
            <v>IMS SALES/REPORTED SALES</v>
          </cell>
          <cell r="H169">
            <v>1.0643656007568589</v>
          </cell>
          <cell r="L169">
            <v>1.0202099637459188</v>
          </cell>
          <cell r="P169">
            <v>0.91136956843312011</v>
          </cell>
          <cell r="T169">
            <v>1.0898925352636548</v>
          </cell>
          <cell r="X169">
            <v>1.2350017363316816</v>
          </cell>
          <cell r="AB169">
            <v>1.668659745153646</v>
          </cell>
          <cell r="AF169">
            <v>1.4103584799096334</v>
          </cell>
          <cell r="AJ169">
            <v>1.230221376428229</v>
          </cell>
          <cell r="AN169">
            <v>1.2557842703533026</v>
          </cell>
          <cell r="AR169">
            <v>1.1449334016393444</v>
          </cell>
          <cell r="AV169">
            <v>1.078166488764045</v>
          </cell>
          <cell r="AZ169">
            <v>0.99864543010752671</v>
          </cell>
          <cell r="BD169">
            <v>1.1009963321596246</v>
          </cell>
          <cell r="BH169">
            <v>1.3049647601918466</v>
          </cell>
          <cell r="BL169">
            <v>1.1535670173102528</v>
          </cell>
        </row>
        <row r="170">
          <cell r="A170" t="str">
            <v>1.  TRx Generics = TRx IVX Products - TRx Branded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Niaspan"/>
      <sheetName val="Azmacort"/>
      <sheetName val="Cardizem LA"/>
      <sheetName val="Teveten"/>
      <sheetName val="BAL-CF"/>
      <sheetName val="MKTD"/>
      <sheetName val="PPLN"/>
      <sheetName val="IMS"/>
      <sheetName val="------"/>
      <sheetName val="NPV"/>
      <sheetName val="Sheet1"/>
      <sheetName val="VAR"/>
      <sheetName val="VAR_NEW"/>
      <sheetName val="Charts"/>
      <sheetName val="NPV_TEMP"/>
      <sheetName val="NPV_Bad"/>
      <sheetName val="Tables"/>
      <sheetName val="NPV_Target"/>
      <sheetName val="Torcetrapib"/>
      <sheetName val="Scenarios"/>
      <sheetName val="Valuation-Master"/>
      <sheetName val="Valuation-Summary"/>
      <sheetName val="Niaspan Generics"/>
      <sheetName val="QTR-GAAP"/>
      <sheetName val="Pricing"/>
      <sheetName val="Price Block"/>
      <sheetName val="iQ_Measure_Validations_Errors"/>
      <sheetName val="iQ_US_CoreIndustrials"/>
      <sheetName val="NPV_Down"/>
      <sheetName val="NPV_Current"/>
      <sheetName val="Product NP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3">
          <cell r="A3" t="str">
            <v>Product</v>
          </cell>
          <cell r="C3">
            <v>37257</v>
          </cell>
          <cell r="D3">
            <v>37288</v>
          </cell>
          <cell r="E3">
            <v>37316</v>
          </cell>
          <cell r="F3" t="str">
            <v>Q1:02</v>
          </cell>
          <cell r="G3">
            <v>37347</v>
          </cell>
          <cell r="H3">
            <v>37377</v>
          </cell>
          <cell r="I3">
            <v>37408</v>
          </cell>
          <cell r="J3" t="str">
            <v>Q2:02</v>
          </cell>
          <cell r="K3">
            <v>37438</v>
          </cell>
          <cell r="L3">
            <v>37469</v>
          </cell>
          <cell r="M3">
            <v>37500</v>
          </cell>
          <cell r="N3" t="str">
            <v>Q3:02</v>
          </cell>
          <cell r="O3">
            <v>37530</v>
          </cell>
          <cell r="P3">
            <v>37561</v>
          </cell>
          <cell r="Q3">
            <v>37591</v>
          </cell>
          <cell r="R3" t="str">
            <v>Q4:02</v>
          </cell>
          <cell r="S3">
            <v>37622</v>
          </cell>
          <cell r="T3">
            <v>37653</v>
          </cell>
          <cell r="U3">
            <v>37681</v>
          </cell>
          <cell r="V3" t="str">
            <v>Q1:03</v>
          </cell>
          <cell r="W3">
            <v>37712</v>
          </cell>
          <cell r="X3">
            <v>37742</v>
          </cell>
          <cell r="Y3">
            <v>37773</v>
          </cell>
          <cell r="Z3" t="str">
            <v>Q2:03</v>
          </cell>
          <cell r="AA3">
            <v>37803</v>
          </cell>
          <cell r="AB3">
            <v>37834</v>
          </cell>
          <cell r="AC3">
            <v>37865</v>
          </cell>
          <cell r="AD3" t="str">
            <v>Q3:03</v>
          </cell>
          <cell r="AE3">
            <v>37895</v>
          </cell>
          <cell r="AF3">
            <v>37926</v>
          </cell>
          <cell r="AG3">
            <v>37956</v>
          </cell>
          <cell r="AH3" t="str">
            <v>Q4:03</v>
          </cell>
          <cell r="AI3">
            <v>37987</v>
          </cell>
          <cell r="AJ3">
            <v>38018</v>
          </cell>
          <cell r="AK3">
            <v>38047</v>
          </cell>
          <cell r="AL3" t="str">
            <v>Q1:04</v>
          </cell>
          <cell r="AM3">
            <v>38078</v>
          </cell>
          <cell r="AN3">
            <v>38108</v>
          </cell>
          <cell r="AO3">
            <v>38139</v>
          </cell>
          <cell r="AP3" t="str">
            <v>Q2:04</v>
          </cell>
          <cell r="AQ3">
            <v>38169</v>
          </cell>
          <cell r="AR3">
            <v>38200</v>
          </cell>
          <cell r="AS3">
            <v>38231</v>
          </cell>
          <cell r="AT3" t="str">
            <v>Q3:04</v>
          </cell>
          <cell r="AU3">
            <v>38261</v>
          </cell>
          <cell r="AV3">
            <v>38292</v>
          </cell>
          <cell r="AW3">
            <v>38322</v>
          </cell>
          <cell r="AX3" t="str">
            <v>Q4:04</v>
          </cell>
          <cell r="AY3">
            <v>38353</v>
          </cell>
          <cell r="AZ3">
            <v>38384</v>
          </cell>
          <cell r="BA3">
            <v>38412</v>
          </cell>
          <cell r="BB3" t="str">
            <v>Q1:05</v>
          </cell>
          <cell r="BC3">
            <v>38443</v>
          </cell>
          <cell r="BD3">
            <v>38473</v>
          </cell>
          <cell r="BE3">
            <v>38504</v>
          </cell>
          <cell r="BF3" t="str">
            <v>Q2:05</v>
          </cell>
        </row>
        <row r="5">
          <cell r="A5" t="str">
            <v>NIASPAN</v>
          </cell>
        </row>
        <row r="6">
          <cell r="A6" t="str">
            <v>TRx</v>
          </cell>
          <cell r="C6">
            <v>239399</v>
          </cell>
          <cell r="D6">
            <v>225233</v>
          </cell>
          <cell r="E6">
            <v>250694</v>
          </cell>
          <cell r="F6">
            <v>715326</v>
          </cell>
          <cell r="G6">
            <v>261236</v>
          </cell>
          <cell r="H6">
            <v>270887</v>
          </cell>
          <cell r="I6">
            <v>259855</v>
          </cell>
          <cell r="J6">
            <v>791978</v>
          </cell>
          <cell r="K6">
            <v>281811</v>
          </cell>
          <cell r="L6">
            <v>284043</v>
          </cell>
          <cell r="M6">
            <v>276107</v>
          </cell>
          <cell r="N6">
            <v>841961</v>
          </cell>
          <cell r="O6">
            <v>297979</v>
          </cell>
          <cell r="P6">
            <v>286720</v>
          </cell>
          <cell r="Q6">
            <v>303317</v>
          </cell>
          <cell r="R6">
            <v>888016</v>
          </cell>
          <cell r="S6">
            <v>296065</v>
          </cell>
          <cell r="T6">
            <v>272060</v>
          </cell>
          <cell r="U6">
            <v>296498</v>
          </cell>
          <cell r="V6">
            <v>864623</v>
          </cell>
          <cell r="W6">
            <v>291984</v>
          </cell>
          <cell r="X6">
            <v>302739</v>
          </cell>
          <cell r="Y6">
            <v>300580</v>
          </cell>
          <cell r="Z6">
            <v>895303</v>
          </cell>
          <cell r="AA6">
            <v>310965</v>
          </cell>
          <cell r="AB6">
            <v>307683</v>
          </cell>
          <cell r="AC6">
            <v>314178</v>
          </cell>
          <cell r="AD6">
            <v>932826</v>
          </cell>
          <cell r="AE6">
            <v>330969</v>
          </cell>
          <cell r="AF6">
            <v>312158</v>
          </cell>
          <cell r="AG6">
            <v>348127</v>
          </cell>
          <cell r="AH6">
            <v>991254</v>
          </cell>
          <cell r="AI6">
            <v>335711</v>
          </cell>
          <cell r="AJ6">
            <v>319231</v>
          </cell>
          <cell r="AK6">
            <v>362821</v>
          </cell>
          <cell r="AL6">
            <v>1017763</v>
          </cell>
          <cell r="AM6">
            <v>349154</v>
          </cell>
          <cell r="AN6">
            <v>352179</v>
          </cell>
          <cell r="AO6">
            <v>372013</v>
          </cell>
          <cell r="AP6">
            <v>1073346</v>
          </cell>
          <cell r="AQ6">
            <v>373209</v>
          </cell>
          <cell r="AR6">
            <v>385023</v>
          </cell>
          <cell r="AS6">
            <v>380221</v>
          </cell>
          <cell r="AT6">
            <v>1138453</v>
          </cell>
          <cell r="AU6">
            <v>389435</v>
          </cell>
          <cell r="AV6">
            <v>398614</v>
          </cell>
          <cell r="AW6">
            <v>415255</v>
          </cell>
          <cell r="AX6">
            <v>1203304</v>
          </cell>
          <cell r="AY6">
            <v>406819</v>
          </cell>
          <cell r="AZ6">
            <v>377502</v>
          </cell>
          <cell r="BA6">
            <v>426653</v>
          </cell>
          <cell r="BB6">
            <v>1210974</v>
          </cell>
          <cell r="BC6">
            <v>415218</v>
          </cell>
          <cell r="BD6">
            <v>427610</v>
          </cell>
          <cell r="BE6">
            <v>430715</v>
          </cell>
          <cell r="BF6">
            <v>1273543</v>
          </cell>
        </row>
        <row r="7">
          <cell r="A7" t="str">
            <v xml:space="preserve">  % Change</v>
          </cell>
          <cell r="S7">
            <v>0.23670107226847237</v>
          </cell>
          <cell r="T7">
            <v>0.20790470312964793</v>
          </cell>
          <cell r="U7">
            <v>0.18270880037017245</v>
          </cell>
          <cell r="V7">
            <v>0.20871183208774746</v>
          </cell>
          <cell r="W7">
            <v>0.11770200125556962</v>
          </cell>
          <cell r="X7">
            <v>0.11758408487671979</v>
          </cell>
          <cell r="Y7">
            <v>0.15672201804852715</v>
          </cell>
          <cell r="Z7">
            <v>0.13046448259926402</v>
          </cell>
          <cell r="AA7">
            <v>0.10345231378477071</v>
          </cell>
          <cell r="AB7">
            <v>8.3226835373517494E-2</v>
          </cell>
          <cell r="AC7">
            <v>0.13788495039966397</v>
          </cell>
          <cell r="AD7">
            <v>0.10792067566074914</v>
          </cell>
          <cell r="AE7">
            <v>0.11071249987415221</v>
          </cell>
          <cell r="AF7">
            <v>8.8720703124999911E-2</v>
          </cell>
          <cell r="AG7">
            <v>0.14773322959148349</v>
          </cell>
          <cell r="AH7">
            <v>0.11625691428983265</v>
          </cell>
          <cell r="AI7">
            <v>0.13390978332460768</v>
          </cell>
          <cell r="AJ7">
            <v>0.17338454752628096</v>
          </cell>
          <cell r="AK7">
            <v>0.22368784949645537</v>
          </cell>
          <cell r="AL7">
            <v>0.17711765705978211</v>
          </cell>
          <cell r="AM7">
            <v>0.19579839991232406</v>
          </cell>
          <cell r="AN7">
            <v>0.1633089889310595</v>
          </cell>
          <cell r="AO7">
            <v>0.23765054228491578</v>
          </cell>
          <cell r="AP7">
            <v>0.19886340155232363</v>
          </cell>
          <cell r="AQ7">
            <v>0.20016400559548497</v>
          </cell>
          <cell r="AR7">
            <v>0.2513626037187624</v>
          </cell>
          <cell r="AS7">
            <v>0.21020886249196313</v>
          </cell>
          <cell r="AT7">
            <v>0.22043446473404482</v>
          </cell>
          <cell r="AU7">
            <v>0.17665098543972402</v>
          </cell>
          <cell r="AV7">
            <v>0.27696230754938211</v>
          </cell>
          <cell r="AW7">
            <v>0.1928261812499461</v>
          </cell>
          <cell r="AX7">
            <v>0.21392095265189348</v>
          </cell>
          <cell r="AY7">
            <v>0.2118131368945313</v>
          </cell>
          <cell r="AZ7">
            <v>0.18253553069720674</v>
          </cell>
          <cell r="BA7">
            <v>0.17593248461362498</v>
          </cell>
          <cell r="BB7">
            <v>0.18983889176556823</v>
          </cell>
          <cell r="BC7">
            <v>0.18921163727180557</v>
          </cell>
          <cell r="BD7">
            <v>0.21418369635895385</v>
          </cell>
          <cell r="BE7">
            <v>0.15779556090781766</v>
          </cell>
          <cell r="BF7">
            <v>0.186516742970114</v>
          </cell>
        </row>
        <row r="8">
          <cell r="A8" t="str">
            <v>NRx</v>
          </cell>
          <cell r="C8">
            <v>94396</v>
          </cell>
          <cell r="D8">
            <v>89338</v>
          </cell>
          <cell r="E8">
            <v>98287</v>
          </cell>
          <cell r="F8">
            <v>282021</v>
          </cell>
          <cell r="G8">
            <v>100539</v>
          </cell>
          <cell r="H8">
            <v>102937</v>
          </cell>
          <cell r="I8">
            <v>95645</v>
          </cell>
          <cell r="J8">
            <v>299121</v>
          </cell>
          <cell r="K8">
            <v>101485</v>
          </cell>
          <cell r="L8">
            <v>102941</v>
          </cell>
          <cell r="M8">
            <v>97989</v>
          </cell>
          <cell r="N8">
            <v>302415</v>
          </cell>
          <cell r="O8">
            <v>107592</v>
          </cell>
          <cell r="P8">
            <v>100301</v>
          </cell>
          <cell r="Q8">
            <v>100779</v>
          </cell>
          <cell r="R8">
            <v>308672</v>
          </cell>
          <cell r="S8">
            <v>104034</v>
          </cell>
          <cell r="T8">
            <v>96350</v>
          </cell>
          <cell r="U8">
            <v>102651</v>
          </cell>
          <cell r="V8">
            <v>303035</v>
          </cell>
          <cell r="W8">
            <v>99313</v>
          </cell>
          <cell r="X8">
            <v>102365</v>
          </cell>
          <cell r="Y8">
            <v>101905</v>
          </cell>
          <cell r="Z8">
            <v>303583</v>
          </cell>
          <cell r="AA8">
            <v>104891</v>
          </cell>
          <cell r="AB8">
            <v>102659</v>
          </cell>
          <cell r="AC8">
            <v>106675</v>
          </cell>
          <cell r="AD8">
            <v>314225</v>
          </cell>
          <cell r="AE8">
            <v>114168</v>
          </cell>
          <cell r="AF8">
            <v>106432</v>
          </cell>
          <cell r="AG8">
            <v>115309</v>
          </cell>
          <cell r="AH8">
            <v>335909</v>
          </cell>
          <cell r="AI8">
            <v>114166</v>
          </cell>
          <cell r="AJ8">
            <v>114693</v>
          </cell>
          <cell r="AK8">
            <v>132527</v>
          </cell>
          <cell r="AL8">
            <v>361386</v>
          </cell>
          <cell r="AM8">
            <v>124648</v>
          </cell>
          <cell r="AN8">
            <v>124513</v>
          </cell>
          <cell r="AO8">
            <v>132123</v>
          </cell>
          <cell r="AP8">
            <v>381284</v>
          </cell>
          <cell r="AQ8">
            <v>130688</v>
          </cell>
          <cell r="AR8">
            <v>134753</v>
          </cell>
          <cell r="AS8">
            <v>133831</v>
          </cell>
          <cell r="AT8">
            <v>399272</v>
          </cell>
          <cell r="AU8">
            <v>135925</v>
          </cell>
          <cell r="AV8">
            <v>141281</v>
          </cell>
          <cell r="AW8">
            <v>144699</v>
          </cell>
          <cell r="AX8">
            <v>421905</v>
          </cell>
          <cell r="AY8">
            <v>143119</v>
          </cell>
          <cell r="AZ8">
            <v>137771</v>
          </cell>
          <cell r="BA8">
            <v>154363</v>
          </cell>
          <cell r="BB8">
            <v>435253</v>
          </cell>
          <cell r="BC8">
            <v>148445</v>
          </cell>
          <cell r="BD8">
            <v>148667</v>
          </cell>
          <cell r="BE8">
            <v>149741</v>
          </cell>
          <cell r="BF8">
            <v>446853</v>
          </cell>
        </row>
        <row r="9">
          <cell r="A9" t="str">
            <v xml:space="preserve">  % Change</v>
          </cell>
          <cell r="S9">
            <v>0.10210178397389713</v>
          </cell>
          <cell r="T9">
            <v>7.8488437171192471E-2</v>
          </cell>
          <cell r="U9">
            <v>4.4400581969131325E-2</v>
          </cell>
          <cell r="V9">
            <v>7.4512181716964276E-2</v>
          </cell>
          <cell r="W9">
            <v>-1.2194272869234801E-2</v>
          </cell>
          <cell r="X9">
            <v>-5.5567968757589403E-3</v>
          </cell>
          <cell r="Y9">
            <v>6.5450363322703708E-2</v>
          </cell>
          <cell r="Z9">
            <v>1.491704026129903E-2</v>
          </cell>
          <cell r="AA9">
            <v>3.3561610090161009E-2</v>
          </cell>
          <cell r="AB9">
            <v>-2.7394332675998445E-3</v>
          </cell>
          <cell r="AC9">
            <v>8.864260274112401E-2</v>
          </cell>
          <cell r="AD9">
            <v>3.9052295686391236E-2</v>
          </cell>
          <cell r="AE9">
            <v>6.1119785857684628E-2</v>
          </cell>
          <cell r="AF9">
            <v>6.1126010707769574E-2</v>
          </cell>
          <cell r="AG9">
            <v>0.14417686224312609</v>
          </cell>
          <cell r="AH9">
            <v>8.823929608127723E-2</v>
          </cell>
          <cell r="AI9">
            <v>9.7391237480054516E-2</v>
          </cell>
          <cell r="AJ9">
            <v>0.1903788271925273</v>
          </cell>
          <cell r="AK9">
            <v>0.29104441262140646</v>
          </cell>
          <cell r="AL9">
            <v>0.19255531539261139</v>
          </cell>
          <cell r="AM9">
            <v>0.25510255454975672</v>
          </cell>
          <cell r="AN9">
            <v>0.2163630147022908</v>
          </cell>
          <cell r="AO9">
            <v>0.2965310828713017</v>
          </cell>
          <cell r="AP9">
            <v>0.25594647921655689</v>
          </cell>
          <cell r="AQ9">
            <v>0.24594102449209188</v>
          </cell>
          <cell r="AR9">
            <v>0.31262724164466826</v>
          </cell>
          <cell r="AS9">
            <v>0.25456761190531996</v>
          </cell>
          <cell r="AT9">
            <v>0.2706563768000636</v>
          </cell>
          <cell r="AU9">
            <v>0.19057003713825238</v>
          </cell>
          <cell r="AV9">
            <v>0.32742972038484663</v>
          </cell>
          <cell r="AW9">
            <v>0.25488036493248578</v>
          </cell>
          <cell r="AX9">
            <v>0.25600981218127528</v>
          </cell>
          <cell r="AY9">
            <v>0.25360440060963851</v>
          </cell>
          <cell r="AZ9">
            <v>0.20121541855213487</v>
          </cell>
          <cell r="BA9">
            <v>0.16476642495491478</v>
          </cell>
          <cell r="BB9">
            <v>0.20439917429009435</v>
          </cell>
          <cell r="BC9">
            <v>0.19091361273345742</v>
          </cell>
          <cell r="BD9">
            <v>0.1939877763767639</v>
          </cell>
          <cell r="BE9">
            <v>0.13334544326120357</v>
          </cell>
          <cell r="BF9">
            <v>0.17196892604987357</v>
          </cell>
        </row>
        <row r="10">
          <cell r="A10" t="str">
            <v>Total Market TRx</v>
          </cell>
          <cell r="C10">
            <v>10002438</v>
          </cell>
          <cell r="D10">
            <v>9167818</v>
          </cell>
          <cell r="E10">
            <v>10008492</v>
          </cell>
          <cell r="F10">
            <v>29178748</v>
          </cell>
          <cell r="G10">
            <v>10287186</v>
          </cell>
          <cell r="H10">
            <v>10337376</v>
          </cell>
          <cell r="I10">
            <v>9785411</v>
          </cell>
          <cell r="J10">
            <v>30409973</v>
          </cell>
          <cell r="K10">
            <v>10517184</v>
          </cell>
          <cell r="L10">
            <v>10347102</v>
          </cell>
          <cell r="M10">
            <v>9960685</v>
          </cell>
          <cell r="N10">
            <v>30824971</v>
          </cell>
          <cell r="O10">
            <v>10602099</v>
          </cell>
          <cell r="P10">
            <v>10146304</v>
          </cell>
          <cell r="Q10">
            <v>10890595</v>
          </cell>
          <cell r="R10">
            <v>31638998</v>
          </cell>
          <cell r="S10">
            <v>10730212</v>
          </cell>
          <cell r="T10">
            <v>9820766</v>
          </cell>
          <cell r="U10">
            <v>10753591</v>
          </cell>
          <cell r="V10">
            <v>31304569</v>
          </cell>
          <cell r="W10">
            <v>10549556</v>
          </cell>
          <cell r="X10">
            <v>10818114</v>
          </cell>
          <cell r="Y10">
            <v>10674024</v>
          </cell>
          <cell r="Z10">
            <v>32041694</v>
          </cell>
          <cell r="AA10">
            <v>11081042</v>
          </cell>
          <cell r="AB10">
            <v>10800261</v>
          </cell>
          <cell r="AC10">
            <v>10952720</v>
          </cell>
          <cell r="AD10">
            <v>32834023</v>
          </cell>
          <cell r="AE10">
            <v>11421934</v>
          </cell>
          <cell r="AF10">
            <v>10712486</v>
          </cell>
          <cell r="AG10">
            <v>11975799</v>
          </cell>
          <cell r="AH10">
            <v>34110219</v>
          </cell>
          <cell r="AI10">
            <v>11607175</v>
          </cell>
          <cell r="AJ10">
            <v>10924156</v>
          </cell>
          <cell r="AK10">
            <v>12247571</v>
          </cell>
          <cell r="AL10">
            <v>34778902</v>
          </cell>
          <cell r="AM10">
            <v>11726770</v>
          </cell>
          <cell r="AN10">
            <v>11656196</v>
          </cell>
          <cell r="AO10">
            <v>12261813</v>
          </cell>
          <cell r="AP10">
            <v>35644779</v>
          </cell>
          <cell r="AQ10">
            <v>12259715</v>
          </cell>
          <cell r="AR10">
            <v>12556062</v>
          </cell>
          <cell r="AS10">
            <v>12462103</v>
          </cell>
          <cell r="AT10">
            <v>37277880</v>
          </cell>
          <cell r="AU10">
            <v>12628652</v>
          </cell>
          <cell r="AV10">
            <v>12800353</v>
          </cell>
          <cell r="AW10">
            <v>13238279</v>
          </cell>
          <cell r="AX10">
            <v>38667284</v>
          </cell>
          <cell r="AY10">
            <v>13046835</v>
          </cell>
          <cell r="AZ10">
            <v>11993453</v>
          </cell>
          <cell r="BA10">
            <v>13456314</v>
          </cell>
          <cell r="BB10">
            <v>38496602</v>
          </cell>
          <cell r="BC10">
            <v>13045683</v>
          </cell>
          <cell r="BD10">
            <v>13448338</v>
          </cell>
          <cell r="BE10">
            <v>13430190</v>
          </cell>
          <cell r="BF10">
            <v>39924211</v>
          </cell>
        </row>
        <row r="11">
          <cell r="A11" t="str">
            <v>Total Market NRx</v>
          </cell>
          <cell r="C11">
            <v>3358172</v>
          </cell>
          <cell r="D11">
            <v>3046770</v>
          </cell>
          <cell r="E11">
            <v>3256065</v>
          </cell>
          <cell r="F11">
            <v>9661007</v>
          </cell>
          <cell r="G11">
            <v>3274668</v>
          </cell>
          <cell r="H11">
            <v>3190051</v>
          </cell>
          <cell r="I11">
            <v>2945356</v>
          </cell>
          <cell r="J11">
            <v>9410075</v>
          </cell>
          <cell r="K11">
            <v>3175477</v>
          </cell>
          <cell r="L11">
            <v>3119889</v>
          </cell>
          <cell r="M11">
            <v>2974812</v>
          </cell>
          <cell r="N11">
            <v>9270178</v>
          </cell>
          <cell r="O11">
            <v>3243450</v>
          </cell>
          <cell r="P11">
            <v>3067788</v>
          </cell>
          <cell r="Q11">
            <v>3221099</v>
          </cell>
          <cell r="R11">
            <v>9532337</v>
          </cell>
          <cell r="S11">
            <v>3448150</v>
          </cell>
          <cell r="T11">
            <v>3166698</v>
          </cell>
          <cell r="U11">
            <v>3396302</v>
          </cell>
          <cell r="V11">
            <v>10011150</v>
          </cell>
          <cell r="W11">
            <v>3265672</v>
          </cell>
          <cell r="X11">
            <v>3302578</v>
          </cell>
          <cell r="Y11">
            <v>3266322</v>
          </cell>
          <cell r="Z11">
            <v>9834572</v>
          </cell>
          <cell r="AA11">
            <v>3368426</v>
          </cell>
          <cell r="AB11">
            <v>3210338</v>
          </cell>
          <cell r="AC11">
            <v>3301093</v>
          </cell>
          <cell r="AD11">
            <v>9879857</v>
          </cell>
          <cell r="AE11">
            <v>3531476</v>
          </cell>
          <cell r="AF11">
            <v>3249453</v>
          </cell>
          <cell r="AG11">
            <v>3619183</v>
          </cell>
          <cell r="AH11">
            <v>10400112</v>
          </cell>
          <cell r="AI11">
            <v>3668499</v>
          </cell>
          <cell r="AJ11">
            <v>3531111</v>
          </cell>
          <cell r="AK11">
            <v>3989611</v>
          </cell>
          <cell r="AL11">
            <v>11189221</v>
          </cell>
          <cell r="AM11">
            <v>3732812</v>
          </cell>
          <cell r="AN11">
            <v>3639732</v>
          </cell>
          <cell r="AO11">
            <v>3833913</v>
          </cell>
          <cell r="AP11">
            <v>11206457</v>
          </cell>
          <cell r="AQ11">
            <v>3806868</v>
          </cell>
          <cell r="AR11">
            <v>3911282</v>
          </cell>
          <cell r="AS11">
            <v>3969083</v>
          </cell>
          <cell r="AT11">
            <v>11687233</v>
          </cell>
          <cell r="AU11">
            <v>3998229</v>
          </cell>
          <cell r="AV11">
            <v>4088923</v>
          </cell>
          <cell r="AW11">
            <v>4150821</v>
          </cell>
          <cell r="AX11">
            <v>12237973</v>
          </cell>
          <cell r="AY11">
            <v>4204957</v>
          </cell>
          <cell r="AZ11">
            <v>3939100</v>
          </cell>
          <cell r="BA11">
            <v>4420611</v>
          </cell>
          <cell r="BB11">
            <v>12564668</v>
          </cell>
          <cell r="BC11">
            <v>4195342</v>
          </cell>
          <cell r="BD11">
            <v>4239050</v>
          </cell>
          <cell r="BE11">
            <v>4233118</v>
          </cell>
          <cell r="BF11">
            <v>12667510</v>
          </cell>
        </row>
        <row r="12">
          <cell r="A12" t="str">
            <v>32900 (Anti-hyperlipidemics) TRx</v>
          </cell>
          <cell r="C12">
            <v>240315</v>
          </cell>
          <cell r="D12">
            <v>226146</v>
          </cell>
          <cell r="E12">
            <v>251740</v>
          </cell>
          <cell r="F12">
            <v>718201</v>
          </cell>
          <cell r="G12">
            <v>262235</v>
          </cell>
          <cell r="H12">
            <v>271946</v>
          </cell>
          <cell r="I12">
            <v>260950</v>
          </cell>
          <cell r="J12">
            <v>795131</v>
          </cell>
          <cell r="K12">
            <v>282999</v>
          </cell>
          <cell r="L12">
            <v>285239</v>
          </cell>
          <cell r="M12">
            <v>277369</v>
          </cell>
          <cell r="N12">
            <v>845607</v>
          </cell>
          <cell r="O12">
            <v>299353</v>
          </cell>
          <cell r="P12">
            <v>288092</v>
          </cell>
          <cell r="Q12">
            <v>304789</v>
          </cell>
          <cell r="R12">
            <v>892234</v>
          </cell>
          <cell r="S12">
            <v>297637</v>
          </cell>
          <cell r="T12">
            <v>273650</v>
          </cell>
          <cell r="U12">
            <v>298290</v>
          </cell>
          <cell r="V12">
            <v>869577</v>
          </cell>
          <cell r="W12">
            <v>293717</v>
          </cell>
          <cell r="X12">
            <v>304691</v>
          </cell>
          <cell r="Y12">
            <v>302388</v>
          </cell>
          <cell r="Z12">
            <v>900796</v>
          </cell>
          <cell r="AA12">
            <v>313030</v>
          </cell>
          <cell r="AB12">
            <v>309668</v>
          </cell>
          <cell r="AC12">
            <v>316319</v>
          </cell>
          <cell r="AD12">
            <v>939017</v>
          </cell>
          <cell r="AE12">
            <v>333373</v>
          </cell>
          <cell r="AF12">
            <v>314422</v>
          </cell>
          <cell r="AG12">
            <v>350734</v>
          </cell>
          <cell r="AH12">
            <v>998529</v>
          </cell>
          <cell r="AI12">
            <v>338544</v>
          </cell>
          <cell r="AJ12">
            <v>322066</v>
          </cell>
          <cell r="AK12">
            <v>365957</v>
          </cell>
          <cell r="AL12">
            <v>1026567</v>
          </cell>
          <cell r="AM12">
            <v>352263</v>
          </cell>
          <cell r="AN12">
            <v>355184</v>
          </cell>
          <cell r="AO12">
            <v>375237</v>
          </cell>
          <cell r="AP12">
            <v>1082684</v>
          </cell>
          <cell r="AQ12">
            <v>376524</v>
          </cell>
          <cell r="AR12">
            <v>388618</v>
          </cell>
          <cell r="AS12">
            <v>383641</v>
          </cell>
          <cell r="AT12">
            <v>1148783</v>
          </cell>
          <cell r="AU12">
            <v>392988</v>
          </cell>
          <cell r="AV12">
            <v>402158</v>
          </cell>
          <cell r="AW12">
            <v>418831</v>
          </cell>
          <cell r="AX12">
            <v>1213977</v>
          </cell>
          <cell r="AY12">
            <v>410976</v>
          </cell>
          <cell r="AZ12">
            <v>381405</v>
          </cell>
          <cell r="BA12">
            <v>430906</v>
          </cell>
          <cell r="BB12">
            <v>1223287</v>
          </cell>
          <cell r="BC12">
            <v>419553</v>
          </cell>
          <cell r="BD12">
            <v>432261</v>
          </cell>
          <cell r="BE12">
            <v>435612</v>
          </cell>
          <cell r="BF12">
            <v>1287426</v>
          </cell>
        </row>
        <row r="13">
          <cell r="A13" t="str">
            <v>32900 (Anti-hyperlipidemics) NRx</v>
          </cell>
          <cell r="C13">
            <v>94674</v>
          </cell>
          <cell r="D13">
            <v>89627</v>
          </cell>
          <cell r="E13">
            <v>98630</v>
          </cell>
          <cell r="F13">
            <v>282931</v>
          </cell>
          <cell r="G13">
            <v>100795</v>
          </cell>
          <cell r="H13">
            <v>103257</v>
          </cell>
          <cell r="I13">
            <v>96031</v>
          </cell>
          <cell r="J13">
            <v>300083</v>
          </cell>
          <cell r="K13">
            <v>101934</v>
          </cell>
          <cell r="L13">
            <v>103390</v>
          </cell>
          <cell r="M13">
            <v>98396</v>
          </cell>
          <cell r="N13">
            <v>303720</v>
          </cell>
          <cell r="O13">
            <v>108060</v>
          </cell>
          <cell r="P13">
            <v>100722</v>
          </cell>
          <cell r="Q13">
            <v>101285</v>
          </cell>
          <cell r="R13">
            <v>310067</v>
          </cell>
          <cell r="S13">
            <v>104581</v>
          </cell>
          <cell r="T13">
            <v>96897</v>
          </cell>
          <cell r="U13">
            <v>103244</v>
          </cell>
          <cell r="V13">
            <v>304722</v>
          </cell>
          <cell r="W13">
            <v>99894</v>
          </cell>
          <cell r="X13">
            <v>102973</v>
          </cell>
          <cell r="Y13">
            <v>102459</v>
          </cell>
          <cell r="Z13">
            <v>305326</v>
          </cell>
          <cell r="AA13">
            <v>105538</v>
          </cell>
          <cell r="AB13">
            <v>103278</v>
          </cell>
          <cell r="AC13">
            <v>107371</v>
          </cell>
          <cell r="AD13">
            <v>316187</v>
          </cell>
          <cell r="AE13">
            <v>114905</v>
          </cell>
          <cell r="AF13">
            <v>107165</v>
          </cell>
          <cell r="AG13">
            <v>116177</v>
          </cell>
          <cell r="AH13">
            <v>338247</v>
          </cell>
          <cell r="AI13">
            <v>115130</v>
          </cell>
          <cell r="AJ13">
            <v>115581</v>
          </cell>
          <cell r="AK13">
            <v>133571</v>
          </cell>
          <cell r="AL13">
            <v>364282</v>
          </cell>
          <cell r="AM13">
            <v>125674</v>
          </cell>
          <cell r="AN13">
            <v>125445</v>
          </cell>
          <cell r="AO13">
            <v>133102</v>
          </cell>
          <cell r="AP13">
            <v>384221</v>
          </cell>
          <cell r="AQ13">
            <v>131691</v>
          </cell>
          <cell r="AR13">
            <v>135866</v>
          </cell>
          <cell r="AS13">
            <v>134871</v>
          </cell>
          <cell r="AT13">
            <v>402428</v>
          </cell>
          <cell r="AU13">
            <v>137055</v>
          </cell>
          <cell r="AV13">
            <v>142342</v>
          </cell>
          <cell r="AW13">
            <v>145735</v>
          </cell>
          <cell r="AX13">
            <v>425132</v>
          </cell>
          <cell r="AY13">
            <v>144518</v>
          </cell>
          <cell r="AZ13">
            <v>139038</v>
          </cell>
          <cell r="BA13">
            <v>155804</v>
          </cell>
          <cell r="BB13">
            <v>439360</v>
          </cell>
          <cell r="BC13">
            <v>149929</v>
          </cell>
          <cell r="BD13">
            <v>150269</v>
          </cell>
          <cell r="BE13">
            <v>151288</v>
          </cell>
          <cell r="BF13">
            <v>451486</v>
          </cell>
        </row>
        <row r="14">
          <cell r="A14" t="str">
            <v>32110 (HMG-CoAs) TRx</v>
          </cell>
          <cell r="C14">
            <v>9761700</v>
          </cell>
          <cell r="D14">
            <v>8936456</v>
          </cell>
          <cell r="E14">
            <v>9743842</v>
          </cell>
          <cell r="F14">
            <v>28441998</v>
          </cell>
          <cell r="G14">
            <v>10003964</v>
          </cell>
          <cell r="H14">
            <v>10037292</v>
          </cell>
          <cell r="I14">
            <v>9492834</v>
          </cell>
          <cell r="J14">
            <v>29534090</v>
          </cell>
          <cell r="K14">
            <v>10195806</v>
          </cell>
          <cell r="L14">
            <v>10018230</v>
          </cell>
          <cell r="M14">
            <v>9637684</v>
          </cell>
          <cell r="N14">
            <v>29851720</v>
          </cell>
          <cell r="O14">
            <v>10250326</v>
          </cell>
          <cell r="P14">
            <v>9805169</v>
          </cell>
          <cell r="Q14">
            <v>10527945</v>
          </cell>
          <cell r="R14">
            <v>30583440</v>
          </cell>
          <cell r="S14">
            <v>10375259</v>
          </cell>
          <cell r="T14">
            <v>9492561</v>
          </cell>
          <cell r="U14">
            <v>10394024</v>
          </cell>
          <cell r="V14">
            <v>30261844</v>
          </cell>
          <cell r="W14">
            <v>10191964</v>
          </cell>
          <cell r="X14">
            <v>10443724</v>
          </cell>
          <cell r="Y14">
            <v>10300138</v>
          </cell>
          <cell r="Z14">
            <v>30935826</v>
          </cell>
          <cell r="AA14">
            <v>10690789</v>
          </cell>
          <cell r="AB14">
            <v>10411044</v>
          </cell>
          <cell r="AC14">
            <v>10550522</v>
          </cell>
          <cell r="AD14">
            <v>31652355</v>
          </cell>
          <cell r="AE14">
            <v>10993353</v>
          </cell>
          <cell r="AF14">
            <v>10306778</v>
          </cell>
          <cell r="AG14">
            <v>11522264</v>
          </cell>
          <cell r="AH14">
            <v>32822395</v>
          </cell>
          <cell r="AI14">
            <v>11169825</v>
          </cell>
          <cell r="AJ14">
            <v>10507273</v>
          </cell>
          <cell r="AK14">
            <v>11774304</v>
          </cell>
          <cell r="AL14">
            <v>33451402</v>
          </cell>
          <cell r="AM14">
            <v>11271775</v>
          </cell>
          <cell r="AN14">
            <v>11198636</v>
          </cell>
          <cell r="AO14">
            <v>11779789</v>
          </cell>
          <cell r="AP14">
            <v>34250200</v>
          </cell>
          <cell r="AQ14">
            <v>11776850</v>
          </cell>
          <cell r="AR14">
            <v>12035031</v>
          </cell>
          <cell r="AS14">
            <v>11889480</v>
          </cell>
          <cell r="AT14">
            <v>35701361</v>
          </cell>
          <cell r="AU14">
            <v>11979739</v>
          </cell>
          <cell r="AV14">
            <v>12062280</v>
          </cell>
          <cell r="AW14">
            <v>12388401</v>
          </cell>
          <cell r="AX14">
            <v>36430420</v>
          </cell>
          <cell r="AY14">
            <v>12140686</v>
          </cell>
          <cell r="AZ14">
            <v>11082229</v>
          </cell>
          <cell r="BA14">
            <v>12357932</v>
          </cell>
          <cell r="BB14">
            <v>35580847</v>
          </cell>
          <cell r="BC14">
            <v>11910433</v>
          </cell>
          <cell r="BD14">
            <v>12206410</v>
          </cell>
          <cell r="BE14">
            <v>12109043</v>
          </cell>
          <cell r="BF14">
            <v>36225886</v>
          </cell>
        </row>
        <row r="15">
          <cell r="A15" t="str">
            <v>32110 (HMG-CoAs) NRx</v>
          </cell>
          <cell r="C15">
            <v>3263078</v>
          </cell>
          <cell r="D15">
            <v>2952094</v>
          </cell>
          <cell r="E15">
            <v>3146500</v>
          </cell>
          <cell r="F15">
            <v>9361672</v>
          </cell>
          <cell r="G15">
            <v>3158779</v>
          </cell>
          <cell r="H15">
            <v>3069422</v>
          </cell>
          <cell r="I15">
            <v>2832210</v>
          </cell>
          <cell r="J15">
            <v>9060411</v>
          </cell>
          <cell r="K15">
            <v>3054339</v>
          </cell>
          <cell r="L15">
            <v>2995661</v>
          </cell>
          <cell r="M15">
            <v>2855397</v>
          </cell>
          <cell r="N15">
            <v>8905397</v>
          </cell>
          <cell r="O15">
            <v>3111461</v>
          </cell>
          <cell r="P15">
            <v>2944375</v>
          </cell>
          <cell r="Q15">
            <v>3097133</v>
          </cell>
          <cell r="R15">
            <v>9152969</v>
          </cell>
          <cell r="S15">
            <v>3321059</v>
          </cell>
          <cell r="T15">
            <v>3048749</v>
          </cell>
          <cell r="U15">
            <v>3269168</v>
          </cell>
          <cell r="V15">
            <v>9638976</v>
          </cell>
          <cell r="W15">
            <v>3140114</v>
          </cell>
          <cell r="X15">
            <v>3171731</v>
          </cell>
          <cell r="Y15">
            <v>3135420</v>
          </cell>
          <cell r="Z15">
            <v>9447265</v>
          </cell>
          <cell r="AA15">
            <v>3232872</v>
          </cell>
          <cell r="AB15">
            <v>3075636</v>
          </cell>
          <cell r="AC15">
            <v>3158614</v>
          </cell>
          <cell r="AD15">
            <v>9467122</v>
          </cell>
          <cell r="AE15">
            <v>3376959</v>
          </cell>
          <cell r="AF15">
            <v>3105821</v>
          </cell>
          <cell r="AG15">
            <v>3464148</v>
          </cell>
          <cell r="AH15">
            <v>9946928</v>
          </cell>
          <cell r="AI15">
            <v>3517199</v>
          </cell>
          <cell r="AJ15">
            <v>3379818</v>
          </cell>
          <cell r="AK15">
            <v>3815300</v>
          </cell>
          <cell r="AL15">
            <v>10712317</v>
          </cell>
          <cell r="AM15">
            <v>3569427</v>
          </cell>
          <cell r="AN15">
            <v>3477458</v>
          </cell>
          <cell r="AO15">
            <v>3662009</v>
          </cell>
          <cell r="AP15">
            <v>10708894</v>
          </cell>
          <cell r="AQ15">
            <v>3636384</v>
          </cell>
          <cell r="AR15">
            <v>3711934</v>
          </cell>
          <cell r="AS15">
            <v>3722725</v>
          </cell>
          <cell r="AT15">
            <v>11071043</v>
          </cell>
          <cell r="AU15">
            <v>3711303</v>
          </cell>
          <cell r="AV15">
            <v>3761333</v>
          </cell>
          <cell r="AW15">
            <v>3786666</v>
          </cell>
          <cell r="AX15">
            <v>11259302</v>
          </cell>
          <cell r="AY15">
            <v>3827149</v>
          </cell>
          <cell r="AZ15">
            <v>3559674</v>
          </cell>
          <cell r="BA15">
            <v>3974382</v>
          </cell>
          <cell r="BB15">
            <v>11361205</v>
          </cell>
          <cell r="BC15">
            <v>3749597</v>
          </cell>
          <cell r="BD15">
            <v>3769198</v>
          </cell>
          <cell r="BE15">
            <v>3740001</v>
          </cell>
          <cell r="BF15">
            <v>11258796</v>
          </cell>
        </row>
        <row r="16">
          <cell r="A16" t="str">
            <v>TRx Market Growth (1)</v>
          </cell>
          <cell r="S16">
            <v>7.2759661194600866E-2</v>
          </cell>
          <cell r="T16">
            <v>7.1221745457861418E-2</v>
          </cell>
          <cell r="U16">
            <v>7.4446679879446309E-2</v>
          </cell>
          <cell r="V16">
            <v>7.2855113591576925E-2</v>
          </cell>
          <cell r="W16">
            <v>2.5504545169106496E-2</v>
          </cell>
          <cell r="X16">
            <v>4.6504838365171164E-2</v>
          </cell>
          <cell r="Y16">
            <v>9.0809982329817407E-2</v>
          </cell>
          <cell r="Z16">
            <v>5.3657430080585655E-2</v>
          </cell>
          <cell r="AA16">
            <v>5.3613020367429209E-2</v>
          </cell>
          <cell r="AB16">
            <v>4.3795741068368699E-2</v>
          </cell>
          <cell r="AC16">
            <v>9.9595057970410572E-2</v>
          </cell>
          <cell r="AD16">
            <v>6.5176119711515712E-2</v>
          </cell>
          <cell r="AE16">
            <v>7.7327612202074292E-2</v>
          </cell>
          <cell r="AF16">
            <v>5.5801797383559615E-2</v>
          </cell>
          <cell r="AG16">
            <v>9.964597893870808E-2</v>
          </cell>
          <cell r="AH16">
            <v>7.8106803508758427E-2</v>
          </cell>
          <cell r="AI16">
            <v>8.1728394555484973E-2</v>
          </cell>
          <cell r="AJ16">
            <v>0.11235274315669463</v>
          </cell>
          <cell r="AK16">
            <v>0.1389284751484412</v>
          </cell>
          <cell r="AL16">
            <v>0.11098485336118191</v>
          </cell>
          <cell r="AM16">
            <v>0.11158896165867072</v>
          </cell>
          <cell r="AN16">
            <v>7.747025035972066E-2</v>
          </cell>
          <cell r="AO16">
            <v>0.14875261663267758</v>
          </cell>
          <cell r="AP16">
            <v>0.11244989107005399</v>
          </cell>
          <cell r="AQ16">
            <v>0.10636842636279153</v>
          </cell>
          <cell r="AR16">
            <v>0.16257023788591773</v>
          </cell>
          <cell r="AS16">
            <v>0.13780896434858181</v>
          </cell>
          <cell r="AT16">
            <v>0.13534305558596937</v>
          </cell>
          <cell r="AU16">
            <v>0.1056491834044917</v>
          </cell>
          <cell r="AV16">
            <v>0.1949003247238783</v>
          </cell>
          <cell r="AW16">
            <v>0.10541927098141834</v>
          </cell>
          <cell r="AX16">
            <v>0.13359823342089938</v>
          </cell>
          <cell r="AY16">
            <v>0.12403190268088493</v>
          </cell>
          <cell r="AZ16">
            <v>9.7883717515568236E-2</v>
          </cell>
          <cell r="BA16">
            <v>9.8692467265550032E-2</v>
          </cell>
          <cell r="BB16">
            <v>0.1068952665613192</v>
          </cell>
          <cell r="BC16">
            <v>0.11247027101239304</v>
          </cell>
          <cell r="BD16">
            <v>0.15375016000074115</v>
          </cell>
          <cell r="BE16">
            <v>9.5285827634135289E-2</v>
          </cell>
          <cell r="BF16">
            <v>0.120057750954214</v>
          </cell>
        </row>
        <row r="17">
          <cell r="A17" t="str">
            <v>NRx Market Growth</v>
          </cell>
          <cell r="S17">
            <v>2.679374373915322E-2</v>
          </cell>
          <cell r="T17">
            <v>3.9362341102216369E-2</v>
          </cell>
          <cell r="U17">
            <v>4.3069471893220745E-2</v>
          </cell>
          <cell r="V17">
            <v>3.6242909253662692E-2</v>
          </cell>
          <cell r="W17">
            <v>-2.7471487185876109E-3</v>
          </cell>
          <cell r="X17">
            <v>3.5274357682682833E-2</v>
          </cell>
          <cell r="Y17">
            <v>0.10897358417793979</v>
          </cell>
          <cell r="Z17">
            <v>4.5110905067175411E-2</v>
          </cell>
          <cell r="AA17">
            <v>6.0762209897914587E-2</v>
          </cell>
          <cell r="AB17">
            <v>2.8991095516539112E-2</v>
          </cell>
          <cell r="AC17">
            <v>0.10968121682983667</v>
          </cell>
          <cell r="AD17">
            <v>6.5767777058865606E-2</v>
          </cell>
          <cell r="AE17">
            <v>8.8802355516502507E-2</v>
          </cell>
          <cell r="AF17">
            <v>5.9216934155815304E-2</v>
          </cell>
          <cell r="AG17">
            <v>0.12358639085604017</v>
          </cell>
          <cell r="AH17">
            <v>9.1034863748522543E-2</v>
          </cell>
          <cell r="AI17">
            <v>6.3903542479300413E-2</v>
          </cell>
          <cell r="AJ17">
            <v>0.11507665082050766</v>
          </cell>
          <cell r="AK17">
            <v>0.17469265100688935</v>
          </cell>
          <cell r="AL17">
            <v>0.11767589138111001</v>
          </cell>
          <cell r="AM17">
            <v>0.14304559674088524</v>
          </cell>
          <cell r="AN17">
            <v>0.10208812630617659</v>
          </cell>
          <cell r="AO17">
            <v>0.173770681518846</v>
          </cell>
          <cell r="AP17">
            <v>0.13949615702645723</v>
          </cell>
          <cell r="AQ17">
            <v>0.13016227757415488</v>
          </cell>
          <cell r="AR17">
            <v>0.2183396265439963</v>
          </cell>
          <cell r="AS17">
            <v>0.20235418996071908</v>
          </cell>
          <cell r="AT17">
            <v>0.18293544127207517</v>
          </cell>
          <cell r="AU17">
            <v>0.13216938186752514</v>
          </cell>
          <cell r="AV17">
            <v>0.25834194247462583</v>
          </cell>
          <cell r="AW17">
            <v>0.14689447867101491</v>
          </cell>
          <cell r="AX17">
            <v>0.17671550075614562</v>
          </cell>
          <cell r="AY17">
            <v>0.14623365032946722</v>
          </cell>
          <cell r="AZ17">
            <v>0.11554125599563414</v>
          </cell>
          <cell r="BA17">
            <v>0.10803058243021679</v>
          </cell>
          <cell r="BB17">
            <v>0.1229260732270816</v>
          </cell>
          <cell r="BC17">
            <v>0.12390926732983076</v>
          </cell>
          <cell r="BD17">
            <v>0.16465992551099906</v>
          </cell>
          <cell r="BE17">
            <v>0.10412468931871954</v>
          </cell>
          <cell r="BF17">
            <v>0.13037599662408916</v>
          </cell>
        </row>
        <row r="18">
          <cell r="A18" t="str">
            <v>TRx Market Share</v>
          </cell>
          <cell r="C18">
            <v>2.3934064874983479E-2</v>
          </cell>
          <cell r="D18">
            <v>2.4567787013223867E-2</v>
          </cell>
          <cell r="E18">
            <v>2.5048129128743872E-2</v>
          </cell>
          <cell r="F18">
            <v>2.4515308196225553E-2</v>
          </cell>
          <cell r="G18">
            <v>2.539431094178719E-2</v>
          </cell>
          <cell r="H18">
            <v>2.6204619044523484E-2</v>
          </cell>
          <cell r="I18">
            <v>2.6555348569416246E-2</v>
          </cell>
          <cell r="J18">
            <v>2.6043364129261146E-2</v>
          </cell>
          <cell r="K18">
            <v>2.6795290450371507E-2</v>
          </cell>
          <cell r="L18">
            <v>2.7451454523208529E-2</v>
          </cell>
          <cell r="M18">
            <v>2.7719679921611815E-2</v>
          </cell>
          <cell r="N18">
            <v>2.7314251163447972E-2</v>
          </cell>
          <cell r="O18">
            <v>2.8105660963927991E-2</v>
          </cell>
          <cell r="P18">
            <v>2.8258565877781701E-2</v>
          </cell>
          <cell r="Q18">
            <v>2.7851279016435741E-2</v>
          </cell>
          <cell r="R18">
            <v>2.8067134110884295E-2</v>
          </cell>
          <cell r="S18">
            <v>2.7591719529865767E-2</v>
          </cell>
          <cell r="T18">
            <v>2.7702523408051877E-2</v>
          </cell>
          <cell r="U18">
            <v>2.7571998972250295E-2</v>
          </cell>
          <cell r="V18">
            <v>2.7619706247992107E-2</v>
          </cell>
          <cell r="W18">
            <v>2.7677373341588974E-2</v>
          </cell>
          <cell r="X18">
            <v>2.7984452742871816E-2</v>
          </cell>
          <cell r="Y18">
            <v>2.8159951673333319E-2</v>
          </cell>
          <cell r="Z18">
            <v>2.7941812314916933E-2</v>
          </cell>
          <cell r="AA18">
            <v>2.8062794094634781E-2</v>
          </cell>
          <cell r="AB18">
            <v>2.8488478195110283E-2</v>
          </cell>
          <cell r="AC18">
            <v>2.8684929405663615E-2</v>
          </cell>
          <cell r="AD18">
            <v>2.8410347400926166E-2</v>
          </cell>
          <cell r="AE18">
            <v>2.8976616394386451E-2</v>
          </cell>
          <cell r="AF18">
            <v>2.9139641349356257E-2</v>
          </cell>
          <cell r="AG18">
            <v>2.9069208659898184E-2</v>
          </cell>
          <cell r="AH18">
            <v>2.906032353530184E-2</v>
          </cell>
          <cell r="AI18">
            <v>2.8922713752484994E-2</v>
          </cell>
          <cell r="AJ18">
            <v>2.9222486387049031E-2</v>
          </cell>
          <cell r="AK18">
            <v>2.9623914815435647E-2</v>
          </cell>
          <cell r="AL18">
            <v>2.9263804820520212E-2</v>
          </cell>
          <cell r="AM18">
            <v>2.9774098067924928E-2</v>
          </cell>
          <cell r="AN18">
            <v>3.0213887961389806E-2</v>
          </cell>
          <cell r="AO18">
            <v>3.0339151314736246E-2</v>
          </cell>
          <cell r="AP18">
            <v>3.0112292181696511E-2</v>
          </cell>
          <cell r="AQ18">
            <v>3.044189852700491E-2</v>
          </cell>
          <cell r="AR18">
            <v>3.0664311788202385E-2</v>
          </cell>
          <cell r="AS18">
            <v>3.0510179541928036E-2</v>
          </cell>
          <cell r="AT18">
            <v>3.0539639056727474E-2</v>
          </cell>
          <cell r="AU18">
            <v>3.0837416376664747E-2</v>
          </cell>
          <cell r="AV18">
            <v>3.114085994347187E-2</v>
          </cell>
          <cell r="AW18">
            <v>3.1367748028274675E-2</v>
          </cell>
          <cell r="AX18">
            <v>3.1119434196619552E-2</v>
          </cell>
          <cell r="AY18">
            <v>3.1181432125109269E-2</v>
          </cell>
          <cell r="AZ18">
            <v>3.1475672602377311E-2</v>
          </cell>
          <cell r="BA18">
            <v>3.1706528251347288E-2</v>
          </cell>
          <cell r="BB18">
            <v>3.1456646485318367E-2</v>
          </cell>
          <cell r="BC18">
            <v>3.1828000113140874E-2</v>
          </cell>
          <cell r="BD18">
            <v>3.1796494109532343E-2</v>
          </cell>
          <cell r="BE18">
            <v>3.2070655739047625E-2</v>
          </cell>
          <cell r="BF18">
            <v>3.1899014860932377E-2</v>
          </cell>
        </row>
        <row r="19">
          <cell r="A19" t="str">
            <v>NRx Market Share</v>
          </cell>
          <cell r="C19">
            <v>2.8109340438786341E-2</v>
          </cell>
          <cell r="D19">
            <v>2.9322200231720805E-2</v>
          </cell>
          <cell r="E19">
            <v>3.018582245747551E-2</v>
          </cell>
          <cell r="F19">
            <v>2.919167743072746E-2</v>
          </cell>
          <cell r="G19">
            <v>3.0702043688092959E-2</v>
          </cell>
          <cell r="H19">
            <v>3.2268136152055246E-2</v>
          </cell>
          <cell r="I19">
            <v>3.247315434874426E-2</v>
          </cell>
          <cell r="J19">
            <v>3.1787313066048886E-2</v>
          </cell>
          <cell r="K19">
            <v>3.1958978131474421E-2</v>
          </cell>
          <cell r="L19">
            <v>3.2995084119979909E-2</v>
          </cell>
          <cell r="M19">
            <v>3.2939560550380997E-2</v>
          </cell>
          <cell r="N19">
            <v>3.2622350940834148E-2</v>
          </cell>
          <cell r="O19">
            <v>3.3172085279563425E-2</v>
          </cell>
          <cell r="P19">
            <v>3.2694892867434128E-2</v>
          </cell>
          <cell r="Q19">
            <v>3.1287147647433379E-2</v>
          </cell>
          <cell r="R19">
            <v>3.2381566031498887E-2</v>
          </cell>
          <cell r="S19">
            <v>3.0170961240085264E-2</v>
          </cell>
          <cell r="T19">
            <v>3.0426014732064757E-2</v>
          </cell>
          <cell r="U19">
            <v>3.0224344007099488E-2</v>
          </cell>
          <cell r="V19">
            <v>3.0269749229608987E-2</v>
          </cell>
          <cell r="W19">
            <v>3.0411198675188444E-2</v>
          </cell>
          <cell r="X19">
            <v>3.0995482922734907E-2</v>
          </cell>
          <cell r="Y19">
            <v>3.1198699944463528E-2</v>
          </cell>
          <cell r="Z19">
            <v>3.0868959015196595E-2</v>
          </cell>
          <cell r="AA19">
            <v>3.11394698889036E-2</v>
          </cell>
          <cell r="AB19">
            <v>3.1977629769824857E-2</v>
          </cell>
          <cell r="AC19">
            <v>3.2315054438030073E-2</v>
          </cell>
          <cell r="AD19">
            <v>3.1804610127454273E-2</v>
          </cell>
          <cell r="AE19">
            <v>3.232869202565726E-2</v>
          </cell>
          <cell r="AF19">
            <v>3.2753820412235533E-2</v>
          </cell>
          <cell r="AG19">
            <v>3.1860505533983778E-2</v>
          </cell>
          <cell r="AH19">
            <v>3.2298594476674866E-2</v>
          </cell>
          <cell r="AI19">
            <v>3.1120629990631046E-2</v>
          </cell>
          <cell r="AJ19">
            <v>3.2480712161130021E-2</v>
          </cell>
          <cell r="AK19">
            <v>3.3218025516773442E-2</v>
          </cell>
          <cell r="AL19">
            <v>3.2297690786516772E-2</v>
          </cell>
          <cell r="AM19">
            <v>3.3392520169780851E-2</v>
          </cell>
          <cell r="AN19">
            <v>3.4209386844965509E-2</v>
          </cell>
          <cell r="AO19">
            <v>3.4461658363139698E-2</v>
          </cell>
          <cell r="AP19">
            <v>3.4023599073284269E-2</v>
          </cell>
          <cell r="AQ19">
            <v>3.4329532833815096E-2</v>
          </cell>
          <cell r="AR19">
            <v>3.4452386711057909E-2</v>
          </cell>
          <cell r="AS19">
            <v>3.3718367693494948E-2</v>
          </cell>
          <cell r="AT19">
            <v>3.4163090613492521E-2</v>
          </cell>
          <cell r="AU19">
            <v>3.3996301862649687E-2</v>
          </cell>
          <cell r="AV19">
            <v>3.4552130230870087E-2</v>
          </cell>
          <cell r="AW19">
            <v>3.4860332449893651E-2</v>
          </cell>
          <cell r="AX19">
            <v>3.4475071974746148E-2</v>
          </cell>
          <cell r="AY19">
            <v>3.4035782054370592E-2</v>
          </cell>
          <cell r="AZ19">
            <v>3.4975248153131425E-2</v>
          </cell>
          <cell r="BA19">
            <v>3.4918928627739466E-2</v>
          </cell>
          <cell r="BB19">
            <v>3.4641026726691067E-2</v>
          </cell>
          <cell r="BC19">
            <v>3.5383289371879574E-2</v>
          </cell>
          <cell r="BD19">
            <v>3.5070829549073493E-2</v>
          </cell>
          <cell r="BE19">
            <v>3.5373689086862212E-2</v>
          </cell>
          <cell r="BF19">
            <v>3.5275519814075534E-2</v>
          </cell>
        </row>
        <row r="20">
          <cell r="A20" t="str">
            <v>Price Change (YoY)</v>
          </cell>
          <cell r="C20">
            <v>9.482996958805634E-2</v>
          </cell>
          <cell r="G20">
            <v>3.0050505050504883E-2</v>
          </cell>
          <cell r="M20">
            <v>5.9941162049522045E-2</v>
          </cell>
          <cell r="U20">
            <v>0.14999421764773913</v>
          </cell>
          <cell r="V20">
            <v>0.23998588474776605</v>
          </cell>
          <cell r="W20">
            <v>4.9979887369267839E-2</v>
          </cell>
          <cell r="X20">
            <v>104.41</v>
          </cell>
          <cell r="Y20">
            <v>104.41</v>
          </cell>
          <cell r="Z20">
            <v>0.25991526706652901</v>
          </cell>
          <cell r="AA20">
            <v>104.41</v>
          </cell>
          <cell r="AB20">
            <v>104.41</v>
          </cell>
          <cell r="AC20">
            <v>104.41</v>
          </cell>
          <cell r="AD20">
            <v>0.19997410501700696</v>
          </cell>
          <cell r="AE20">
            <v>4.9995211186667943E-2</v>
          </cell>
          <cell r="AF20">
            <v>109.63</v>
          </cell>
          <cell r="AG20">
            <v>109.63</v>
          </cell>
          <cell r="AH20">
            <v>0.24996931620367491</v>
          </cell>
          <cell r="AI20">
            <v>0.18498586153425167</v>
          </cell>
          <cell r="AJ20">
            <v>129.91</v>
          </cell>
          <cell r="AK20">
            <v>129.91</v>
          </cell>
          <cell r="AL20">
            <v>0.28496096009018745</v>
          </cell>
          <cell r="AM20">
            <v>129.91</v>
          </cell>
          <cell r="AN20">
            <v>129.91</v>
          </cell>
          <cell r="AO20">
            <v>6.4044338388114852E-2</v>
          </cell>
          <cell r="AP20">
            <v>0.29902541110903447</v>
          </cell>
          <cell r="AQ20">
            <v>138.22999999999999</v>
          </cell>
          <cell r="AR20">
            <v>138.22999999999999</v>
          </cell>
          <cell r="AS20">
            <v>138.22999999999999</v>
          </cell>
          <cell r="AT20">
            <v>0.29902541110903447</v>
          </cell>
          <cell r="AU20">
            <v>138.22999999999999</v>
          </cell>
          <cell r="AV20">
            <v>138.22999999999999</v>
          </cell>
          <cell r="AW20">
            <v>138.22999999999999</v>
          </cell>
          <cell r="AX20">
            <v>0.24903019992236652</v>
          </cell>
          <cell r="AY20">
            <v>9.3973811763003789E-2</v>
          </cell>
          <cell r="AZ20">
            <v>151.22</v>
          </cell>
          <cell r="BA20">
            <v>151.22</v>
          </cell>
          <cell r="BB20">
            <v>0.15801815015111864</v>
          </cell>
          <cell r="BC20">
            <v>151.22</v>
          </cell>
          <cell r="BD20">
            <v>9.4035180531675699E-2</v>
          </cell>
          <cell r="BE20">
            <v>165.44</v>
          </cell>
          <cell r="BF20">
            <v>0.18800899229467949</v>
          </cell>
        </row>
        <row r="21">
          <cell r="A21" t="str">
            <v>Price Change (YoY)</v>
          </cell>
          <cell r="C21">
            <v>9.482996958805634E-2</v>
          </cell>
          <cell r="G21">
            <v>3.0050505050504883E-2</v>
          </cell>
          <cell r="M21">
            <v>5.9941162049522045E-2</v>
          </cell>
          <cell r="U21">
            <v>0.14999421764773913</v>
          </cell>
          <cell r="V21">
            <v>0.23998588474776605</v>
          </cell>
          <cell r="W21">
            <v>4.9979887369267839E-2</v>
          </cell>
          <cell r="Z21">
            <v>0.25991526706652901</v>
          </cell>
          <cell r="AD21">
            <v>0.19997410501700696</v>
          </cell>
          <cell r="AE21">
            <v>4.9995211186667943E-2</v>
          </cell>
          <cell r="AH21">
            <v>0.24996931620367491</v>
          </cell>
          <cell r="AI21">
            <v>0.18498586153425167</v>
          </cell>
          <cell r="AL21">
            <v>0.28496096009018745</v>
          </cell>
          <cell r="AO21">
            <v>6.4044338388114852E-2</v>
          </cell>
          <cell r="AP21">
            <v>0.29902541110903447</v>
          </cell>
          <cell r="AT21">
            <v>0.29902541110903447</v>
          </cell>
          <cell r="AX21">
            <v>0.24903019992236652</v>
          </cell>
          <cell r="AY21">
            <v>9.3973811763003789E-2</v>
          </cell>
          <cell r="BB21">
            <v>0.15801815015111864</v>
          </cell>
          <cell r="BD21">
            <v>9.4035180531675699E-2</v>
          </cell>
          <cell r="BF21">
            <v>0.18800899229467949</v>
          </cell>
        </row>
        <row r="22">
          <cell r="A22" t="str">
            <v xml:space="preserve">TRx + Niaspan Price Change </v>
          </cell>
          <cell r="S22">
            <v>0.23670107226847237</v>
          </cell>
          <cell r="T22">
            <v>0.20790470312964793</v>
          </cell>
          <cell r="U22">
            <v>0.33270301801791158</v>
          </cell>
          <cell r="V22">
            <v>0.44869771683551352</v>
          </cell>
          <cell r="W22">
            <v>0.16768188862483746</v>
          </cell>
          <cell r="X22">
            <v>0.11758408487671979</v>
          </cell>
          <cell r="Y22">
            <v>0.15672201804852715</v>
          </cell>
          <cell r="Z22">
            <v>0.39037974966579303</v>
          </cell>
          <cell r="AD22">
            <v>0.30789478067775611</v>
          </cell>
          <cell r="AH22">
            <v>0.36622623049350755</v>
          </cell>
          <cell r="AL22">
            <v>0.46207861714996956</v>
          </cell>
          <cell r="AP22">
            <v>0.49788881266135809</v>
          </cell>
          <cell r="AT22">
            <v>0.51945987584307929</v>
          </cell>
          <cell r="AX22">
            <v>0.46295115257426001</v>
          </cell>
          <cell r="BB22">
            <v>0.34785704191668687</v>
          </cell>
          <cell r="BF22">
            <v>0.37452573526479349</v>
          </cell>
        </row>
        <row r="23">
          <cell r="A23" t="str">
            <v xml:space="preserve">TRx + Niaspan Price Change </v>
          </cell>
          <cell r="S23">
            <v>0.23670107226847237</v>
          </cell>
          <cell r="T23">
            <v>0.20790470312964793</v>
          </cell>
          <cell r="U23">
            <v>0.33270301801791158</v>
          </cell>
          <cell r="V23">
            <v>0.44869771683551352</v>
          </cell>
          <cell r="W23">
            <v>0.16768188862483746</v>
          </cell>
          <cell r="X23">
            <v>0.11758408487671979</v>
          </cell>
          <cell r="Y23">
            <v>0.15672201804852715</v>
          </cell>
          <cell r="Z23">
            <v>0.39037974966579303</v>
          </cell>
          <cell r="AD23">
            <v>0.30789478067775611</v>
          </cell>
          <cell r="AH23">
            <v>0.36622623049350755</v>
          </cell>
          <cell r="AL23">
            <v>0.46207861714996956</v>
          </cell>
          <cell r="AP23">
            <v>0.49788881266135809</v>
          </cell>
          <cell r="AT23">
            <v>0.51945987584307929</v>
          </cell>
          <cell r="AX23">
            <v>0.46295115257426001</v>
          </cell>
          <cell r="BB23">
            <v>0.34785704191668687</v>
          </cell>
          <cell r="BF23">
            <v>0.37452573526479349</v>
          </cell>
        </row>
        <row r="24">
          <cell r="A24" t="str">
            <v xml:space="preserve">TOTAL NIASPAN REPORTED SALES </v>
          </cell>
          <cell r="F24">
            <v>29.8</v>
          </cell>
          <cell r="J24">
            <v>33.4</v>
          </cell>
          <cell r="N24">
            <v>38.1</v>
          </cell>
          <cell r="R24">
            <v>44.4</v>
          </cell>
          <cell r="V24">
            <v>45.779220779220779</v>
          </cell>
          <cell r="Z24">
            <v>50.3</v>
          </cell>
          <cell r="AD24">
            <v>56.4</v>
          </cell>
          <cell r="AH24">
            <v>66.8</v>
          </cell>
          <cell r="AL24">
            <v>70.5</v>
          </cell>
          <cell r="AP24">
            <v>74.7</v>
          </cell>
          <cell r="AT24">
            <v>82</v>
          </cell>
          <cell r="AX24">
            <v>91.871000000000038</v>
          </cell>
          <cell r="BB24">
            <v>93.7</v>
          </cell>
          <cell r="BF24">
            <v>103.5</v>
          </cell>
        </row>
        <row r="25">
          <cell r="A25" t="str">
            <v xml:space="preserve">  % Change</v>
          </cell>
          <cell r="F25">
            <v>29.8</v>
          </cell>
          <cell r="J25">
            <v>33.4</v>
          </cell>
          <cell r="N25">
            <v>38.1</v>
          </cell>
          <cell r="R25">
            <v>44.4</v>
          </cell>
          <cell r="V25">
            <v>0.5362154623899591</v>
          </cell>
          <cell r="Z25">
            <v>0.50598802395209574</v>
          </cell>
          <cell r="AD25">
            <v>0.48031496062992107</v>
          </cell>
          <cell r="AH25">
            <v>0.50450450450450446</v>
          </cell>
          <cell r="AL25">
            <v>0.54</v>
          </cell>
          <cell r="AP25">
            <v>0.48508946322067614</v>
          </cell>
          <cell r="AT25">
            <v>0.45390070921985815</v>
          </cell>
          <cell r="AX25">
            <v>0.37531437125748557</v>
          </cell>
          <cell r="BB25">
            <v>0.32907801418439719</v>
          </cell>
          <cell r="BF25">
            <v>0.3855421686746987</v>
          </cell>
        </row>
        <row r="26">
          <cell r="A26" t="str">
            <v xml:space="preserve">  % Change</v>
          </cell>
          <cell r="V26">
            <v>0.5362154623899591</v>
          </cell>
          <cell r="Z26">
            <v>0.50598802395209574</v>
          </cell>
          <cell r="AD26">
            <v>0.48031496062992107</v>
          </cell>
          <cell r="AH26">
            <v>0.50450450450450446</v>
          </cell>
          <cell r="AL26">
            <v>0.54</v>
          </cell>
          <cell r="AP26">
            <v>0.48508946322067614</v>
          </cell>
          <cell r="AT26">
            <v>0.45390070921985815</v>
          </cell>
          <cell r="AX26">
            <v>0.37531437125748557</v>
          </cell>
          <cell r="BB26">
            <v>0.32907801418439719</v>
          </cell>
          <cell r="BF26">
            <v>0.36390147255689409</v>
          </cell>
        </row>
        <row r="27">
          <cell r="A27" t="str">
            <v>TOTAL NIASPAN SALES (IMS)</v>
          </cell>
          <cell r="C27">
            <v>11.788402</v>
          </cell>
          <cell r="D27">
            <v>12.819884999999999</v>
          </cell>
          <cell r="E27">
            <v>16.544218999999998</v>
          </cell>
          <cell r="F27">
            <v>41.152505999999995</v>
          </cell>
          <cell r="G27">
            <v>13.296918</v>
          </cell>
          <cell r="H27">
            <v>14.557789</v>
          </cell>
          <cell r="I27">
            <v>17.849647000000001</v>
          </cell>
          <cell r="J27">
            <v>45.704354000000002</v>
          </cell>
          <cell r="K27">
            <v>15.062562</v>
          </cell>
          <cell r="L27">
            <v>14.625532</v>
          </cell>
          <cell r="M27">
            <v>19.363429</v>
          </cell>
          <cell r="N27">
            <v>49.051523000000003</v>
          </cell>
          <cell r="O27">
            <v>17.035126000000002</v>
          </cell>
          <cell r="P27">
            <v>17.389478</v>
          </cell>
          <cell r="Q27">
            <v>21.936919</v>
          </cell>
          <cell r="R27">
            <v>56.361523000000005</v>
          </cell>
          <cell r="S27">
            <v>18.390080999999999</v>
          </cell>
          <cell r="T27">
            <v>19.548373999999999</v>
          </cell>
          <cell r="U27">
            <v>24.761669999999999</v>
          </cell>
          <cell r="V27">
            <v>62.700125</v>
          </cell>
          <cell r="W27">
            <v>20.983903999999999</v>
          </cell>
          <cell r="X27">
            <v>20.492486</v>
          </cell>
          <cell r="Y27">
            <v>26.535626000000001</v>
          </cell>
          <cell r="Z27">
            <v>68.012016000000003</v>
          </cell>
          <cell r="AA27">
            <v>21.305071999999999</v>
          </cell>
          <cell r="AB27">
            <v>21.958739999999999</v>
          </cell>
          <cell r="AC27">
            <v>26.106964999999999</v>
          </cell>
          <cell r="AD27">
            <v>69.37077699999999</v>
          </cell>
          <cell r="AE27">
            <v>22.971668999999999</v>
          </cell>
          <cell r="AF27">
            <v>22.932465000000001</v>
          </cell>
          <cell r="AG27">
            <v>28.646099</v>
          </cell>
          <cell r="AH27">
            <v>74.550232999999992</v>
          </cell>
          <cell r="AI27">
            <v>22.806488999999999</v>
          </cell>
          <cell r="AJ27">
            <v>25.770688</v>
          </cell>
          <cell r="AK27">
            <v>34.384898999999997</v>
          </cell>
          <cell r="AL27">
            <v>82.962075999999996</v>
          </cell>
          <cell r="AM27">
            <v>27.996836999999999</v>
          </cell>
          <cell r="AN27">
            <v>29.480132999999999</v>
          </cell>
          <cell r="AO27">
            <v>36.612707999999998</v>
          </cell>
          <cell r="AP27">
            <v>94.089677999999992</v>
          </cell>
          <cell r="AQ27">
            <v>30.346896999999998</v>
          </cell>
          <cell r="AR27">
            <v>31.132497999999998</v>
          </cell>
          <cell r="AS27">
            <v>38.492809000000001</v>
          </cell>
          <cell r="AT27">
            <v>99.972203999999991</v>
          </cell>
          <cell r="AU27">
            <v>31.460038999999998</v>
          </cell>
          <cell r="AV27">
            <v>32.564633000000001</v>
          </cell>
          <cell r="AW27">
            <v>41.146773000000003</v>
          </cell>
          <cell r="AX27">
            <v>105.17144500000001</v>
          </cell>
          <cell r="AY27">
            <v>34.020299000000001</v>
          </cell>
          <cell r="AZ27">
            <v>36.420817</v>
          </cell>
          <cell r="BA27">
            <v>44.922938000000002</v>
          </cell>
          <cell r="BB27">
            <v>115.36405400000001</v>
          </cell>
          <cell r="BC27">
            <v>35.946832999999998</v>
          </cell>
          <cell r="BD27">
            <v>37.068129999999996</v>
          </cell>
          <cell r="BE27">
            <v>50.824542999999998</v>
          </cell>
          <cell r="BF27">
            <v>123.839506</v>
          </cell>
        </row>
        <row r="28">
          <cell r="A28" t="str">
            <v xml:space="preserve">  % Change</v>
          </cell>
          <cell r="C28">
            <v>11.788402</v>
          </cell>
          <cell r="D28">
            <v>12.819884999999999</v>
          </cell>
          <cell r="E28">
            <v>16.544218999999998</v>
          </cell>
          <cell r="F28">
            <v>41.152505999999995</v>
          </cell>
          <cell r="G28">
            <v>13.296918</v>
          </cell>
          <cell r="H28">
            <v>14.557789</v>
          </cell>
          <cell r="I28">
            <v>17.849647000000001</v>
          </cell>
          <cell r="J28">
            <v>45.704354000000002</v>
          </cell>
          <cell r="K28">
            <v>15.062562</v>
          </cell>
          <cell r="L28">
            <v>14.625532</v>
          </cell>
          <cell r="M28">
            <v>19.363429</v>
          </cell>
          <cell r="N28">
            <v>49.051523000000003</v>
          </cell>
          <cell r="O28">
            <v>17.035126000000002</v>
          </cell>
          <cell r="P28">
            <v>17.389478</v>
          </cell>
          <cell r="Q28">
            <v>21.936919</v>
          </cell>
          <cell r="R28">
            <v>56.361523000000005</v>
          </cell>
          <cell r="S28">
            <v>0.56001475009080948</v>
          </cell>
          <cell r="T28">
            <v>0.52484784379891081</v>
          </cell>
          <cell r="U28">
            <v>0.49669621757303872</v>
          </cell>
          <cell r="V28">
            <v>0.52360405463521476</v>
          </cell>
          <cell r="W28">
            <v>0.57810283555933784</v>
          </cell>
          <cell r="X28">
            <v>0.40766472161397593</v>
          </cell>
          <cell r="Y28">
            <v>0.48661909112264223</v>
          </cell>
          <cell r="Z28">
            <v>0.48808614601576039</v>
          </cell>
          <cell r="AA28">
            <v>0.41443879201957801</v>
          </cell>
          <cell r="AB28">
            <v>0.5013976927471766</v>
          </cell>
          <cell r="AC28">
            <v>0.34826145720368018</v>
          </cell>
          <cell r="AD28">
            <v>0.41424308068885018</v>
          </cell>
          <cell r="AE28">
            <v>0.34848835283049828</v>
          </cell>
          <cell r="AF28">
            <v>0.31875522658011923</v>
          </cell>
          <cell r="AG28">
            <v>0.30583966691038067</v>
          </cell>
          <cell r="AH28">
            <v>0.32271501960654936</v>
          </cell>
          <cell r="AI28">
            <v>0.24015163391613115</v>
          </cell>
          <cell r="AJ28">
            <v>0.31830340467191798</v>
          </cell>
          <cell r="AK28">
            <v>0.38863408647316589</v>
          </cell>
          <cell r="AL28">
            <v>0.32315646898630579</v>
          </cell>
          <cell r="AM28">
            <v>0.33420535092040082</v>
          </cell>
          <cell r="AN28">
            <v>0.43858256143251717</v>
          </cell>
          <cell r="AO28">
            <v>0.37975670896175573</v>
          </cell>
          <cell r="AP28">
            <v>0.38342727555671918</v>
          </cell>
          <cell r="AQ28">
            <v>0.42439776781791672</v>
          </cell>
          <cell r="AR28">
            <v>0.41777251335914545</v>
          </cell>
          <cell r="AS28">
            <v>0.47442680526058867</v>
          </cell>
          <cell r="AT28">
            <v>0.44112850285646954</v>
          </cell>
          <cell r="AU28">
            <v>0.36951472703180599</v>
          </cell>
          <cell r="AV28">
            <v>0.42002322907720568</v>
          </cell>
          <cell r="AW28">
            <v>0.43638311799453056</v>
          </cell>
          <cell r="AX28">
            <v>0.41074602677633498</v>
          </cell>
          <cell r="AY28">
            <v>0.49169383327701177</v>
          </cell>
          <cell r="AZ28">
            <v>0.41326521822001805</v>
          </cell>
          <cell r="BA28">
            <v>0.306472879271799</v>
          </cell>
          <cell r="BB28">
            <v>0.39056373179475412</v>
          </cell>
          <cell r="BC28">
            <v>0.28396050596715616</v>
          </cell>
          <cell r="BD28">
            <v>0.25739358095840337</v>
          </cell>
          <cell r="BE28">
            <v>0.38816672615420855</v>
          </cell>
          <cell r="BF28">
            <v>0.31618588385433744</v>
          </cell>
        </row>
        <row r="29">
          <cell r="A29" t="str">
            <v xml:space="preserve">  % Change</v>
          </cell>
          <cell r="S29">
            <v>0.56001475009080948</v>
          </cell>
          <cell r="T29">
            <v>0.52484784379891081</v>
          </cell>
          <cell r="U29">
            <v>0.49669621757303872</v>
          </cell>
          <cell r="V29">
            <v>0.52360405463521476</v>
          </cell>
          <cell r="W29">
            <v>0.57810283555933784</v>
          </cell>
          <cell r="X29">
            <v>0.40766472161397593</v>
          </cell>
          <cell r="Y29">
            <v>0.48661909112264223</v>
          </cell>
          <cell r="Z29">
            <v>0.48808614601576039</v>
          </cell>
          <cell r="AA29">
            <v>0.41443879201957801</v>
          </cell>
          <cell r="AB29">
            <v>0.5013976927471766</v>
          </cell>
          <cell r="AC29">
            <v>0.34826145720368018</v>
          </cell>
          <cell r="AD29">
            <v>0.41424308068885018</v>
          </cell>
          <cell r="AE29">
            <v>0.34848835283049828</v>
          </cell>
          <cell r="AF29">
            <v>0.31875522658011923</v>
          </cell>
          <cell r="AG29">
            <v>0.30583966691038067</v>
          </cell>
          <cell r="AH29">
            <v>0.32271501960654936</v>
          </cell>
          <cell r="AI29">
            <v>0.24015163391613115</v>
          </cell>
          <cell r="AJ29">
            <v>0.31830340467191798</v>
          </cell>
          <cell r="AK29">
            <v>0.38863408647316589</v>
          </cell>
          <cell r="AL29">
            <v>0.32315646898630579</v>
          </cell>
          <cell r="AM29">
            <v>0.33420535092040082</v>
          </cell>
          <cell r="AN29">
            <v>0.43858256143251717</v>
          </cell>
          <cell r="AO29">
            <v>0.37975670896175573</v>
          </cell>
          <cell r="AP29">
            <v>0.38342727555671918</v>
          </cell>
          <cell r="AQ29">
            <v>0.42439776781791672</v>
          </cell>
          <cell r="AR29">
            <v>0.41777251335914545</v>
          </cell>
          <cell r="AS29">
            <v>0.47442680526058867</v>
          </cell>
          <cell r="AT29">
            <v>0.44112850285646954</v>
          </cell>
          <cell r="AU29">
            <v>0.36951472703180599</v>
          </cell>
          <cell r="AV29">
            <v>0.42002322907720568</v>
          </cell>
          <cell r="AW29">
            <v>0.43638311799453056</v>
          </cell>
          <cell r="AX29">
            <v>0.41074602677633498</v>
          </cell>
          <cell r="AY29">
            <v>0.49169383327701177</v>
          </cell>
          <cell r="AZ29">
            <v>0.41326521822001805</v>
          </cell>
          <cell r="BA29">
            <v>0.306472879271799</v>
          </cell>
          <cell r="BB29">
            <v>0.39056373179475412</v>
          </cell>
          <cell r="BC29">
            <v>0.28396050596715616</v>
          </cell>
          <cell r="BD29">
            <v>0.25739358095840337</v>
          </cell>
          <cell r="BE29">
            <v>0.38816672615420855</v>
          </cell>
          <cell r="BF29">
            <v>0.31618588385433744</v>
          </cell>
        </row>
        <row r="30">
          <cell r="A30" t="str">
            <v>REPORTED SALES/TRx NIASPAN</v>
          </cell>
          <cell r="F30">
            <v>41.659327355639249</v>
          </cell>
          <cell r="J30">
            <v>42.172888640846082</v>
          </cell>
          <cell r="N30">
            <v>45.251502147961723</v>
          </cell>
          <cell r="R30">
            <v>49.999099115331255</v>
          </cell>
          <cell r="V30">
            <v>52.947030994110477</v>
          </cell>
          <cell r="Z30">
            <v>56.182097010732676</v>
          </cell>
          <cell r="AD30">
            <v>60.461436538003873</v>
          </cell>
          <cell r="AH30">
            <v>67.389387583807988</v>
          </cell>
          <cell r="AL30">
            <v>69.269564721845853</v>
          </cell>
          <cell r="AP30">
            <v>69.595451979138133</v>
          </cell>
          <cell r="AT30">
            <v>72.027567233781284</v>
          </cell>
          <cell r="AX30">
            <v>76.348952550643929</v>
          </cell>
          <cell r="BB30">
            <v>77.375732261799186</v>
          </cell>
          <cell r="BF30">
            <v>81.269340728974214</v>
          </cell>
        </row>
        <row r="31">
          <cell r="A31" t="str">
            <v>IMS SALES/REPORTED SALES</v>
          </cell>
          <cell r="F31">
            <v>1.3809565771812078</v>
          </cell>
          <cell r="J31">
            <v>1.3683938323353295</v>
          </cell>
          <cell r="N31">
            <v>1.2874415485564306</v>
          </cell>
          <cell r="R31">
            <v>1.2694036711711714</v>
          </cell>
          <cell r="V31">
            <v>1.3696197517730497</v>
          </cell>
          <cell r="Z31">
            <v>1.3521275546719682</v>
          </cell>
          <cell r="AD31">
            <v>1.2299783156028368</v>
          </cell>
          <cell r="AH31">
            <v>1.1160214520958083</v>
          </cell>
          <cell r="AL31">
            <v>1.1767670354609929</v>
          </cell>
          <cell r="AP31">
            <v>1.2595673092369477</v>
          </cell>
          <cell r="AT31">
            <v>1.2191732195121949</v>
          </cell>
          <cell r="AX31">
            <v>1.1447730513437315</v>
          </cell>
          <cell r="BB31">
            <v>1.231206552828175</v>
          </cell>
          <cell r="BF31">
            <v>1.1965169661835748</v>
          </cell>
        </row>
        <row r="32">
          <cell r="A32" t="str">
            <v>IMS SALES/REPORTED SALES</v>
          </cell>
          <cell r="F32">
            <v>1.3809565771812078</v>
          </cell>
          <cell r="J32">
            <v>1.3683938323353295</v>
          </cell>
          <cell r="N32">
            <v>1.2874415485564306</v>
          </cell>
          <cell r="R32">
            <v>1.2694036711711714</v>
          </cell>
          <cell r="V32">
            <v>1.3696197517730497</v>
          </cell>
          <cell r="Z32">
            <v>1.3521275546719682</v>
          </cell>
          <cell r="AD32">
            <v>1.2299783156028368</v>
          </cell>
          <cell r="AH32">
            <v>1.1160214520958083</v>
          </cell>
          <cell r="AL32">
            <v>1.1767670354609929</v>
          </cell>
          <cell r="AP32">
            <v>1.2595673092369477</v>
          </cell>
          <cell r="AT32">
            <v>1.2191732195121949</v>
          </cell>
          <cell r="AX32">
            <v>1.1447730513437315</v>
          </cell>
          <cell r="AY32">
            <v>9.3973811763003789E-2</v>
          </cell>
          <cell r="AZ32">
            <v>0</v>
          </cell>
          <cell r="BA32">
            <v>0</v>
          </cell>
          <cell r="BB32">
            <v>1.231206552828175</v>
          </cell>
          <cell r="BC32">
            <v>0</v>
          </cell>
          <cell r="BD32">
            <v>4.388308424811533E-2</v>
          </cell>
          <cell r="BE32">
            <v>0</v>
          </cell>
          <cell r="BF32">
            <v>1.1965169661835748</v>
          </cell>
        </row>
        <row r="33">
          <cell r="A33" t="str">
            <v>ADVICOR</v>
          </cell>
          <cell r="BB33">
            <v>0.25388323015368308</v>
          </cell>
          <cell r="BF33">
            <v>0.32437363898123311</v>
          </cell>
        </row>
        <row r="34">
          <cell r="A34" t="str">
            <v>TRx</v>
          </cell>
          <cell r="C34">
            <v>423</v>
          </cell>
          <cell r="D34">
            <v>5216</v>
          </cell>
          <cell r="E34">
            <v>12910</v>
          </cell>
          <cell r="F34">
            <v>18549</v>
          </cell>
          <cell r="G34">
            <v>20987</v>
          </cell>
          <cell r="H34">
            <v>28138</v>
          </cell>
          <cell r="I34">
            <v>31627</v>
          </cell>
          <cell r="J34">
            <v>80752</v>
          </cell>
          <cell r="K34">
            <v>38379</v>
          </cell>
          <cell r="L34">
            <v>43633</v>
          </cell>
          <cell r="M34">
            <v>45632</v>
          </cell>
          <cell r="N34">
            <v>127644</v>
          </cell>
          <cell r="O34">
            <v>52420</v>
          </cell>
          <cell r="P34">
            <v>53043</v>
          </cell>
          <cell r="Q34">
            <v>57861</v>
          </cell>
          <cell r="R34">
            <v>163324</v>
          </cell>
          <cell r="S34">
            <v>57316</v>
          </cell>
          <cell r="T34">
            <v>54555</v>
          </cell>
          <cell r="U34">
            <v>61277</v>
          </cell>
          <cell r="V34">
            <v>173148</v>
          </cell>
          <cell r="W34">
            <v>63875</v>
          </cell>
          <cell r="X34">
            <v>69699</v>
          </cell>
          <cell r="Y34">
            <v>71498</v>
          </cell>
          <cell r="Z34">
            <v>205072</v>
          </cell>
          <cell r="AA34">
            <v>77220</v>
          </cell>
          <cell r="AB34">
            <v>78595</v>
          </cell>
          <cell r="AC34">
            <v>82041</v>
          </cell>
          <cell r="AD34">
            <v>237856</v>
          </cell>
          <cell r="AE34">
            <v>88523</v>
          </cell>
          <cell r="AF34">
            <v>83559</v>
          </cell>
          <cell r="AG34">
            <v>93616</v>
          </cell>
          <cell r="AH34">
            <v>265698</v>
          </cell>
          <cell r="AI34">
            <v>90155</v>
          </cell>
          <cell r="AJ34">
            <v>86914</v>
          </cell>
          <cell r="AK34">
            <v>99042</v>
          </cell>
          <cell r="AL34">
            <v>276111</v>
          </cell>
          <cell r="AM34">
            <v>95648</v>
          </cell>
          <cell r="AN34">
            <v>95996</v>
          </cell>
          <cell r="AO34">
            <v>100616</v>
          </cell>
          <cell r="AP34">
            <v>292260</v>
          </cell>
          <cell r="AQ34">
            <v>100375</v>
          </cell>
          <cell r="AR34">
            <v>103488</v>
          </cell>
          <cell r="AS34">
            <v>102335</v>
          </cell>
          <cell r="AT34">
            <v>306198</v>
          </cell>
          <cell r="AU34">
            <v>103697</v>
          </cell>
          <cell r="AV34">
            <v>104614</v>
          </cell>
          <cell r="AW34">
            <v>108360</v>
          </cell>
          <cell r="AX34">
            <v>316671</v>
          </cell>
          <cell r="AY34">
            <v>104527</v>
          </cell>
          <cell r="AZ34">
            <v>97584</v>
          </cell>
          <cell r="BA34">
            <v>109254</v>
          </cell>
          <cell r="BB34">
            <v>311365</v>
          </cell>
          <cell r="BC34">
            <v>105967</v>
          </cell>
          <cell r="BD34">
            <v>108456</v>
          </cell>
          <cell r="BE34">
            <v>108109</v>
          </cell>
          <cell r="BF34">
            <v>322532</v>
          </cell>
        </row>
        <row r="35">
          <cell r="A35" t="str">
            <v xml:space="preserve">  % Change</v>
          </cell>
          <cell r="C35">
            <v>423</v>
          </cell>
          <cell r="D35">
            <v>5216</v>
          </cell>
          <cell r="E35">
            <v>12910</v>
          </cell>
          <cell r="F35">
            <v>18549</v>
          </cell>
          <cell r="G35">
            <v>20987</v>
          </cell>
          <cell r="H35">
            <v>28138</v>
          </cell>
          <cell r="I35">
            <v>31627</v>
          </cell>
          <cell r="J35">
            <v>80752</v>
          </cell>
          <cell r="K35">
            <v>38379</v>
          </cell>
          <cell r="L35">
            <v>43633</v>
          </cell>
          <cell r="M35">
            <v>45632</v>
          </cell>
          <cell r="N35">
            <v>127644</v>
          </cell>
          <cell r="O35">
            <v>52420</v>
          </cell>
          <cell r="P35">
            <v>53043</v>
          </cell>
          <cell r="Q35">
            <v>57861</v>
          </cell>
          <cell r="R35">
            <v>163324</v>
          </cell>
          <cell r="S35">
            <v>134.49881796690306</v>
          </cell>
          <cell r="T35">
            <v>9.4591641104294482</v>
          </cell>
          <cell r="U35">
            <v>3.7464756003098376</v>
          </cell>
          <cell r="V35">
            <v>8.334627203622837</v>
          </cell>
          <cell r="W35">
            <v>2.043550769523991</v>
          </cell>
          <cell r="X35">
            <v>1.4770417229369537</v>
          </cell>
          <cell r="Y35">
            <v>1.2606633572580388</v>
          </cell>
          <cell r="Z35">
            <v>1.5395284327323164</v>
          </cell>
          <cell r="AA35">
            <v>1.0120378331900257</v>
          </cell>
          <cell r="AB35">
            <v>0.80127426489125209</v>
          </cell>
          <cell r="AC35">
            <v>0.797883064516129</v>
          </cell>
          <cell r="AD35">
            <v>0.86343267211933195</v>
          </cell>
          <cell r="AE35">
            <v>0.68872567722243416</v>
          </cell>
          <cell r="AF35">
            <v>0.57530682653696052</v>
          </cell>
          <cell r="AG35">
            <v>0.61794645789046165</v>
          </cell>
          <cell r="AH35">
            <v>0.62681540986015527</v>
          </cell>
          <cell r="AI35">
            <v>0.57294647218926653</v>
          </cell>
          <cell r="AJ35">
            <v>0.59314453304005132</v>
          </cell>
          <cell r="AK35">
            <v>0.61629975357801459</v>
          </cell>
          <cell r="AL35">
            <v>0.59465312911497681</v>
          </cell>
          <cell r="AM35">
            <v>0.49742465753424647</v>
          </cell>
          <cell r="AN35">
            <v>0.37729379187649759</v>
          </cell>
          <cell r="AO35">
            <v>0.40725614702509172</v>
          </cell>
          <cell r="AP35">
            <v>0.42515799329016146</v>
          </cell>
          <cell r="AQ35">
            <v>0.29985754985754975</v>
          </cell>
          <cell r="AR35">
            <v>0.3167249825052485</v>
          </cell>
          <cell r="AS35">
            <v>0.24736412281664055</v>
          </cell>
          <cell r="AT35">
            <v>0.28732510426476532</v>
          </cell>
          <cell r="AU35">
            <v>0.17141307908679093</v>
          </cell>
          <cell r="AV35">
            <v>0.25197764453858951</v>
          </cell>
          <cell r="AW35">
            <v>0.15749444539394974</v>
          </cell>
          <cell r="AX35">
            <v>0.19184562924824422</v>
          </cell>
          <cell r="AY35">
            <v>0.15941434196661297</v>
          </cell>
          <cell r="AZ35">
            <v>0.12276503210069722</v>
          </cell>
          <cell r="BA35">
            <v>0.10310777246016833</v>
          </cell>
          <cell r="BB35">
            <v>0.12768053427788106</v>
          </cell>
          <cell r="BC35">
            <v>0.10788516226162592</v>
          </cell>
          <cell r="BD35">
            <v>0.12979707487811987</v>
          </cell>
          <cell r="BE35">
            <v>7.4471257056531792E-2</v>
          </cell>
          <cell r="BF35">
            <v>0.10357900499555184</v>
          </cell>
        </row>
        <row r="36">
          <cell r="A36" t="str">
            <v>NRx</v>
          </cell>
          <cell r="C36">
            <v>420</v>
          </cell>
          <cell r="D36">
            <v>5049</v>
          </cell>
          <cell r="E36">
            <v>10935</v>
          </cell>
          <cell r="F36">
            <v>16404</v>
          </cell>
          <cell r="G36">
            <v>15094</v>
          </cell>
          <cell r="H36">
            <v>17372</v>
          </cell>
          <cell r="I36">
            <v>17115</v>
          </cell>
          <cell r="J36">
            <v>49581</v>
          </cell>
          <cell r="K36">
            <v>19204</v>
          </cell>
          <cell r="L36">
            <v>20838</v>
          </cell>
          <cell r="M36">
            <v>21019</v>
          </cell>
          <cell r="N36">
            <v>61061</v>
          </cell>
          <cell r="O36">
            <v>23929</v>
          </cell>
          <cell r="P36">
            <v>22691</v>
          </cell>
          <cell r="Q36">
            <v>22681</v>
          </cell>
          <cell r="R36">
            <v>69301</v>
          </cell>
          <cell r="S36">
            <v>22510</v>
          </cell>
          <cell r="T36">
            <v>21052</v>
          </cell>
          <cell r="U36">
            <v>23890</v>
          </cell>
          <cell r="V36">
            <v>67452</v>
          </cell>
          <cell r="W36">
            <v>25664</v>
          </cell>
          <cell r="X36">
            <v>27874</v>
          </cell>
          <cell r="Y36">
            <v>28443</v>
          </cell>
          <cell r="Z36">
            <v>81981</v>
          </cell>
          <cell r="AA36">
            <v>30013</v>
          </cell>
          <cell r="AB36">
            <v>30486</v>
          </cell>
          <cell r="AC36">
            <v>31582</v>
          </cell>
          <cell r="AD36">
            <v>92081</v>
          </cell>
          <cell r="AE36">
            <v>34150</v>
          </cell>
          <cell r="AF36">
            <v>31281</v>
          </cell>
          <cell r="AG36">
            <v>33872</v>
          </cell>
          <cell r="AH36">
            <v>99303</v>
          </cell>
          <cell r="AI36">
            <v>32328</v>
          </cell>
          <cell r="AJ36">
            <v>32526</v>
          </cell>
          <cell r="AK36">
            <v>37754</v>
          </cell>
          <cell r="AL36">
            <v>102608</v>
          </cell>
          <cell r="AM36">
            <v>35273</v>
          </cell>
          <cell r="AN36">
            <v>34747</v>
          </cell>
          <cell r="AO36">
            <v>36796</v>
          </cell>
          <cell r="AP36">
            <v>106816</v>
          </cell>
          <cell r="AQ36">
            <v>36822</v>
          </cell>
          <cell r="AR36">
            <v>38444</v>
          </cell>
          <cell r="AS36">
            <v>37602</v>
          </cell>
          <cell r="AT36">
            <v>112868</v>
          </cell>
          <cell r="AU36">
            <v>37541</v>
          </cell>
          <cell r="AV36">
            <v>37513</v>
          </cell>
          <cell r="AW36">
            <v>38304</v>
          </cell>
          <cell r="AX36">
            <v>113358</v>
          </cell>
          <cell r="AY36">
            <v>36269</v>
          </cell>
          <cell r="AZ36">
            <v>35521</v>
          </cell>
          <cell r="BA36">
            <v>39692</v>
          </cell>
          <cell r="BB36">
            <v>111482</v>
          </cell>
          <cell r="BC36">
            <v>38006</v>
          </cell>
          <cell r="BD36">
            <v>37571</v>
          </cell>
          <cell r="BE36">
            <v>37514</v>
          </cell>
          <cell r="BF36">
            <v>113091</v>
          </cell>
        </row>
        <row r="37">
          <cell r="A37" t="str">
            <v xml:space="preserve">  % Change</v>
          </cell>
          <cell r="C37">
            <v>420</v>
          </cell>
          <cell r="D37">
            <v>5049</v>
          </cell>
          <cell r="E37">
            <v>10935</v>
          </cell>
          <cell r="F37">
            <v>16404</v>
          </cell>
          <cell r="G37">
            <v>15094</v>
          </cell>
          <cell r="H37">
            <v>17372</v>
          </cell>
          <cell r="I37">
            <v>17115</v>
          </cell>
          <cell r="J37">
            <v>49581</v>
          </cell>
          <cell r="K37">
            <v>19204</v>
          </cell>
          <cell r="L37">
            <v>20838</v>
          </cell>
          <cell r="M37">
            <v>21019</v>
          </cell>
          <cell r="N37">
            <v>61061</v>
          </cell>
          <cell r="O37">
            <v>23929</v>
          </cell>
          <cell r="P37">
            <v>22691</v>
          </cell>
          <cell r="Q37">
            <v>22681</v>
          </cell>
          <cell r="R37">
            <v>69301</v>
          </cell>
          <cell r="S37">
            <v>52.595238095238095</v>
          </cell>
          <cell r="T37">
            <v>3.1695385224796988</v>
          </cell>
          <cell r="U37">
            <v>1.1847279378143574</v>
          </cell>
          <cell r="V37">
            <v>3.1119239209948795</v>
          </cell>
          <cell r="W37">
            <v>0.7002782562607659</v>
          </cell>
          <cell r="X37">
            <v>0.60453603499884867</v>
          </cell>
          <cell r="Y37">
            <v>0.66187554776511837</v>
          </cell>
          <cell r="Z37">
            <v>0.65347612996914139</v>
          </cell>
          <cell r="AA37">
            <v>0.56285148927306805</v>
          </cell>
          <cell r="AB37">
            <v>0.46300028793550241</v>
          </cell>
          <cell r="AC37">
            <v>0.50254531614253772</v>
          </cell>
          <cell r="AD37">
            <v>0.50801657359034413</v>
          </cell>
          <cell r="AE37">
            <v>0.42713861841280454</v>
          </cell>
          <cell r="AF37">
            <v>0.37856418844475792</v>
          </cell>
          <cell r="AG37">
            <v>0.49340857986861253</v>
          </cell>
          <cell r="AH37">
            <v>0.43292304584349428</v>
          </cell>
          <cell r="AI37">
            <v>0.43616170590848502</v>
          </cell>
          <cell r="AJ37">
            <v>0.54503135094052824</v>
          </cell>
          <cell r="AK37">
            <v>0.58032649644202605</v>
          </cell>
          <cell r="AL37">
            <v>0.52120026092628824</v>
          </cell>
          <cell r="AM37">
            <v>0.37441552369077313</v>
          </cell>
          <cell r="AN37">
            <v>0.24657386812082938</v>
          </cell>
          <cell r="AO37">
            <v>0.29367506943711996</v>
          </cell>
          <cell r="AP37">
            <v>0.30293604615703629</v>
          </cell>
          <cell r="AQ37">
            <v>0.2268683570452803</v>
          </cell>
          <cell r="AR37">
            <v>0.26103785344092367</v>
          </cell>
          <cell r="AS37">
            <v>0.1906149072256349</v>
          </cell>
          <cell r="AT37">
            <v>0.22574689675394488</v>
          </cell>
          <cell r="AU37">
            <v>9.9297218155197653E-2</v>
          </cell>
          <cell r="AV37">
            <v>0.19922636744349598</v>
          </cell>
          <cell r="AW37">
            <v>0.13084553613604166</v>
          </cell>
          <cell r="AX37">
            <v>0.14153650947101304</v>
          </cell>
          <cell r="AY37">
            <v>0.12190670626082656</v>
          </cell>
          <cell r="AZ37">
            <v>9.2080182008239531E-2</v>
          </cell>
          <cell r="BA37">
            <v>5.133230915929432E-2</v>
          </cell>
          <cell r="BB37">
            <v>8.64844846405739E-2</v>
          </cell>
          <cell r="BC37">
            <v>7.7481359680208639E-2</v>
          </cell>
          <cell r="BD37">
            <v>8.1273203442023823E-2</v>
          </cell>
          <cell r="BE37">
            <v>1.9512990542450259E-2</v>
          </cell>
          <cell r="BF37">
            <v>5.8745880766926328E-2</v>
          </cell>
        </row>
        <row r="38">
          <cell r="A38" t="str">
            <v>Total Market TRx</v>
          </cell>
          <cell r="C38">
            <v>10002438</v>
          </cell>
          <cell r="D38">
            <v>9167818</v>
          </cell>
          <cell r="E38">
            <v>10008492</v>
          </cell>
          <cell r="F38">
            <v>29178748</v>
          </cell>
          <cell r="G38">
            <v>10287186</v>
          </cell>
          <cell r="H38">
            <v>10337376</v>
          </cell>
          <cell r="I38">
            <v>9785411</v>
          </cell>
          <cell r="J38">
            <v>30409973</v>
          </cell>
          <cell r="K38">
            <v>10517184</v>
          </cell>
          <cell r="L38">
            <v>10347102</v>
          </cell>
          <cell r="M38">
            <v>9960685</v>
          </cell>
          <cell r="N38">
            <v>30824971</v>
          </cell>
          <cell r="O38">
            <v>10602099</v>
          </cell>
          <cell r="P38">
            <v>10146304</v>
          </cell>
          <cell r="Q38">
            <v>10890595</v>
          </cell>
          <cell r="R38">
            <v>31638998</v>
          </cell>
          <cell r="S38">
            <v>10730212</v>
          </cell>
          <cell r="T38">
            <v>9820766</v>
          </cell>
          <cell r="U38">
            <v>10753591</v>
          </cell>
          <cell r="V38">
            <v>31304569</v>
          </cell>
          <cell r="W38">
            <v>10549556</v>
          </cell>
          <cell r="X38">
            <v>10818114</v>
          </cell>
          <cell r="Y38">
            <v>10674024</v>
          </cell>
          <cell r="Z38">
            <v>32041694</v>
          </cell>
          <cell r="AA38">
            <v>11081042</v>
          </cell>
          <cell r="AB38">
            <v>10800261</v>
          </cell>
          <cell r="AC38">
            <v>10952720</v>
          </cell>
          <cell r="AD38">
            <v>32834023</v>
          </cell>
          <cell r="AE38">
            <v>11421934</v>
          </cell>
          <cell r="AF38">
            <v>10712486</v>
          </cell>
          <cell r="AG38">
            <v>11975799</v>
          </cell>
          <cell r="AH38">
            <v>34110219</v>
          </cell>
          <cell r="AI38">
            <v>11607175</v>
          </cell>
          <cell r="AJ38">
            <v>10924156</v>
          </cell>
          <cell r="AK38">
            <v>12247571</v>
          </cell>
          <cell r="AL38">
            <v>34778902</v>
          </cell>
          <cell r="AM38">
            <v>11726770</v>
          </cell>
          <cell r="AN38">
            <v>11656196</v>
          </cell>
          <cell r="AO38">
            <v>12261813</v>
          </cell>
          <cell r="AP38">
            <v>35644779</v>
          </cell>
          <cell r="AQ38">
            <v>12259715</v>
          </cell>
          <cell r="AR38">
            <v>12556062</v>
          </cell>
          <cell r="AS38">
            <v>12462103</v>
          </cell>
          <cell r="AT38">
            <v>37277880</v>
          </cell>
          <cell r="AU38">
            <v>12628652</v>
          </cell>
          <cell r="AV38">
            <v>12800353</v>
          </cell>
          <cell r="AW38">
            <v>13238279</v>
          </cell>
          <cell r="AX38">
            <v>38667284</v>
          </cell>
          <cell r="AY38">
            <v>13046835</v>
          </cell>
          <cell r="AZ38">
            <v>11993453</v>
          </cell>
          <cell r="BA38">
            <v>13456314</v>
          </cell>
          <cell r="BB38">
            <v>38496602</v>
          </cell>
          <cell r="BC38">
            <v>13045683</v>
          </cell>
          <cell r="BD38">
            <v>13448338</v>
          </cell>
          <cell r="BE38">
            <v>13430190</v>
          </cell>
          <cell r="BF38">
            <v>39924211</v>
          </cell>
        </row>
        <row r="39">
          <cell r="A39" t="str">
            <v>Total Market NRx</v>
          </cell>
          <cell r="C39">
            <v>3358172</v>
          </cell>
          <cell r="D39">
            <v>3046770</v>
          </cell>
          <cell r="E39">
            <v>3256065</v>
          </cell>
          <cell r="F39">
            <v>9661007</v>
          </cell>
          <cell r="G39">
            <v>3274668</v>
          </cell>
          <cell r="H39">
            <v>3190051</v>
          </cell>
          <cell r="I39">
            <v>2945356</v>
          </cell>
          <cell r="J39">
            <v>9410075</v>
          </cell>
          <cell r="K39">
            <v>3175477</v>
          </cell>
          <cell r="L39">
            <v>3119889</v>
          </cell>
          <cell r="M39">
            <v>2974812</v>
          </cell>
          <cell r="N39">
            <v>9270178</v>
          </cell>
          <cell r="O39">
            <v>3243450</v>
          </cell>
          <cell r="P39">
            <v>3067788</v>
          </cell>
          <cell r="Q39">
            <v>3221099</v>
          </cell>
          <cell r="R39">
            <v>9532337</v>
          </cell>
          <cell r="S39">
            <v>3448150</v>
          </cell>
          <cell r="T39">
            <v>3166698</v>
          </cell>
          <cell r="U39">
            <v>3396302</v>
          </cell>
          <cell r="V39">
            <v>10011150</v>
          </cell>
          <cell r="W39">
            <v>3265672</v>
          </cell>
          <cell r="X39">
            <v>3302578</v>
          </cell>
          <cell r="Y39">
            <v>3266322</v>
          </cell>
          <cell r="Z39">
            <v>9834572</v>
          </cell>
          <cell r="AA39">
            <v>3368426</v>
          </cell>
          <cell r="AB39">
            <v>3210338</v>
          </cell>
          <cell r="AC39">
            <v>3301093</v>
          </cell>
          <cell r="AD39">
            <v>9879857</v>
          </cell>
          <cell r="AE39">
            <v>3531476</v>
          </cell>
          <cell r="AF39">
            <v>3249453</v>
          </cell>
          <cell r="AG39">
            <v>3619183</v>
          </cell>
          <cell r="AH39">
            <v>10400112</v>
          </cell>
          <cell r="AI39">
            <v>3668499</v>
          </cell>
          <cell r="AJ39">
            <v>3531111</v>
          </cell>
          <cell r="AK39">
            <v>3989611</v>
          </cell>
          <cell r="AL39">
            <v>11189221</v>
          </cell>
          <cell r="AM39">
            <v>3732812</v>
          </cell>
          <cell r="AN39">
            <v>3639732</v>
          </cell>
          <cell r="AO39">
            <v>3833913</v>
          </cell>
          <cell r="AP39">
            <v>11206457</v>
          </cell>
          <cell r="AQ39">
            <v>3806868</v>
          </cell>
          <cell r="AR39">
            <v>3911282</v>
          </cell>
          <cell r="AS39">
            <v>3969083</v>
          </cell>
          <cell r="AT39">
            <v>11687233</v>
          </cell>
          <cell r="AU39">
            <v>3998229</v>
          </cell>
          <cell r="AV39">
            <v>4088923</v>
          </cell>
          <cell r="AW39">
            <v>4150821</v>
          </cell>
          <cell r="AX39">
            <v>12237973</v>
          </cell>
          <cell r="AY39">
            <v>4204957</v>
          </cell>
          <cell r="AZ39">
            <v>3939100</v>
          </cell>
          <cell r="BA39">
            <v>4420611</v>
          </cell>
          <cell r="BB39">
            <v>12564668</v>
          </cell>
          <cell r="BC39">
            <v>4195342</v>
          </cell>
          <cell r="BD39">
            <v>4239050</v>
          </cell>
          <cell r="BE39">
            <v>4233118</v>
          </cell>
          <cell r="BF39">
            <v>12667510</v>
          </cell>
        </row>
        <row r="40">
          <cell r="A40" t="str">
            <v>32180 (CHOLESTEROL RED COMB) TRx</v>
          </cell>
          <cell r="C40">
            <v>423</v>
          </cell>
          <cell r="D40">
            <v>5216</v>
          </cell>
          <cell r="E40">
            <v>12910</v>
          </cell>
          <cell r="F40">
            <v>18549</v>
          </cell>
          <cell r="G40">
            <v>20987</v>
          </cell>
          <cell r="H40">
            <v>28138</v>
          </cell>
          <cell r="I40">
            <v>31627</v>
          </cell>
          <cell r="J40">
            <v>80752</v>
          </cell>
          <cell r="K40">
            <v>38379</v>
          </cell>
          <cell r="L40">
            <v>43633</v>
          </cell>
          <cell r="M40">
            <v>45632</v>
          </cell>
          <cell r="N40">
            <v>127644</v>
          </cell>
          <cell r="O40">
            <v>52420</v>
          </cell>
          <cell r="P40">
            <v>53043</v>
          </cell>
          <cell r="Q40">
            <v>57861</v>
          </cell>
          <cell r="R40">
            <v>163324</v>
          </cell>
          <cell r="S40">
            <v>57316</v>
          </cell>
          <cell r="T40">
            <v>54555</v>
          </cell>
          <cell r="U40">
            <v>61277</v>
          </cell>
          <cell r="V40">
            <v>173148</v>
          </cell>
          <cell r="W40">
            <v>63875</v>
          </cell>
          <cell r="X40">
            <v>69699</v>
          </cell>
          <cell r="Y40">
            <v>71498</v>
          </cell>
          <cell r="Z40">
            <v>205072</v>
          </cell>
          <cell r="AA40">
            <v>77223</v>
          </cell>
          <cell r="AB40">
            <v>79549</v>
          </cell>
          <cell r="AC40">
            <v>85879</v>
          </cell>
          <cell r="AD40">
            <v>242651</v>
          </cell>
          <cell r="AE40">
            <v>95208</v>
          </cell>
          <cell r="AF40">
            <v>91286</v>
          </cell>
          <cell r="AG40">
            <v>102801</v>
          </cell>
          <cell r="AH40">
            <v>289295</v>
          </cell>
          <cell r="AI40">
            <v>98806</v>
          </cell>
          <cell r="AJ40">
            <v>94817</v>
          </cell>
          <cell r="AK40">
            <v>107310</v>
          </cell>
          <cell r="AL40">
            <v>300933</v>
          </cell>
          <cell r="AM40">
            <v>102732</v>
          </cell>
          <cell r="AN40">
            <v>102376</v>
          </cell>
          <cell r="AO40">
            <v>106787</v>
          </cell>
          <cell r="AP40">
            <v>311895</v>
          </cell>
          <cell r="AQ40">
            <v>106341</v>
          </cell>
          <cell r="AR40">
            <v>132413</v>
          </cell>
          <cell r="AS40">
            <v>188982</v>
          </cell>
          <cell r="AT40">
            <v>427736</v>
          </cell>
          <cell r="AU40">
            <v>255925</v>
          </cell>
          <cell r="AV40">
            <v>335915</v>
          </cell>
          <cell r="AW40">
            <v>431047</v>
          </cell>
          <cell r="AX40">
            <v>1022887</v>
          </cell>
          <cell r="AY40">
            <v>495173</v>
          </cell>
          <cell r="AZ40">
            <v>529819</v>
          </cell>
          <cell r="BA40">
            <v>667476</v>
          </cell>
          <cell r="BB40">
            <v>1692468</v>
          </cell>
          <cell r="BC40">
            <v>715697</v>
          </cell>
          <cell r="BD40">
            <v>809667</v>
          </cell>
          <cell r="BE40">
            <v>885535</v>
          </cell>
          <cell r="BF40">
            <v>2410899</v>
          </cell>
        </row>
        <row r="41">
          <cell r="A41" t="str">
            <v>32180 (CHOLESTEROL RED COMB) NRx</v>
          </cell>
          <cell r="C41">
            <v>420</v>
          </cell>
          <cell r="D41">
            <v>5049</v>
          </cell>
          <cell r="E41">
            <v>10935</v>
          </cell>
          <cell r="F41">
            <v>16404</v>
          </cell>
          <cell r="G41">
            <v>15094</v>
          </cell>
          <cell r="H41">
            <v>17372</v>
          </cell>
          <cell r="I41">
            <v>17115</v>
          </cell>
          <cell r="J41">
            <v>49581</v>
          </cell>
          <cell r="K41">
            <v>19204</v>
          </cell>
          <cell r="L41">
            <v>20838</v>
          </cell>
          <cell r="M41">
            <v>21019</v>
          </cell>
          <cell r="N41">
            <v>61061</v>
          </cell>
          <cell r="O41">
            <v>23929</v>
          </cell>
          <cell r="P41">
            <v>22691</v>
          </cell>
          <cell r="Q41">
            <v>22681</v>
          </cell>
          <cell r="R41">
            <v>69301</v>
          </cell>
          <cell r="S41">
            <v>22510</v>
          </cell>
          <cell r="T41">
            <v>21052</v>
          </cell>
          <cell r="U41">
            <v>23890</v>
          </cell>
          <cell r="V41">
            <v>67452</v>
          </cell>
          <cell r="W41">
            <v>25664</v>
          </cell>
          <cell r="X41">
            <v>27874</v>
          </cell>
          <cell r="Y41">
            <v>28443</v>
          </cell>
          <cell r="Z41">
            <v>81981</v>
          </cell>
          <cell r="AA41">
            <v>30016</v>
          </cell>
          <cell r="AB41">
            <v>31424</v>
          </cell>
          <cell r="AC41">
            <v>35108</v>
          </cell>
          <cell r="AD41">
            <v>96548</v>
          </cell>
          <cell r="AE41">
            <v>39612</v>
          </cell>
          <cell r="AF41">
            <v>36467</v>
          </cell>
          <cell r="AG41">
            <v>38858</v>
          </cell>
          <cell r="AH41">
            <v>114937</v>
          </cell>
          <cell r="AI41">
            <v>36170</v>
          </cell>
          <cell r="AJ41">
            <v>35712</v>
          </cell>
          <cell r="AK41">
            <v>40740</v>
          </cell>
          <cell r="AL41">
            <v>112622</v>
          </cell>
          <cell r="AM41">
            <v>37711</v>
          </cell>
          <cell r="AN41">
            <v>36829</v>
          </cell>
          <cell r="AO41">
            <v>38802</v>
          </cell>
          <cell r="AP41">
            <v>113342</v>
          </cell>
          <cell r="AQ41">
            <v>38793</v>
          </cell>
          <cell r="AR41">
            <v>63482</v>
          </cell>
          <cell r="AS41">
            <v>111487</v>
          </cell>
          <cell r="AT41">
            <v>213762</v>
          </cell>
          <cell r="AU41">
            <v>149871</v>
          </cell>
          <cell r="AV41">
            <v>185248</v>
          </cell>
          <cell r="AW41">
            <v>218420</v>
          </cell>
          <cell r="AX41">
            <v>553539</v>
          </cell>
          <cell r="AY41">
            <v>233290</v>
          </cell>
          <cell r="AZ41">
            <v>240388</v>
          </cell>
          <cell r="BA41">
            <v>290425</v>
          </cell>
          <cell r="BB41">
            <v>764103</v>
          </cell>
          <cell r="BC41">
            <v>295816</v>
          </cell>
          <cell r="BD41">
            <v>319583</v>
          </cell>
          <cell r="BE41">
            <v>341829</v>
          </cell>
          <cell r="BF41">
            <v>957228</v>
          </cell>
        </row>
        <row r="42">
          <cell r="A42" t="str">
            <v>TRx Market Growth (1)</v>
          </cell>
          <cell r="C42">
            <v>420</v>
          </cell>
          <cell r="D42">
            <v>5049</v>
          </cell>
          <cell r="E42">
            <v>10935</v>
          </cell>
          <cell r="F42">
            <v>16404</v>
          </cell>
          <cell r="G42">
            <v>15094</v>
          </cell>
          <cell r="H42">
            <v>17372</v>
          </cell>
          <cell r="I42">
            <v>17115</v>
          </cell>
          <cell r="J42">
            <v>49581</v>
          </cell>
          <cell r="K42">
            <v>19204</v>
          </cell>
          <cell r="L42">
            <v>20838</v>
          </cell>
          <cell r="M42">
            <v>21019</v>
          </cell>
          <cell r="N42">
            <v>61061</v>
          </cell>
          <cell r="O42">
            <v>23929</v>
          </cell>
          <cell r="P42">
            <v>22691</v>
          </cell>
          <cell r="Q42">
            <v>22681</v>
          </cell>
          <cell r="R42">
            <v>69301</v>
          </cell>
          <cell r="S42">
            <v>7.2759661194600866E-2</v>
          </cell>
          <cell r="T42">
            <v>7.1221745457861418E-2</v>
          </cell>
          <cell r="U42">
            <v>7.4446679879446309E-2</v>
          </cell>
          <cell r="V42">
            <v>7.2855113591576925E-2</v>
          </cell>
          <cell r="W42">
            <v>2.5504545169106496E-2</v>
          </cell>
          <cell r="X42">
            <v>4.6504838365171164E-2</v>
          </cell>
          <cell r="Y42">
            <v>9.0809982329817407E-2</v>
          </cell>
          <cell r="Z42">
            <v>5.3657430080585655E-2</v>
          </cell>
          <cell r="AA42">
            <v>5.3613020367429209E-2</v>
          </cell>
          <cell r="AB42">
            <v>4.3795741068368699E-2</v>
          </cell>
          <cell r="AC42">
            <v>9.9595057970410572E-2</v>
          </cell>
          <cell r="AD42">
            <v>6.5176119711515712E-2</v>
          </cell>
          <cell r="AE42">
            <v>7.7327612202074292E-2</v>
          </cell>
          <cell r="AF42">
            <v>5.5801797383559615E-2</v>
          </cell>
          <cell r="AG42">
            <v>9.964597893870808E-2</v>
          </cell>
          <cell r="AH42">
            <v>7.8106803508758427E-2</v>
          </cell>
          <cell r="AI42">
            <v>8.1728394555484973E-2</v>
          </cell>
          <cell r="AJ42">
            <v>0.11235274315669463</v>
          </cell>
          <cell r="AK42">
            <v>0.1389284751484412</v>
          </cell>
          <cell r="AL42">
            <v>0.11098485336118191</v>
          </cell>
          <cell r="AM42">
            <v>0.11158896165867072</v>
          </cell>
          <cell r="AN42">
            <v>7.747025035972066E-2</v>
          </cell>
          <cell r="AO42">
            <v>0.14875261663267758</v>
          </cell>
          <cell r="AP42">
            <v>0.11244989107005399</v>
          </cell>
          <cell r="AQ42">
            <v>0.10636842636279153</v>
          </cell>
          <cell r="AR42">
            <v>0.16257023788591773</v>
          </cell>
          <cell r="AS42">
            <v>0.13780896434858181</v>
          </cell>
          <cell r="AT42">
            <v>0.13534305558596937</v>
          </cell>
          <cell r="AU42">
            <v>0.1056491834044917</v>
          </cell>
          <cell r="AV42">
            <v>0.1949003247238783</v>
          </cell>
          <cell r="AW42">
            <v>0.10541927098141834</v>
          </cell>
          <cell r="AX42">
            <v>0.13359823342089938</v>
          </cell>
          <cell r="AY42">
            <v>0.12403190268088493</v>
          </cell>
          <cell r="AZ42">
            <v>9.7883717515568236E-2</v>
          </cell>
          <cell r="BA42">
            <v>9.8692467265550032E-2</v>
          </cell>
          <cell r="BB42">
            <v>0.1068952665613192</v>
          </cell>
          <cell r="BC42">
            <v>0.11247027101239304</v>
          </cell>
          <cell r="BD42">
            <v>0.15375016000074115</v>
          </cell>
          <cell r="BE42">
            <v>9.5285827634135289E-2</v>
          </cell>
          <cell r="BF42">
            <v>0.120057750954214</v>
          </cell>
        </row>
        <row r="43">
          <cell r="A43" t="str">
            <v>NRx Market Growth</v>
          </cell>
          <cell r="C43">
            <v>11.788402</v>
          </cell>
          <cell r="D43">
            <v>12.819884999999999</v>
          </cell>
          <cell r="E43">
            <v>16.544218999999998</v>
          </cell>
          <cell r="F43">
            <v>41.152505999999995</v>
          </cell>
          <cell r="G43">
            <v>13.296918</v>
          </cell>
          <cell r="H43">
            <v>14.557789</v>
          </cell>
          <cell r="I43">
            <v>17.849647000000001</v>
          </cell>
          <cell r="J43">
            <v>45.704354000000002</v>
          </cell>
          <cell r="K43">
            <v>15.062562</v>
          </cell>
          <cell r="L43">
            <v>14.625532</v>
          </cell>
          <cell r="M43">
            <v>19.363429</v>
          </cell>
          <cell r="N43">
            <v>49.051523000000003</v>
          </cell>
          <cell r="O43">
            <v>17.035126000000002</v>
          </cell>
          <cell r="P43">
            <v>17.389478</v>
          </cell>
          <cell r="Q43">
            <v>21.936919</v>
          </cell>
          <cell r="R43">
            <v>56.361523000000005</v>
          </cell>
          <cell r="S43">
            <v>2.679374373915322E-2</v>
          </cell>
          <cell r="T43">
            <v>3.9362341102216369E-2</v>
          </cell>
          <cell r="U43">
            <v>4.3069471893220745E-2</v>
          </cell>
          <cell r="V43">
            <v>3.6242909253662692E-2</v>
          </cell>
          <cell r="W43">
            <v>-2.7471487185876109E-3</v>
          </cell>
          <cell r="X43">
            <v>3.5274357682682833E-2</v>
          </cell>
          <cell r="Y43">
            <v>0.10897358417793979</v>
          </cell>
          <cell r="Z43">
            <v>4.5110905067175411E-2</v>
          </cell>
          <cell r="AA43">
            <v>6.0762209897914587E-2</v>
          </cell>
          <cell r="AB43">
            <v>2.8991095516539112E-2</v>
          </cell>
          <cell r="AC43">
            <v>0.10968121682983667</v>
          </cell>
          <cell r="AD43">
            <v>6.5767777058865606E-2</v>
          </cell>
          <cell r="AE43">
            <v>8.8802355516502507E-2</v>
          </cell>
          <cell r="AF43">
            <v>5.9216934155815304E-2</v>
          </cell>
          <cell r="AG43">
            <v>0.12358639085604017</v>
          </cell>
          <cell r="AH43">
            <v>9.1034863748522543E-2</v>
          </cell>
          <cell r="AI43">
            <v>6.3903542479300413E-2</v>
          </cell>
          <cell r="AJ43">
            <v>0.11507665082050766</v>
          </cell>
          <cell r="AK43">
            <v>0.17469265100688935</v>
          </cell>
          <cell r="AL43">
            <v>0.11767589138111001</v>
          </cell>
          <cell r="AM43">
            <v>0.14304559674088524</v>
          </cell>
          <cell r="AN43">
            <v>0.10208812630617659</v>
          </cell>
          <cell r="AO43">
            <v>0.173770681518846</v>
          </cell>
          <cell r="AP43">
            <v>0.13949615702645723</v>
          </cell>
          <cell r="AQ43">
            <v>0.13016227757415488</v>
          </cell>
          <cell r="AR43">
            <v>0.2183396265439963</v>
          </cell>
          <cell r="AS43">
            <v>0.20235418996071908</v>
          </cell>
          <cell r="AT43">
            <v>0.18293544127207517</v>
          </cell>
          <cell r="AU43">
            <v>0.13216938186752514</v>
          </cell>
          <cell r="AV43">
            <v>0.25834194247462583</v>
          </cell>
          <cell r="AW43">
            <v>0.14689447867101491</v>
          </cell>
          <cell r="AX43">
            <v>0.17671550075614562</v>
          </cell>
          <cell r="AY43">
            <v>0.14623365032946722</v>
          </cell>
          <cell r="AZ43">
            <v>0.11554125599563414</v>
          </cell>
          <cell r="BA43">
            <v>0.10803058243021679</v>
          </cell>
          <cell r="BB43">
            <v>0.1229260732270816</v>
          </cell>
          <cell r="BC43">
            <v>0.12390926732983076</v>
          </cell>
          <cell r="BD43">
            <v>0.16465992551099906</v>
          </cell>
          <cell r="BE43">
            <v>0.10412468931871954</v>
          </cell>
          <cell r="BF43">
            <v>0.13037599662408916</v>
          </cell>
        </row>
        <row r="44">
          <cell r="A44" t="str">
            <v>TRx Market Share</v>
          </cell>
          <cell r="C44">
            <v>4.2289689773633191E-5</v>
          </cell>
          <cell r="D44">
            <v>5.6894672210988477E-4</v>
          </cell>
          <cell r="E44">
            <v>1.2899046130026382E-3</v>
          </cell>
          <cell r="F44">
            <v>6.3570239545576116E-4</v>
          </cell>
          <cell r="G44">
            <v>2.0401108719138548E-3</v>
          </cell>
          <cell r="H44">
            <v>2.7219673541912376E-3</v>
          </cell>
          <cell r="I44">
            <v>3.2320563745355203E-3</v>
          </cell>
          <cell r="J44">
            <v>2.65544464639939E-3</v>
          </cell>
          <cell r="K44">
            <v>3.6491707285904668E-3</v>
          </cell>
          <cell r="L44">
            <v>4.2169295325396429E-3</v>
          </cell>
          <cell r="M44">
            <v>4.5812110311690413E-3</v>
          </cell>
          <cell r="N44">
            <v>4.1409284699732568E-3</v>
          </cell>
          <cell r="O44">
            <v>4.944303953396398E-3</v>
          </cell>
          <cell r="P44">
            <v>5.2278149757783721E-3</v>
          </cell>
          <cell r="Q44">
            <v>5.3129328562856303E-3</v>
          </cell>
          <cell r="R44">
            <v>5.1621103803603388E-3</v>
          </cell>
          <cell r="S44">
            <v>5.3415533635309351E-3</v>
          </cell>
          <cell r="T44">
            <v>5.5550656639207167E-3</v>
          </cell>
          <cell r="U44">
            <v>5.6982825551018263E-3</v>
          </cell>
          <cell r="V44">
            <v>5.5310775880670964E-3</v>
          </cell>
          <cell r="W44">
            <v>6.0547571859896282E-3</v>
          </cell>
          <cell r="X44">
            <v>6.4428050952319415E-3</v>
          </cell>
          <cell r="Y44">
            <v>6.6983173356177581E-3</v>
          </cell>
          <cell r="Z44">
            <v>6.4001609902397793E-3</v>
          </cell>
          <cell r="AA44">
            <v>6.9686587236110105E-3</v>
          </cell>
          <cell r="AB44">
            <v>7.2771389506235077E-3</v>
          </cell>
          <cell r="AC44">
            <v>7.4904681211607708E-3</v>
          </cell>
          <cell r="AD44">
            <v>7.244193012839152E-3</v>
          </cell>
          <cell r="AE44">
            <v>7.7502636593767748E-3</v>
          </cell>
          <cell r="AF44">
            <v>7.8001502172324894E-3</v>
          </cell>
          <cell r="AG44">
            <v>7.8170984666659817E-3</v>
          </cell>
          <cell r="AH44">
            <v>7.7893958992171818E-3</v>
          </cell>
          <cell r="AI44">
            <v>7.7671784908903332E-3</v>
          </cell>
          <cell r="AJ44">
            <v>7.9561295170079965E-3</v>
          </cell>
          <cell r="AK44">
            <v>8.0866646945749483E-3</v>
          </cell>
          <cell r="AL44">
            <v>7.9390372933567602E-3</v>
          </cell>
          <cell r="AM44">
            <v>8.1563806572483299E-3</v>
          </cell>
          <cell r="AN44">
            <v>8.2356199226574431E-3</v>
          </cell>
          <cell r="AO44">
            <v>8.2056381058820578E-3</v>
          </cell>
          <cell r="AP44">
            <v>8.1992372571590352E-3</v>
          </cell>
          <cell r="AQ44">
            <v>8.1873844538800453E-3</v>
          </cell>
          <cell r="AR44">
            <v>8.2420746249899056E-3</v>
          </cell>
          <cell r="AS44">
            <v>8.2116958911349069E-3</v>
          </cell>
          <cell r="AT44">
            <v>8.2139327665629053E-3</v>
          </cell>
          <cell r="AU44">
            <v>8.2112485164687419E-3</v>
          </cell>
          <cell r="AV44">
            <v>8.1727433610619959E-3</v>
          </cell>
          <cell r="AW44">
            <v>8.1853540025859858E-3</v>
          </cell>
          <cell r="AX44">
            <v>8.1896364895967348E-3</v>
          </cell>
          <cell r="AY44">
            <v>8.011674862140895E-3</v>
          </cell>
          <cell r="AZ44">
            <v>8.1364391055686793E-3</v>
          </cell>
          <cell r="BA44">
            <v>8.119162498734794E-3</v>
          </cell>
          <cell r="BB44">
            <v>8.0881164524598814E-3</v>
          </cell>
          <cell r="BC44">
            <v>8.1227636759225261E-3</v>
          </cell>
          <cell r="BD44">
            <v>8.0646396603059802E-3</v>
          </cell>
          <cell r="BE44">
            <v>8.0496999670146147E-3</v>
          </cell>
          <cell r="BF44">
            <v>8.0786067381519444E-3</v>
          </cell>
        </row>
        <row r="45">
          <cell r="A45" t="str">
            <v>NRx Market Share</v>
          </cell>
          <cell r="C45">
            <v>1.2506804297099733E-4</v>
          </cell>
          <cell r="D45">
            <v>1.6571648007562107E-3</v>
          </cell>
          <cell r="E45">
            <v>3.3583481902234751E-3</v>
          </cell>
          <cell r="F45">
            <v>1.697959643337387E-3</v>
          </cell>
          <cell r="G45">
            <v>4.6093222274746631E-3</v>
          </cell>
          <cell r="H45">
            <v>5.445680962467371E-3</v>
          </cell>
          <cell r="I45">
            <v>5.8108425602881285E-3</v>
          </cell>
          <cell r="J45">
            <v>5.2689271870840562E-3</v>
          </cell>
          <cell r="K45">
            <v>6.0475953691366685E-3</v>
          </cell>
          <cell r="L45">
            <v>6.6790837750958449E-3</v>
          </cell>
          <cell r="M45">
            <v>7.065656586029638E-3</v>
          </cell>
          <cell r="N45">
            <v>6.5868206629905056E-3</v>
          </cell>
          <cell r="O45">
            <v>7.3776380089102655E-3</v>
          </cell>
          <cell r="P45">
            <v>7.3965345714892949E-3</v>
          </cell>
          <cell r="Q45">
            <v>7.0413855643679376E-3</v>
          </cell>
          <cell r="R45">
            <v>7.2700954655715595E-3</v>
          </cell>
          <cell r="S45">
            <v>6.528138277047112E-3</v>
          </cell>
          <cell r="T45">
            <v>6.6479342204403451E-3</v>
          </cell>
          <cell r="U45">
            <v>7.0341212295019703E-3</v>
          </cell>
          <cell r="V45">
            <v>6.7376874784615152E-3</v>
          </cell>
          <cell r="W45">
            <v>7.8587194304878139E-3</v>
          </cell>
          <cell r="X45">
            <v>8.4400731791951615E-3</v>
          </cell>
          <cell r="Y45">
            <v>8.7079595949205255E-3</v>
          </cell>
          <cell r="Z45">
            <v>8.3360007939338888E-3</v>
          </cell>
          <cell r="AA45">
            <v>8.9100962882960773E-3</v>
          </cell>
          <cell r="AB45">
            <v>9.4961963506646346E-3</v>
          </cell>
          <cell r="AC45">
            <v>9.5671342794644079E-3</v>
          </cell>
          <cell r="AD45">
            <v>9.3200741670653731E-3</v>
          </cell>
          <cell r="AE45">
            <v>9.6701775688125876E-3</v>
          </cell>
          <cell r="AF45">
            <v>9.6265432982104993E-3</v>
          </cell>
          <cell r="AG45">
            <v>9.3590183198804817E-3</v>
          </cell>
          <cell r="AH45">
            <v>9.548262557172461E-3</v>
          </cell>
          <cell r="AI45">
            <v>8.812323514331066E-3</v>
          </cell>
          <cell r="AJ45">
            <v>9.2112652363519586E-3</v>
          </cell>
          <cell r="AK45">
            <v>9.463077979281689E-3</v>
          </cell>
          <cell r="AL45">
            <v>9.1702541222485456E-3</v>
          </cell>
          <cell r="AM45">
            <v>9.449444547435017E-3</v>
          </cell>
          <cell r="AN45">
            <v>9.546582001092388E-3</v>
          </cell>
          <cell r="AO45">
            <v>9.5975052120379368E-3</v>
          </cell>
          <cell r="AP45">
            <v>9.5316476920404014E-3</v>
          </cell>
          <cell r="AQ45">
            <v>9.6725181960603829E-3</v>
          </cell>
          <cell r="AR45">
            <v>9.8290023577947069E-3</v>
          </cell>
          <cell r="AS45">
            <v>9.4737247873123345E-3</v>
          </cell>
          <cell r="AT45">
            <v>9.6573757021871636E-3</v>
          </cell>
          <cell r="AU45">
            <v>9.3894071600200985E-3</v>
          </cell>
          <cell r="AV45">
            <v>9.1742984644122665E-3</v>
          </cell>
          <cell r="AW45">
            <v>9.228053919935357E-3</v>
          </cell>
          <cell r="AX45">
            <v>9.2628084732659568E-3</v>
          </cell>
          <cell r="AY45">
            <v>8.6252962872153029E-3</v>
          </cell>
          <cell r="AZ45">
            <v>9.0175420781396769E-3</v>
          </cell>
          <cell r="BA45">
            <v>8.978849303863199E-3</v>
          </cell>
          <cell r="BB45">
            <v>8.8726578370395461E-3</v>
          </cell>
          <cell r="BC45">
            <v>9.0590945863293151E-3</v>
          </cell>
          <cell r="BD45">
            <v>8.8630707351883085E-3</v>
          </cell>
          <cell r="BE45">
            <v>8.862025580198803E-3</v>
          </cell>
          <cell r="BF45">
            <v>8.9276424490685232E-3</v>
          </cell>
        </row>
        <row r="46">
          <cell r="A46" t="str">
            <v>Price Change (YoY)</v>
          </cell>
          <cell r="C46">
            <v>1.2506804297099733E-4</v>
          </cell>
          <cell r="D46">
            <v>1.6571648007562107E-3</v>
          </cell>
          <cell r="E46">
            <v>3.3583481902234751E-3</v>
          </cell>
          <cell r="F46">
            <v>1.697959643337387E-3</v>
          </cell>
          <cell r="G46">
            <v>4.6093222274746631E-3</v>
          </cell>
          <cell r="H46">
            <v>5.445680962467371E-3</v>
          </cell>
          <cell r="I46">
            <v>5.8108425602881285E-3</v>
          </cell>
          <cell r="J46">
            <v>5.2689271870840562E-3</v>
          </cell>
          <cell r="K46">
            <v>6.0475953691366685E-3</v>
          </cell>
          <cell r="L46">
            <v>6.6790837750958449E-3</v>
          </cell>
          <cell r="M46">
            <v>7.065656586029638E-3</v>
          </cell>
          <cell r="N46">
            <v>6.5868206629905056E-3</v>
          </cell>
          <cell r="O46">
            <v>7.3776380089102655E-3</v>
          </cell>
          <cell r="P46">
            <v>7.3965345714892949E-3</v>
          </cell>
          <cell r="Q46">
            <v>0.14996168582375469</v>
          </cell>
          <cell r="R46">
            <v>7.2700954655715595E-3</v>
          </cell>
          <cell r="S46">
            <v>6.528138277047112E-3</v>
          </cell>
          <cell r="T46">
            <v>6.6479342204403451E-3</v>
          </cell>
          <cell r="U46">
            <v>7.0341212295019703E-3</v>
          </cell>
          <cell r="V46">
            <v>0.14996168582375469</v>
          </cell>
          <cell r="W46">
            <v>7.8587194304878139E-3</v>
          </cell>
          <cell r="X46">
            <v>8.4400731791951615E-3</v>
          </cell>
          <cell r="Y46">
            <v>8.7079595949205255E-3</v>
          </cell>
          <cell r="Z46">
            <v>0.14996168582375469</v>
          </cell>
          <cell r="AA46">
            <v>9.4955687345905204E-2</v>
          </cell>
          <cell r="AB46">
            <v>9.4961963506646346E-3</v>
          </cell>
          <cell r="AC46">
            <v>9.5671342794644079E-3</v>
          </cell>
          <cell r="AD46">
            <v>0.24491737316965989</v>
          </cell>
          <cell r="AE46">
            <v>9.6701775688125876E-3</v>
          </cell>
          <cell r="AF46">
            <v>9.6265432982104993E-3</v>
          </cell>
          <cell r="AG46">
            <v>9.3590183198804817E-3</v>
          </cell>
          <cell r="AH46">
            <v>9.4955687345905204E-2</v>
          </cell>
          <cell r="AI46">
            <v>0.18962999026290173</v>
          </cell>
          <cell r="AJ46">
            <v>9.2112652363519586E-3</v>
          </cell>
          <cell r="AK46">
            <v>0</v>
          </cell>
          <cell r="AL46">
            <v>0.28458567760880693</v>
          </cell>
          <cell r="AM46">
            <v>9.449444547435017E-3</v>
          </cell>
          <cell r="AN46">
            <v>9.546582001092388E-3</v>
          </cell>
          <cell r="AO46">
            <v>9.5975052120379368E-3</v>
          </cell>
          <cell r="AP46">
            <v>0.28458567760880693</v>
          </cell>
          <cell r="AQ46">
            <v>9.6725181960603829E-3</v>
          </cell>
          <cell r="AR46">
            <v>9.8290023577947069E-3</v>
          </cell>
          <cell r="AS46">
            <v>9.4737247873123345E-3</v>
          </cell>
          <cell r="AT46">
            <v>0.18962999026290173</v>
          </cell>
          <cell r="AU46">
            <v>9.3922651933701751E-2</v>
          </cell>
          <cell r="AV46">
            <v>9.1742984644122665E-3</v>
          </cell>
          <cell r="AW46">
            <v>9.228053919935357E-3</v>
          </cell>
          <cell r="AX46">
            <v>0.28355264219660348</v>
          </cell>
          <cell r="AY46">
            <v>9.4042274597829989E-2</v>
          </cell>
          <cell r="AZ46">
            <v>9.0175420781396769E-3</v>
          </cell>
          <cell r="BA46">
            <v>8.978849303863199E-3</v>
          </cell>
          <cell r="BB46">
            <v>0.18796492653153174</v>
          </cell>
          <cell r="BC46">
            <v>9.0590945863293151E-3</v>
          </cell>
          <cell r="BD46">
            <v>8.8630707351883085E-3</v>
          </cell>
          <cell r="BE46">
            <v>8.862025580198803E-3</v>
          </cell>
          <cell r="BF46">
            <v>0.18796492653153174</v>
          </cell>
        </row>
        <row r="47">
          <cell r="A47" t="str">
            <v>Price</v>
          </cell>
          <cell r="C47">
            <v>130.5</v>
          </cell>
          <cell r="F47">
            <v>1.3809565771812078</v>
          </cell>
          <cell r="J47">
            <v>1.3683938323353295</v>
          </cell>
          <cell r="N47">
            <v>1.2874415485564306</v>
          </cell>
          <cell r="Q47">
            <v>150.07</v>
          </cell>
          <cell r="R47">
            <v>1.2694036711711714</v>
          </cell>
          <cell r="V47">
            <v>1.3696197517730497</v>
          </cell>
          <cell r="Y47">
            <v>150.07</v>
          </cell>
          <cell r="Z47">
            <v>1.3521275546719682</v>
          </cell>
          <cell r="AA47">
            <v>164.32</v>
          </cell>
          <cell r="AB47">
            <v>164.32</v>
          </cell>
          <cell r="AC47">
            <v>164.32</v>
          </cell>
          <cell r="AD47">
            <v>1.2299783156028368</v>
          </cell>
          <cell r="AE47">
            <v>164.32</v>
          </cell>
          <cell r="AF47">
            <v>164.32</v>
          </cell>
          <cell r="AG47">
            <v>164.32</v>
          </cell>
          <cell r="AH47">
            <v>1.1160214520958083</v>
          </cell>
          <cell r="AI47">
            <v>195.48</v>
          </cell>
          <cell r="AJ47">
            <v>195.48</v>
          </cell>
          <cell r="AK47">
            <v>195.48</v>
          </cell>
          <cell r="AL47">
            <v>1.1767670354609929</v>
          </cell>
          <cell r="AM47">
            <v>195.48</v>
          </cell>
          <cell r="AN47">
            <v>195.48</v>
          </cell>
          <cell r="AO47">
            <v>195.48</v>
          </cell>
          <cell r="AP47">
            <v>1.2595673092369477</v>
          </cell>
          <cell r="AQ47">
            <v>195.48</v>
          </cell>
          <cell r="AR47">
            <v>195.48</v>
          </cell>
          <cell r="AS47">
            <v>195.48</v>
          </cell>
          <cell r="AT47">
            <v>1.2191732195121949</v>
          </cell>
          <cell r="AU47">
            <v>213.84</v>
          </cell>
          <cell r="AV47">
            <v>213.84</v>
          </cell>
          <cell r="AW47">
            <v>213.84</v>
          </cell>
          <cell r="AX47">
            <v>1.1447730513437315</v>
          </cell>
          <cell r="AY47">
            <v>233.95</v>
          </cell>
          <cell r="AZ47">
            <v>233.95</v>
          </cell>
          <cell r="BA47">
            <v>233.95</v>
          </cell>
          <cell r="BB47">
            <v>1.231206552828175</v>
          </cell>
          <cell r="BC47">
            <v>233.95</v>
          </cell>
          <cell r="BD47">
            <v>233.95</v>
          </cell>
          <cell r="BE47">
            <v>233.95</v>
          </cell>
          <cell r="BF47">
            <v>1.1682972264150944</v>
          </cell>
        </row>
        <row r="48">
          <cell r="A48" t="str">
            <v xml:space="preserve">TRx + Advicor Price Change </v>
          </cell>
          <cell r="Q48">
            <v>0.14996168582375469</v>
          </cell>
          <cell r="S48">
            <v>134.49881796690306</v>
          </cell>
          <cell r="T48">
            <v>9.4591641104294482</v>
          </cell>
          <cell r="U48">
            <v>3.7464756003098376</v>
          </cell>
          <cell r="V48">
            <v>8.4845888894465915</v>
          </cell>
          <cell r="W48">
            <v>2.043550769523991</v>
          </cell>
          <cell r="X48">
            <v>1.4770417229369537</v>
          </cell>
          <cell r="Y48">
            <v>1.2606633572580388</v>
          </cell>
          <cell r="Z48">
            <v>1.6894901185560711</v>
          </cell>
          <cell r="AA48">
            <v>9.4955687345905204E-2</v>
          </cell>
          <cell r="AD48">
            <v>1.1083500452889918</v>
          </cell>
          <cell r="AH48">
            <v>0.72177109720606047</v>
          </cell>
          <cell r="AI48">
            <v>0.18962999026290173</v>
          </cell>
          <cell r="AK48">
            <v>0</v>
          </cell>
          <cell r="AL48">
            <v>0.87923880672378374</v>
          </cell>
          <cell r="AP48">
            <v>0.70974367089896839</v>
          </cell>
          <cell r="AT48">
            <v>0.47695509452766705</v>
          </cell>
          <cell r="AU48">
            <v>9.3922651933701751E-2</v>
          </cell>
          <cell r="AX48">
            <v>0.4753982714448477</v>
          </cell>
          <cell r="AY48">
            <v>9.4042274597829989E-2</v>
          </cell>
          <cell r="BB48">
            <v>0.3156454608094128</v>
          </cell>
          <cell r="BF48">
            <v>0.29154393152708358</v>
          </cell>
        </row>
        <row r="49">
          <cell r="A49" t="str">
            <v>ADVICOR</v>
          </cell>
        </row>
        <row r="50">
          <cell r="A50" t="str">
            <v xml:space="preserve">TOTAL ADVICOR REPORTED SALES </v>
          </cell>
          <cell r="C50">
            <v>423</v>
          </cell>
          <cell r="D50">
            <v>5216</v>
          </cell>
          <cell r="E50">
            <v>12910</v>
          </cell>
          <cell r="F50">
            <v>4.0860000000000021</v>
          </cell>
          <cell r="G50">
            <v>20987</v>
          </cell>
          <cell r="H50">
            <v>28138</v>
          </cell>
          <cell r="I50">
            <v>31627</v>
          </cell>
          <cell r="J50">
            <v>4.8539999999999992</v>
          </cell>
          <cell r="K50">
            <v>38379</v>
          </cell>
          <cell r="L50">
            <v>43633</v>
          </cell>
          <cell r="M50">
            <v>45632</v>
          </cell>
          <cell r="N50">
            <v>7.4359999999999999</v>
          </cell>
          <cell r="O50">
            <v>52420</v>
          </cell>
          <cell r="P50">
            <v>53043</v>
          </cell>
          <cell r="Q50">
            <v>57861</v>
          </cell>
          <cell r="R50">
            <v>10.6</v>
          </cell>
          <cell r="S50">
            <v>134.49881796690306</v>
          </cell>
          <cell r="T50">
            <v>9.4591641104294482</v>
          </cell>
          <cell r="U50">
            <v>3.7464756003098376</v>
          </cell>
          <cell r="V50">
            <v>12.092779220779228</v>
          </cell>
          <cell r="W50">
            <v>2.043550769523991</v>
          </cell>
          <cell r="X50">
            <v>1.4770417229369537</v>
          </cell>
          <cell r="Y50">
            <v>1.2606633572580388</v>
          </cell>
          <cell r="Z50">
            <v>14.6</v>
          </cell>
          <cell r="AA50">
            <v>77220</v>
          </cell>
          <cell r="AB50">
            <v>78595</v>
          </cell>
          <cell r="AC50">
            <v>82041</v>
          </cell>
          <cell r="AD50">
            <v>17.100000000000001</v>
          </cell>
          <cell r="AE50">
            <v>88523</v>
          </cell>
          <cell r="AF50">
            <v>83559</v>
          </cell>
          <cell r="AG50">
            <v>93616</v>
          </cell>
          <cell r="AH50">
            <v>20.475999999999999</v>
          </cell>
          <cell r="AI50">
            <v>90155</v>
          </cell>
          <cell r="AJ50">
            <v>86914</v>
          </cell>
          <cell r="AK50">
            <v>99042</v>
          </cell>
          <cell r="AL50">
            <v>23.768000000000001</v>
          </cell>
          <cell r="AM50">
            <v>95648</v>
          </cell>
          <cell r="AN50">
            <v>95996</v>
          </cell>
          <cell r="AO50">
            <v>100616</v>
          </cell>
          <cell r="AP50">
            <v>25.9</v>
          </cell>
          <cell r="AQ50">
            <v>100375</v>
          </cell>
          <cell r="AR50">
            <v>103488</v>
          </cell>
          <cell r="AS50">
            <v>102335</v>
          </cell>
          <cell r="AT50">
            <v>27.9</v>
          </cell>
          <cell r="AU50">
            <v>103697</v>
          </cell>
          <cell r="AV50">
            <v>104614</v>
          </cell>
          <cell r="AW50">
            <v>108360</v>
          </cell>
          <cell r="AX50">
            <v>30.629000000000005</v>
          </cell>
          <cell r="AY50">
            <v>104527</v>
          </cell>
          <cell r="AZ50">
            <v>97584</v>
          </cell>
          <cell r="BA50">
            <v>109254</v>
          </cell>
          <cell r="BB50">
            <v>29.4</v>
          </cell>
          <cell r="BC50">
            <v>105967</v>
          </cell>
          <cell r="BD50">
            <v>108456</v>
          </cell>
          <cell r="BE50">
            <v>108109</v>
          </cell>
          <cell r="BF50">
            <v>30.2</v>
          </cell>
        </row>
        <row r="51">
          <cell r="A51" t="str">
            <v xml:space="preserve">  % Change</v>
          </cell>
          <cell r="S51">
            <v>134.49881796690306</v>
          </cell>
          <cell r="T51">
            <v>9.4591641104294482</v>
          </cell>
          <cell r="U51">
            <v>3.7464756003098376</v>
          </cell>
          <cell r="V51">
            <v>8.334627203622837</v>
          </cell>
          <cell r="W51">
            <v>2.043550769523991</v>
          </cell>
          <cell r="X51">
            <v>1.4770417229369537</v>
          </cell>
          <cell r="Y51">
            <v>1.2606633572580388</v>
          </cell>
          <cell r="Z51">
            <v>1.5395284327323164</v>
          </cell>
          <cell r="AA51">
            <v>1.0120378331900257</v>
          </cell>
          <cell r="AB51">
            <v>0.80127426489125209</v>
          </cell>
          <cell r="AC51">
            <v>0.797883064516129</v>
          </cell>
          <cell r="AD51">
            <v>1.2996234534696076</v>
          </cell>
          <cell r="AE51">
            <v>0.68872567722243416</v>
          </cell>
          <cell r="AF51">
            <v>0.57530682653696052</v>
          </cell>
          <cell r="AG51">
            <v>0.61794645789046165</v>
          </cell>
          <cell r="AH51">
            <v>1.2422641509433965</v>
          </cell>
          <cell r="AI51">
            <v>0.57294647218926653</v>
          </cell>
          <cell r="AJ51">
            <v>0.59314453304005132</v>
          </cell>
          <cell r="AK51">
            <v>0.61629975357801459</v>
          </cell>
          <cell r="AL51">
            <v>0.96547043207065597</v>
          </cell>
          <cell r="AM51">
            <v>0.49742465753424647</v>
          </cell>
          <cell r="AN51">
            <v>0.37729379187649759</v>
          </cell>
          <cell r="AO51">
            <v>0.40725614702509172</v>
          </cell>
          <cell r="AP51">
            <v>0.77397260273972601</v>
          </cell>
          <cell r="AQ51">
            <v>0.29985754985754975</v>
          </cell>
          <cell r="AR51">
            <v>0.3167249825052485</v>
          </cell>
          <cell r="AS51">
            <v>0.24736412281664055</v>
          </cell>
          <cell r="AT51">
            <v>0.6315789473684208</v>
          </cell>
          <cell r="AU51">
            <v>0.17141307908679093</v>
          </cell>
          <cell r="AV51">
            <v>0.25197764453858951</v>
          </cell>
          <cell r="AW51">
            <v>0.15749444539394974</v>
          </cell>
          <cell r="AX51">
            <v>0.49584879859347564</v>
          </cell>
          <cell r="AY51">
            <v>0.15941434196661297</v>
          </cell>
          <cell r="AZ51">
            <v>0.12276503210069722</v>
          </cell>
          <cell r="BA51">
            <v>0.10310777246016833</v>
          </cell>
          <cell r="BB51">
            <v>0.23695725345001684</v>
          </cell>
          <cell r="BC51">
            <v>0.10788516226162592</v>
          </cell>
          <cell r="BD51">
            <v>0.12979707487811987</v>
          </cell>
          <cell r="BE51">
            <v>7.4471257056531792E-2</v>
          </cell>
          <cell r="BF51">
            <v>0.16602316602316614</v>
          </cell>
        </row>
        <row r="52">
          <cell r="A52" t="str">
            <v xml:space="preserve">TOTAL ADVICOR REPORTED SALES </v>
          </cell>
          <cell r="C52">
            <v>420</v>
          </cell>
          <cell r="D52">
            <v>5049</v>
          </cell>
          <cell r="E52">
            <v>10935</v>
          </cell>
          <cell r="F52">
            <v>4.0860000000000021</v>
          </cell>
          <cell r="G52">
            <v>15094</v>
          </cell>
          <cell r="H52">
            <v>17372</v>
          </cell>
          <cell r="I52">
            <v>17115</v>
          </cell>
          <cell r="J52">
            <v>4.8539999999999992</v>
          </cell>
          <cell r="K52">
            <v>19204</v>
          </cell>
          <cell r="L52">
            <v>20838</v>
          </cell>
          <cell r="M52">
            <v>21019</v>
          </cell>
          <cell r="N52">
            <v>7.4359999999999999</v>
          </cell>
          <cell r="O52">
            <v>23929</v>
          </cell>
          <cell r="P52">
            <v>22691</v>
          </cell>
          <cell r="Q52">
            <v>22681</v>
          </cell>
          <cell r="R52">
            <v>10.6</v>
          </cell>
          <cell r="S52">
            <v>22510</v>
          </cell>
          <cell r="T52">
            <v>21052</v>
          </cell>
          <cell r="U52">
            <v>23890</v>
          </cell>
          <cell r="V52">
            <v>12.092779220779228</v>
          </cell>
          <cell r="W52">
            <v>25664</v>
          </cell>
          <cell r="X52">
            <v>27874</v>
          </cell>
          <cell r="Y52">
            <v>28443</v>
          </cell>
          <cell r="Z52">
            <v>14.6</v>
          </cell>
          <cell r="AA52">
            <v>30013</v>
          </cell>
          <cell r="AB52">
            <v>30486</v>
          </cell>
          <cell r="AC52">
            <v>31582</v>
          </cell>
          <cell r="AD52">
            <v>17.100000000000001</v>
          </cell>
          <cell r="AE52">
            <v>34150</v>
          </cell>
          <cell r="AF52">
            <v>31281</v>
          </cell>
          <cell r="AG52">
            <v>33872</v>
          </cell>
          <cell r="AH52">
            <v>20.475999999999999</v>
          </cell>
          <cell r="AI52">
            <v>32328</v>
          </cell>
          <cell r="AJ52">
            <v>32526</v>
          </cell>
          <cell r="AK52">
            <v>37754</v>
          </cell>
          <cell r="AL52">
            <v>23.768000000000001</v>
          </cell>
          <cell r="AM52">
            <v>35273</v>
          </cell>
          <cell r="AN52">
            <v>34747</v>
          </cell>
          <cell r="AO52">
            <v>36796</v>
          </cell>
          <cell r="AP52">
            <v>25.9</v>
          </cell>
          <cell r="AQ52">
            <v>36822</v>
          </cell>
          <cell r="AR52">
            <v>38444</v>
          </cell>
          <cell r="AS52">
            <v>37602</v>
          </cell>
          <cell r="AT52">
            <v>27.9</v>
          </cell>
          <cell r="AU52">
            <v>37541</v>
          </cell>
          <cell r="AV52">
            <v>37513</v>
          </cell>
          <cell r="AW52">
            <v>38304</v>
          </cell>
          <cell r="AX52">
            <v>30.629000000000005</v>
          </cell>
          <cell r="AY52">
            <v>36269</v>
          </cell>
          <cell r="AZ52">
            <v>35521</v>
          </cell>
          <cell r="BA52">
            <v>39692</v>
          </cell>
          <cell r="BB52">
            <v>29.4</v>
          </cell>
          <cell r="BC52">
            <v>38006</v>
          </cell>
          <cell r="BD52">
            <v>37571</v>
          </cell>
          <cell r="BE52">
            <v>37514</v>
          </cell>
          <cell r="BF52">
            <v>29.672944000000001</v>
          </cell>
        </row>
        <row r="53">
          <cell r="A53" t="str">
            <v>TOTAL ADVICOR SALES (IMS)</v>
          </cell>
          <cell r="C53">
            <v>0.26793299999999998</v>
          </cell>
          <cell r="D53">
            <v>0.80460799999999999</v>
          </cell>
          <cell r="E53">
            <v>1.5829390000000001</v>
          </cell>
          <cell r="F53">
            <v>2.6554799999999998</v>
          </cell>
          <cell r="G53">
            <v>1.644077</v>
          </cell>
          <cell r="H53">
            <v>1.8948510000000001</v>
          </cell>
          <cell r="I53">
            <v>2.6572710000000002</v>
          </cell>
          <cell r="J53">
            <v>6.1961990000000009</v>
          </cell>
          <cell r="K53">
            <v>2.319963</v>
          </cell>
          <cell r="L53">
            <v>2.5093070000000002</v>
          </cell>
          <cell r="M53">
            <v>3.5085410000000001</v>
          </cell>
          <cell r="N53">
            <v>8.3378110000000003</v>
          </cell>
          <cell r="O53">
            <v>2.9983590000000002</v>
          </cell>
          <cell r="P53">
            <v>3.1618400000000002</v>
          </cell>
          <cell r="Q53">
            <v>4.5930929999999996</v>
          </cell>
          <cell r="R53">
            <v>10.753292</v>
          </cell>
          <cell r="S53">
            <v>3.7900130000000001</v>
          </cell>
          <cell r="T53">
            <v>3.9464679999999999</v>
          </cell>
          <cell r="U53">
            <v>5.2703939999999996</v>
          </cell>
          <cell r="V53">
            <v>13.006875000000001</v>
          </cell>
          <cell r="W53">
            <v>4.4030139999999998</v>
          </cell>
          <cell r="X53">
            <v>4.5599319999999999</v>
          </cell>
          <cell r="Y53">
            <v>6.0083159999999998</v>
          </cell>
          <cell r="Z53">
            <v>14.971261999999999</v>
          </cell>
          <cell r="AA53">
            <v>5.3189140000000004</v>
          </cell>
          <cell r="AB53">
            <v>5.7653790000000003</v>
          </cell>
          <cell r="AC53">
            <v>7.4055090000000003</v>
          </cell>
          <cell r="AD53">
            <v>18.489802000000001</v>
          </cell>
          <cell r="AE53">
            <v>6.2637400000000003</v>
          </cell>
          <cell r="AF53">
            <v>6.3334089999999996</v>
          </cell>
          <cell r="AG53">
            <v>7.9622299999999999</v>
          </cell>
          <cell r="AH53">
            <v>20.559379</v>
          </cell>
          <cell r="AI53">
            <v>7.1063190000000001</v>
          </cell>
          <cell r="AJ53">
            <v>7.979476</v>
          </cell>
          <cell r="AK53">
            <v>10.011358</v>
          </cell>
          <cell r="AL53">
            <v>25.097152999999999</v>
          </cell>
          <cell r="AM53">
            <v>8.1220189999999999</v>
          </cell>
          <cell r="AN53">
            <v>8.5173059999999996</v>
          </cell>
          <cell r="AO53">
            <v>10.071664</v>
          </cell>
          <cell r="AP53">
            <v>26.710988999999998</v>
          </cell>
          <cell r="AQ53">
            <v>8.1495660000000001</v>
          </cell>
          <cell r="AR53">
            <v>8.6637679999999992</v>
          </cell>
          <cell r="AS53">
            <v>10.981431000000001</v>
          </cell>
          <cell r="AT53">
            <v>27.794764999999998</v>
          </cell>
          <cell r="AU53">
            <v>9.6365689999999997</v>
          </cell>
          <cell r="AV53">
            <v>9.7202950000000001</v>
          </cell>
          <cell r="AW53">
            <v>12.390903</v>
          </cell>
          <cell r="AX53">
            <v>31.747767000000003</v>
          </cell>
          <cell r="AY53">
            <v>10.019444999999999</v>
          </cell>
          <cell r="AZ53">
            <v>10.607297000000001</v>
          </cell>
          <cell r="BA53">
            <v>13.120003000000001</v>
          </cell>
          <cell r="BB53">
            <v>33.746744999999997</v>
          </cell>
          <cell r="BC53">
            <v>10.540962</v>
          </cell>
          <cell r="BD53">
            <v>10.808287</v>
          </cell>
          <cell r="BE53">
            <v>13.283427</v>
          </cell>
          <cell r="BF53">
            <v>34.632676000000004</v>
          </cell>
        </row>
        <row r="54">
          <cell r="A54" t="str">
            <v xml:space="preserve">  % Change</v>
          </cell>
          <cell r="C54">
            <v>10002438</v>
          </cell>
          <cell r="D54">
            <v>9167818</v>
          </cell>
          <cell r="E54">
            <v>10008492</v>
          </cell>
          <cell r="F54">
            <v>29178748</v>
          </cell>
          <cell r="G54">
            <v>10287186</v>
          </cell>
          <cell r="H54">
            <v>10337376</v>
          </cell>
          <cell r="I54">
            <v>9785411</v>
          </cell>
          <cell r="J54">
            <v>30409973</v>
          </cell>
          <cell r="K54">
            <v>10517184</v>
          </cell>
          <cell r="L54">
            <v>10347102</v>
          </cell>
          <cell r="M54">
            <v>9960685</v>
          </cell>
          <cell r="N54">
            <v>30824971</v>
          </cell>
          <cell r="O54">
            <v>10602099</v>
          </cell>
          <cell r="P54">
            <v>10146304</v>
          </cell>
          <cell r="Q54">
            <v>10890595</v>
          </cell>
          <cell r="R54">
            <v>31638998</v>
          </cell>
          <cell r="S54">
            <v>13.14537589621286</v>
          </cell>
          <cell r="T54">
            <v>3.9048331609926823</v>
          </cell>
          <cell r="U54">
            <v>2.3294991152533351</v>
          </cell>
          <cell r="V54">
            <v>3.898125762573998</v>
          </cell>
          <cell r="W54">
            <v>1.6781069256488594</v>
          </cell>
          <cell r="X54">
            <v>1.4064857870091103</v>
          </cell>
          <cell r="Y54">
            <v>1.2610851508935292</v>
          </cell>
          <cell r="Z54">
            <v>1.4162009644945228</v>
          </cell>
          <cell r="AA54">
            <v>1.2926719089916521</v>
          </cell>
          <cell r="AB54">
            <v>1.2975981017866687</v>
          </cell>
          <cell r="AC54">
            <v>1.1107089813116051</v>
          </cell>
          <cell r="AD54">
            <v>1.2175846873957687</v>
          </cell>
          <cell r="AE54">
            <v>1.0890560469910375</v>
          </cell>
          <cell r="AF54">
            <v>1.0030770057940943</v>
          </cell>
          <cell r="AG54">
            <v>0.73352248691676847</v>
          </cell>
          <cell r="AH54">
            <v>0.91191488150791411</v>
          </cell>
          <cell r="AI54">
            <v>0.87501177436594535</v>
          </cell>
          <cell r="AJ54">
            <v>1.0219284686965664</v>
          </cell>
          <cell r="AK54">
            <v>0.89954640962326549</v>
          </cell>
          <cell r="AL54">
            <v>0.92952980635240978</v>
          </cell>
          <cell r="AM54">
            <v>0.84464982396149546</v>
          </cell>
          <cell r="AN54">
            <v>0.8678581171824491</v>
          </cell>
          <cell r="AO54">
            <v>0.67628733242392713</v>
          </cell>
          <cell r="AP54">
            <v>0.78415079503651719</v>
          </cell>
          <cell r="AQ54">
            <v>0.53218608159485181</v>
          </cell>
          <cell r="AR54">
            <v>0.50272306469357853</v>
          </cell>
          <cell r="AS54">
            <v>0.4828732231639985</v>
          </cell>
          <cell r="AT54">
            <v>0.50324838524501225</v>
          </cell>
          <cell r="AU54">
            <v>0.53846887003611243</v>
          </cell>
          <cell r="AV54">
            <v>0.53476508464872552</v>
          </cell>
          <cell r="AW54">
            <v>0.55621013208611148</v>
          </cell>
          <cell r="AX54">
            <v>0.54419873285083198</v>
          </cell>
          <cell r="AY54">
            <v>0.40993459483031924</v>
          </cell>
          <cell r="AZ54">
            <v>0.32932250187856948</v>
          </cell>
          <cell r="BA54">
            <v>0.31051182067407845</v>
          </cell>
          <cell r="BB54">
            <v>0.34464435069587362</v>
          </cell>
          <cell r="BC54">
            <v>0.29782533136157419</v>
          </cell>
          <cell r="BD54">
            <v>0.26897953413908104</v>
          </cell>
          <cell r="BE54">
            <v>0.31889099954089017</v>
          </cell>
          <cell r="BF54">
            <v>0.29657033665058252</v>
          </cell>
        </row>
        <row r="55">
          <cell r="A55" t="str">
            <v>TOTAL ADVICOR SALES (IMS)</v>
          </cell>
          <cell r="C55">
            <v>0.26793299999999998</v>
          </cell>
          <cell r="D55">
            <v>0.80460799999999999</v>
          </cell>
          <cell r="E55">
            <v>1.5829390000000001</v>
          </cell>
          <cell r="F55">
            <v>2.6554799999999998</v>
          </cell>
          <cell r="G55">
            <v>1.644077</v>
          </cell>
          <cell r="H55">
            <v>1.8948510000000001</v>
          </cell>
          <cell r="I55">
            <v>2.6572710000000002</v>
          </cell>
          <cell r="J55">
            <v>6.1961990000000009</v>
          </cell>
          <cell r="K55">
            <v>2.319963</v>
          </cell>
          <cell r="L55">
            <v>2.5093070000000002</v>
          </cell>
          <cell r="M55">
            <v>3.5085410000000001</v>
          </cell>
          <cell r="N55">
            <v>8.3378110000000003</v>
          </cell>
          <cell r="O55">
            <v>2.9983590000000002</v>
          </cell>
          <cell r="P55">
            <v>3.1618400000000002</v>
          </cell>
          <cell r="Q55">
            <v>4.5930929999999996</v>
          </cell>
          <cell r="R55">
            <v>10.753292</v>
          </cell>
          <cell r="S55">
            <v>3.7900130000000001</v>
          </cell>
          <cell r="T55">
            <v>3.9464679999999999</v>
          </cell>
          <cell r="U55">
            <v>5.2703939999999996</v>
          </cell>
          <cell r="V55">
            <v>13.006875000000001</v>
          </cell>
          <cell r="W55">
            <v>4.4030139999999998</v>
          </cell>
          <cell r="X55">
            <v>4.5599319999999999</v>
          </cell>
          <cell r="Y55">
            <v>6.0083159999999998</v>
          </cell>
          <cell r="Z55">
            <v>14.971261999999999</v>
          </cell>
          <cell r="AA55">
            <v>5.3189140000000004</v>
          </cell>
          <cell r="AB55">
            <v>5.7653790000000003</v>
          </cell>
          <cell r="AC55">
            <v>7.4055090000000003</v>
          </cell>
          <cell r="AD55">
            <v>18.489802000000001</v>
          </cell>
          <cell r="AE55">
            <v>6.2637400000000003</v>
          </cell>
          <cell r="AF55">
            <v>6.3334089999999996</v>
          </cell>
          <cell r="AG55">
            <v>7.9622299999999999</v>
          </cell>
          <cell r="AH55">
            <v>20.559379</v>
          </cell>
          <cell r="AI55">
            <v>7.1063190000000001</v>
          </cell>
          <cell r="AJ55">
            <v>7.979476</v>
          </cell>
          <cell r="AK55">
            <v>10.011358</v>
          </cell>
          <cell r="AL55">
            <v>25.097152999999999</v>
          </cell>
          <cell r="AM55">
            <v>8.1220189999999999</v>
          </cell>
          <cell r="AN55">
            <v>8.5173059999999996</v>
          </cell>
          <cell r="AO55">
            <v>10.071664</v>
          </cell>
          <cell r="AP55">
            <v>26.710988999999998</v>
          </cell>
          <cell r="AQ55">
            <v>8.1495660000000001</v>
          </cell>
          <cell r="AR55">
            <v>8.6637679999999992</v>
          </cell>
          <cell r="AS55">
            <v>10.981431000000001</v>
          </cell>
          <cell r="AT55">
            <v>27.794764999999998</v>
          </cell>
          <cell r="AU55">
            <v>9.6365689999999997</v>
          </cell>
          <cell r="AV55">
            <v>9.7202950000000001</v>
          </cell>
          <cell r="AW55">
            <v>12.390903</v>
          </cell>
          <cell r="AX55">
            <v>31.747767000000003</v>
          </cell>
          <cell r="AY55">
            <v>10.019444999999999</v>
          </cell>
          <cell r="AZ55">
            <v>10.607297000000001</v>
          </cell>
          <cell r="BA55">
            <v>13.120003000000001</v>
          </cell>
          <cell r="BB55">
            <v>33.746744999999997</v>
          </cell>
          <cell r="BC55">
            <v>10.540962</v>
          </cell>
          <cell r="BD55">
            <v>10.808287</v>
          </cell>
          <cell r="BE55">
            <v>13.283427</v>
          </cell>
          <cell r="BF55">
            <v>34.632676000000004</v>
          </cell>
        </row>
        <row r="56">
          <cell r="A56" t="str">
            <v>REPORTED SALES/TRx ADVICOR</v>
          </cell>
          <cell r="C56">
            <v>423</v>
          </cell>
          <cell r="D56">
            <v>5216</v>
          </cell>
          <cell r="E56">
            <v>12910</v>
          </cell>
          <cell r="F56">
            <v>220.28141678796712</v>
          </cell>
          <cell r="G56">
            <v>20987</v>
          </cell>
          <cell r="H56">
            <v>28138</v>
          </cell>
          <cell r="I56">
            <v>31627</v>
          </cell>
          <cell r="J56">
            <v>60.109966316623726</v>
          </cell>
          <cell r="K56">
            <v>38379</v>
          </cell>
          <cell r="L56">
            <v>43633</v>
          </cell>
          <cell r="M56">
            <v>45632</v>
          </cell>
          <cell r="N56">
            <v>58.255773871078937</v>
          </cell>
          <cell r="O56">
            <v>52420</v>
          </cell>
          <cell r="P56">
            <v>53043</v>
          </cell>
          <cell r="Q56">
            <v>57861</v>
          </cell>
          <cell r="R56">
            <v>64.901667850407776</v>
          </cell>
          <cell r="S56">
            <v>13.14537589621286</v>
          </cell>
          <cell r="T56">
            <v>3.9048331609926823</v>
          </cell>
          <cell r="U56">
            <v>2.3294991152533351</v>
          </cell>
          <cell r="V56">
            <v>69.840709801899109</v>
          </cell>
          <cell r="W56">
            <v>1.6781069256488594</v>
          </cell>
          <cell r="X56">
            <v>1.4064857870091103</v>
          </cell>
          <cell r="Y56">
            <v>1.2610851508935292</v>
          </cell>
          <cell r="Z56">
            <v>71.194507294998829</v>
          </cell>
          <cell r="AA56">
            <v>1.2926719089916521</v>
          </cell>
          <cell r="AB56">
            <v>1.2975981017866687</v>
          </cell>
          <cell r="AC56">
            <v>1.1107089813116051</v>
          </cell>
          <cell r="AD56">
            <v>71.892237320059195</v>
          </cell>
          <cell r="AE56">
            <v>1.0890560469910375</v>
          </cell>
          <cell r="AF56">
            <v>1.0030770057940943</v>
          </cell>
          <cell r="AG56">
            <v>0.73352248691676847</v>
          </cell>
          <cell r="AH56">
            <v>77.064938388696945</v>
          </cell>
          <cell r="AI56">
            <v>0.87501177436594535</v>
          </cell>
          <cell r="AJ56">
            <v>1.0219284686965664</v>
          </cell>
          <cell r="AK56">
            <v>0.89954640962326549</v>
          </cell>
          <cell r="AL56">
            <v>86.081322366729324</v>
          </cell>
          <cell r="AM56">
            <v>0.84464982396149546</v>
          </cell>
          <cell r="AN56">
            <v>0.8678581171824491</v>
          </cell>
          <cell r="AO56">
            <v>0.67628733242392713</v>
          </cell>
          <cell r="AP56">
            <v>88.61972216519537</v>
          </cell>
          <cell r="AQ56">
            <v>0.53218608159485181</v>
          </cell>
          <cell r="AR56">
            <v>0.50272306469357853</v>
          </cell>
          <cell r="AS56">
            <v>0.4828732231639985</v>
          </cell>
          <cell r="AT56">
            <v>91.117512197989541</v>
          </cell>
          <cell r="AU56">
            <v>0.53846887003611243</v>
          </cell>
          <cell r="AV56">
            <v>0.53476508464872552</v>
          </cell>
          <cell r="AW56">
            <v>0.55621013208611148</v>
          </cell>
          <cell r="AX56">
            <v>96.72183433279335</v>
          </cell>
          <cell r="AY56">
            <v>0.40993459483031924</v>
          </cell>
          <cell r="AZ56">
            <v>0.32932250187856948</v>
          </cell>
          <cell r="BA56">
            <v>0.31051182067407845</v>
          </cell>
          <cell r="BB56">
            <v>94.422944133091391</v>
          </cell>
          <cell r="BC56">
            <v>0.29782533136157419</v>
          </cell>
          <cell r="BD56">
            <v>0.26897953413908104</v>
          </cell>
          <cell r="BE56">
            <v>0.31889099954089017</v>
          </cell>
          <cell r="BF56">
            <v>93.634120025299822</v>
          </cell>
        </row>
        <row r="57">
          <cell r="A57" t="str">
            <v>IMS SALES/REPORTED SALES</v>
          </cell>
          <cell r="C57">
            <v>420</v>
          </cell>
          <cell r="D57">
            <v>5049</v>
          </cell>
          <cell r="E57">
            <v>10935</v>
          </cell>
          <cell r="F57">
            <v>0.64989720998531531</v>
          </cell>
          <cell r="G57">
            <v>15094</v>
          </cell>
          <cell r="H57">
            <v>17372</v>
          </cell>
          <cell r="I57">
            <v>17115</v>
          </cell>
          <cell r="J57">
            <v>1.2765140090646894</v>
          </cell>
          <cell r="K57">
            <v>19204</v>
          </cell>
          <cell r="L57">
            <v>20838</v>
          </cell>
          <cell r="M57">
            <v>21019</v>
          </cell>
          <cell r="N57">
            <v>1.1212763582571275</v>
          </cell>
          <cell r="O57">
            <v>23929</v>
          </cell>
          <cell r="P57">
            <v>22691</v>
          </cell>
          <cell r="Q57">
            <v>22681</v>
          </cell>
          <cell r="R57">
            <v>1.0144615094339624</v>
          </cell>
          <cell r="S57">
            <v>22510</v>
          </cell>
          <cell r="T57">
            <v>21052</v>
          </cell>
          <cell r="U57">
            <v>23890</v>
          </cell>
          <cell r="V57">
            <v>1.0755902148325065</v>
          </cell>
          <cell r="W57">
            <v>25664</v>
          </cell>
          <cell r="X57">
            <v>27874</v>
          </cell>
          <cell r="Y57">
            <v>28443</v>
          </cell>
          <cell r="Z57">
            <v>1.025428904109589</v>
          </cell>
          <cell r="AA57">
            <v>30016</v>
          </cell>
          <cell r="AB57">
            <v>31424</v>
          </cell>
          <cell r="AC57">
            <v>35108</v>
          </cell>
          <cell r="AD57">
            <v>1.0812749707602338</v>
          </cell>
          <cell r="AE57">
            <v>39612</v>
          </cell>
          <cell r="AF57">
            <v>36467</v>
          </cell>
          <cell r="AG57">
            <v>38858</v>
          </cell>
          <cell r="AH57">
            <v>1.0040720355538191</v>
          </cell>
          <cell r="AI57">
            <v>36170</v>
          </cell>
          <cell r="AJ57">
            <v>35712</v>
          </cell>
          <cell r="AK57">
            <v>40740</v>
          </cell>
          <cell r="AL57">
            <v>1.0559219538875799</v>
          </cell>
          <cell r="AM57">
            <v>37711</v>
          </cell>
          <cell r="AN57">
            <v>36829</v>
          </cell>
          <cell r="AO57">
            <v>38802</v>
          </cell>
          <cell r="AP57">
            <v>1.0313123166023166</v>
          </cell>
          <cell r="AQ57">
            <v>38793</v>
          </cell>
          <cell r="AR57">
            <v>63482</v>
          </cell>
          <cell r="AS57">
            <v>111487</v>
          </cell>
          <cell r="AT57">
            <v>0.99622813620071682</v>
          </cell>
          <cell r="AU57">
            <v>149871</v>
          </cell>
          <cell r="AV57">
            <v>185248</v>
          </cell>
          <cell r="AW57">
            <v>218420</v>
          </cell>
          <cell r="AX57">
            <v>1.0365263965522871</v>
          </cell>
          <cell r="AY57">
            <v>233290</v>
          </cell>
          <cell r="AZ57">
            <v>240388</v>
          </cell>
          <cell r="BA57">
            <v>290425</v>
          </cell>
          <cell r="BB57">
            <v>1.1478484693877551</v>
          </cell>
          <cell r="BC57">
            <v>295816</v>
          </cell>
          <cell r="BD57">
            <v>319583</v>
          </cell>
          <cell r="BE57">
            <v>341829</v>
          </cell>
          <cell r="BF57">
            <v>1.1467773509933776</v>
          </cell>
        </row>
        <row r="58">
          <cell r="A58" t="str">
            <v>REPORTED SALES/TRx ADVICOR</v>
          </cell>
          <cell r="F58">
            <v>220.28141678796712</v>
          </cell>
          <cell r="J58">
            <v>60.109966316623726</v>
          </cell>
          <cell r="N58">
            <v>58.255773871078937</v>
          </cell>
          <cell r="R58">
            <v>64.901667850407776</v>
          </cell>
          <cell r="S58">
            <v>7.2759661194600866E-2</v>
          </cell>
          <cell r="T58">
            <v>7.1221745457861418E-2</v>
          </cell>
          <cell r="U58">
            <v>7.4446679879446309E-2</v>
          </cell>
          <cell r="V58">
            <v>69.840709801899109</v>
          </cell>
          <cell r="W58">
            <v>2.5504545169106496E-2</v>
          </cell>
          <cell r="X58">
            <v>4.6504838365171164E-2</v>
          </cell>
          <cell r="Y58">
            <v>9.0809982329817407E-2</v>
          </cell>
          <cell r="Z58">
            <v>71.194507294998829</v>
          </cell>
          <cell r="AA58">
            <v>5.3613020367429209E-2</v>
          </cell>
          <cell r="AB58">
            <v>4.3795741068368699E-2</v>
          </cell>
          <cell r="AC58">
            <v>9.9595057970410572E-2</v>
          </cell>
          <cell r="AD58">
            <v>71.892237320059195</v>
          </cell>
          <cell r="AE58">
            <v>7.7327612202074292E-2</v>
          </cell>
          <cell r="AF58">
            <v>5.5801797383559615E-2</v>
          </cell>
          <cell r="AG58">
            <v>9.964597893870808E-2</v>
          </cell>
          <cell r="AH58">
            <v>77.064938388696945</v>
          </cell>
          <cell r="AI58">
            <v>8.1728394555484973E-2</v>
          </cell>
          <cell r="AJ58">
            <v>0.11235274315669463</v>
          </cell>
          <cell r="AK58">
            <v>0.1389284751484412</v>
          </cell>
          <cell r="AL58">
            <v>86.081322366729324</v>
          </cell>
          <cell r="AM58">
            <v>0.11158896165867072</v>
          </cell>
          <cell r="AN58">
            <v>7.747025035972066E-2</v>
          </cell>
          <cell r="AO58">
            <v>0.14875261663267758</v>
          </cell>
          <cell r="AP58">
            <v>88.61972216519537</v>
          </cell>
          <cell r="AQ58">
            <v>0.10636842636279153</v>
          </cell>
          <cell r="AR58">
            <v>0.16257023788591773</v>
          </cell>
          <cell r="AS58">
            <v>0.13780896434858181</v>
          </cell>
          <cell r="AT58">
            <v>91.117512197989541</v>
          </cell>
          <cell r="AU58">
            <v>0.1056491834044917</v>
          </cell>
          <cell r="AV58">
            <v>0.1949003247238783</v>
          </cell>
          <cell r="AW58">
            <v>0.10541927098141834</v>
          </cell>
          <cell r="AX58">
            <v>96.72183433279335</v>
          </cell>
          <cell r="AY58">
            <v>0.12403190268088493</v>
          </cell>
          <cell r="AZ58">
            <v>9.7883717515568236E-2</v>
          </cell>
          <cell r="BA58">
            <v>9.8692467265550032E-2</v>
          </cell>
          <cell r="BB58">
            <v>94.422944133091391</v>
          </cell>
          <cell r="BC58">
            <v>0.11247027101239304</v>
          </cell>
          <cell r="BD58">
            <v>0.15375016000074115</v>
          </cell>
          <cell r="BE58">
            <v>9.5285827634135289E-2</v>
          </cell>
          <cell r="BF58">
            <v>92</v>
          </cell>
        </row>
        <row r="59">
          <cell r="A59" t="str">
            <v>AZMACORT</v>
          </cell>
          <cell r="F59">
            <v>0.64989720998531531</v>
          </cell>
          <cell r="J59">
            <v>1.2765140090646894</v>
          </cell>
          <cell r="N59">
            <v>1.1212763582571275</v>
          </cell>
          <cell r="R59">
            <v>1.0144615094339624</v>
          </cell>
          <cell r="S59">
            <v>2.679374373915322E-2</v>
          </cell>
          <cell r="T59">
            <v>3.9362341102216369E-2</v>
          </cell>
          <cell r="U59">
            <v>4.3069471893220745E-2</v>
          </cell>
          <cell r="V59">
            <v>1.0755902148325065</v>
          </cell>
          <cell r="W59">
            <v>-2.7471487185876109E-3</v>
          </cell>
          <cell r="X59">
            <v>3.5274357682682833E-2</v>
          </cell>
          <cell r="Y59">
            <v>0.10897358417793979</v>
          </cell>
          <cell r="Z59">
            <v>1.025428904109589</v>
          </cell>
          <cell r="AA59">
            <v>6.0762209897914587E-2</v>
          </cell>
          <cell r="AB59">
            <v>2.8991095516539112E-2</v>
          </cell>
          <cell r="AC59">
            <v>0.10968121682983667</v>
          </cell>
          <cell r="AD59">
            <v>1.0812749707602338</v>
          </cell>
          <cell r="AE59">
            <v>8.8802355516502507E-2</v>
          </cell>
          <cell r="AF59">
            <v>5.9216934155815304E-2</v>
          </cell>
          <cell r="AG59">
            <v>0.12358639085604017</v>
          </cell>
          <cell r="AH59">
            <v>1.0040720355538191</v>
          </cell>
          <cell r="AI59">
            <v>6.3903542479300413E-2</v>
          </cell>
          <cell r="AJ59">
            <v>0.11507665082050766</v>
          </cell>
          <cell r="AK59">
            <v>0.17469265100688935</v>
          </cell>
          <cell r="AL59">
            <v>1.0559219538875799</v>
          </cell>
          <cell r="AM59">
            <v>0.14304559674088524</v>
          </cell>
          <cell r="AN59">
            <v>0.10208812630617659</v>
          </cell>
          <cell r="AO59">
            <v>0.173770681518846</v>
          </cell>
          <cell r="AP59">
            <v>1.0313123166023166</v>
          </cell>
          <cell r="AQ59">
            <v>0.13016227757415488</v>
          </cell>
          <cell r="AR59">
            <v>0.2183396265439963</v>
          </cell>
          <cell r="AS59">
            <v>0.20235418996071908</v>
          </cell>
          <cell r="AT59">
            <v>0.99622813620071682</v>
          </cell>
          <cell r="AU59">
            <v>0.13216938186752514</v>
          </cell>
          <cell r="AV59">
            <v>0.25834194247462583</v>
          </cell>
          <cell r="AW59">
            <v>0.14689447867101491</v>
          </cell>
          <cell r="AX59">
            <v>1.0365263965522871</v>
          </cell>
          <cell r="AY59">
            <v>0.14623365032946722</v>
          </cell>
          <cell r="AZ59">
            <v>0.11554125599563414</v>
          </cell>
          <cell r="BA59">
            <v>0.10803058243021679</v>
          </cell>
          <cell r="BB59">
            <v>1.1478484693877551</v>
          </cell>
          <cell r="BC59">
            <v>0.12390926732983076</v>
          </cell>
          <cell r="BD59">
            <v>0.16465992551099906</v>
          </cell>
          <cell r="BE59">
            <v>0.10412468931871954</v>
          </cell>
          <cell r="BF59">
            <v>1.1467773509933776</v>
          </cell>
        </row>
        <row r="60">
          <cell r="A60" t="str">
            <v>TRx</v>
          </cell>
          <cell r="C60">
            <v>218726</v>
          </cell>
          <cell r="D60">
            <v>193503</v>
          </cell>
          <cell r="E60">
            <v>200579</v>
          </cell>
          <cell r="F60">
            <v>612808</v>
          </cell>
          <cell r="G60">
            <v>196431</v>
          </cell>
          <cell r="H60">
            <v>189379</v>
          </cell>
          <cell r="I60">
            <v>169322</v>
          </cell>
          <cell r="J60">
            <v>555132</v>
          </cell>
          <cell r="K60">
            <v>170864</v>
          </cell>
          <cell r="L60">
            <v>166990</v>
          </cell>
          <cell r="M60">
            <v>164156</v>
          </cell>
          <cell r="N60">
            <v>502010</v>
          </cell>
          <cell r="O60">
            <v>175606</v>
          </cell>
          <cell r="P60">
            <v>169663</v>
          </cell>
          <cell r="Q60">
            <v>178171</v>
          </cell>
          <cell r="R60">
            <v>523440</v>
          </cell>
          <cell r="S60">
            <v>169925</v>
          </cell>
          <cell r="T60">
            <v>152113</v>
          </cell>
          <cell r="U60">
            <v>160947</v>
          </cell>
          <cell r="V60">
            <v>482985</v>
          </cell>
          <cell r="W60">
            <v>149393</v>
          </cell>
          <cell r="X60">
            <v>149554</v>
          </cell>
          <cell r="Y60">
            <v>137917</v>
          </cell>
          <cell r="Z60">
            <v>436864</v>
          </cell>
          <cell r="AA60">
            <v>132103</v>
          </cell>
          <cell r="AB60">
            <v>124833</v>
          </cell>
          <cell r="AC60">
            <v>129309</v>
          </cell>
          <cell r="AD60">
            <v>386245</v>
          </cell>
          <cell r="AE60">
            <v>136202</v>
          </cell>
          <cell r="AF60">
            <v>123762</v>
          </cell>
          <cell r="AG60">
            <v>145237</v>
          </cell>
          <cell r="AH60">
            <v>405201</v>
          </cell>
          <cell r="AI60">
            <v>123854</v>
          </cell>
          <cell r="AJ60">
            <v>112682</v>
          </cell>
          <cell r="AK60">
            <v>122140</v>
          </cell>
          <cell r="AL60">
            <v>358676</v>
          </cell>
          <cell r="AM60">
            <v>111845</v>
          </cell>
          <cell r="AN60">
            <v>105212</v>
          </cell>
          <cell r="AO60">
            <v>103825</v>
          </cell>
          <cell r="AP60">
            <v>320882</v>
          </cell>
          <cell r="AQ60">
            <v>96522</v>
          </cell>
          <cell r="AR60">
            <v>96391</v>
          </cell>
          <cell r="AS60">
            <v>97174</v>
          </cell>
          <cell r="AT60">
            <v>290087</v>
          </cell>
          <cell r="AU60">
            <v>99632</v>
          </cell>
          <cell r="AV60">
            <v>99699</v>
          </cell>
          <cell r="AW60">
            <v>103660</v>
          </cell>
          <cell r="AX60">
            <v>302991</v>
          </cell>
          <cell r="AY60">
            <v>98017</v>
          </cell>
          <cell r="AZ60">
            <v>91070</v>
          </cell>
          <cell r="BA60">
            <v>98837</v>
          </cell>
          <cell r="BB60">
            <v>287924</v>
          </cell>
          <cell r="BC60">
            <v>91173</v>
          </cell>
          <cell r="BD60">
            <v>91739</v>
          </cell>
          <cell r="BE60">
            <v>86796</v>
          </cell>
          <cell r="BF60">
            <v>269708</v>
          </cell>
        </row>
        <row r="61">
          <cell r="A61" t="str">
            <v xml:space="preserve">  % Change</v>
          </cell>
          <cell r="C61">
            <v>1.2506804297099733E-4</v>
          </cell>
          <cell r="D61">
            <v>1.6571648007562107E-3</v>
          </cell>
          <cell r="E61">
            <v>3.3583481902234751E-3</v>
          </cell>
          <cell r="F61">
            <v>1.697959643337387E-3</v>
          </cell>
          <cell r="G61">
            <v>4.6093222274746631E-3</v>
          </cell>
          <cell r="H61">
            <v>5.445680962467371E-3</v>
          </cell>
          <cell r="I61">
            <v>5.8108425602881285E-3</v>
          </cell>
          <cell r="J61">
            <v>5.2689271870840562E-3</v>
          </cell>
          <cell r="K61">
            <v>6.0475953691366685E-3</v>
          </cell>
          <cell r="L61">
            <v>6.6790837750958449E-3</v>
          </cell>
          <cell r="M61">
            <v>7.065656586029638E-3</v>
          </cell>
          <cell r="N61">
            <v>6.5868206629905056E-3</v>
          </cell>
          <cell r="O61">
            <v>7.3776380089102655E-3</v>
          </cell>
          <cell r="P61">
            <v>7.3965345714892949E-3</v>
          </cell>
          <cell r="Q61">
            <v>7.0413855643679376E-3</v>
          </cell>
          <cell r="R61">
            <v>7.2700954655715595E-3</v>
          </cell>
          <cell r="S61">
            <v>-0.22311476459131518</v>
          </cell>
          <cell r="T61">
            <v>-0.21389849252983162</v>
          </cell>
          <cell r="U61">
            <v>-0.19758798278982348</v>
          </cell>
          <cell r="V61">
            <v>-0.21184938838918554</v>
          </cell>
          <cell r="W61">
            <v>-0.2394632211819927</v>
          </cell>
          <cell r="X61">
            <v>-0.21029258787933192</v>
          </cell>
          <cell r="Y61">
            <v>-0.18547501210710948</v>
          </cell>
          <cell r="Z61">
            <v>-0.2130448253748658</v>
          </cell>
          <cell r="AA61">
            <v>-0.22685293566813369</v>
          </cell>
          <cell r="AB61">
            <v>-0.25245224264926047</v>
          </cell>
          <cell r="AC61">
            <v>-0.21227978264577596</v>
          </cell>
          <cell r="AD61">
            <v>-0.23060297603633395</v>
          </cell>
          <cell r="AE61">
            <v>-0.22438868831361114</v>
          </cell>
          <cell r="AF61">
            <v>-0.27054219246388433</v>
          </cell>
          <cell r="AG61">
            <v>-0.18484489619522815</v>
          </cell>
          <cell r="AH61">
            <v>-0.22588835396607065</v>
          </cell>
          <cell r="AI61">
            <v>-0.27112549654259233</v>
          </cell>
          <cell r="AJ61">
            <v>-0.2592217627684682</v>
          </cell>
          <cell r="AK61">
            <v>-0.24111664088178097</v>
          </cell>
          <cell r="AL61">
            <v>-0.25737652308042691</v>
          </cell>
          <cell r="AM61">
            <v>-0.25133707737310318</v>
          </cell>
          <cell r="AN61">
            <v>-0.29649491153696994</v>
          </cell>
          <cell r="AO61">
            <v>-0.24719215180144583</v>
          </cell>
          <cell r="AP61">
            <v>-0.26548765748608261</v>
          </cell>
          <cell r="AQ61">
            <v>-0.26934286125220475</v>
          </cell>
          <cell r="AR61">
            <v>-0.22784039476740925</v>
          </cell>
          <cell r="AS61">
            <v>-0.2485132512044792</v>
          </cell>
          <cell r="AT61">
            <v>-0.24895597354011056</v>
          </cell>
          <cell r="AU61">
            <v>-0.2684982599374458</v>
          </cell>
          <cell r="AV61">
            <v>-0.19442963106607847</v>
          </cell>
          <cell r="AW61">
            <v>-0.28627002761004428</v>
          </cell>
          <cell r="AX61">
            <v>-0.25224518202077484</v>
          </cell>
          <cell r="AY61">
            <v>-0.20860852293829835</v>
          </cell>
          <cell r="AZ61">
            <v>-0.19179638274081046</v>
          </cell>
          <cell r="BA61">
            <v>-0.19078925822826265</v>
          </cell>
          <cell r="BB61">
            <v>-0.19725880739162927</v>
          </cell>
          <cell r="BC61">
            <v>-0.18482721623675624</v>
          </cell>
          <cell r="BD61">
            <v>-0.12805573508725243</v>
          </cell>
          <cell r="BE61">
            <v>-0.16401637370575484</v>
          </cell>
          <cell r="BF61">
            <v>-0.15947918549497941</v>
          </cell>
        </row>
        <row r="62">
          <cell r="A62" t="str">
            <v>NRx</v>
          </cell>
          <cell r="C62">
            <v>100379</v>
          </cell>
          <cell r="D62">
            <v>90700</v>
          </cell>
          <cell r="E62">
            <v>91106</v>
          </cell>
          <cell r="F62">
            <v>282185</v>
          </cell>
          <cell r="G62">
            <v>88884</v>
          </cell>
          <cell r="H62">
            <v>83311</v>
          </cell>
          <cell r="I62">
            <v>71564</v>
          </cell>
          <cell r="J62">
            <v>243759</v>
          </cell>
          <cell r="K62">
            <v>70218</v>
          </cell>
          <cell r="L62">
            <v>69601</v>
          </cell>
          <cell r="M62">
            <v>71238</v>
          </cell>
          <cell r="N62">
            <v>211057</v>
          </cell>
          <cell r="O62">
            <v>79281</v>
          </cell>
          <cell r="P62">
            <v>77984</v>
          </cell>
          <cell r="Q62">
            <v>78971</v>
          </cell>
          <cell r="R62">
            <v>236236</v>
          </cell>
          <cell r="S62">
            <v>80536</v>
          </cell>
          <cell r="T62">
            <v>71848</v>
          </cell>
          <cell r="U62">
            <v>74079</v>
          </cell>
          <cell r="V62">
            <v>226463</v>
          </cell>
          <cell r="W62">
            <v>67181</v>
          </cell>
          <cell r="X62">
            <v>66899</v>
          </cell>
          <cell r="Y62">
            <v>59548</v>
          </cell>
          <cell r="Z62">
            <v>193628</v>
          </cell>
          <cell r="AA62">
            <v>53577</v>
          </cell>
          <cell r="AB62">
            <v>50703</v>
          </cell>
          <cell r="AC62">
            <v>55843</v>
          </cell>
          <cell r="AD62">
            <v>160123</v>
          </cell>
          <cell r="AE62">
            <v>60857</v>
          </cell>
          <cell r="AF62">
            <v>54788</v>
          </cell>
          <cell r="AG62">
            <v>66094</v>
          </cell>
          <cell r="AH62">
            <v>181739</v>
          </cell>
          <cell r="AI62">
            <v>55243</v>
          </cell>
          <cell r="AJ62">
            <v>50719</v>
          </cell>
          <cell r="AK62">
            <v>54686</v>
          </cell>
          <cell r="AL62">
            <v>160648</v>
          </cell>
          <cell r="AM62">
            <v>49275</v>
          </cell>
          <cell r="AN62">
            <v>45113</v>
          </cell>
          <cell r="AO62">
            <v>43223</v>
          </cell>
          <cell r="AP62">
            <v>137611</v>
          </cell>
          <cell r="AQ62">
            <v>38937</v>
          </cell>
          <cell r="AR62">
            <v>39602</v>
          </cell>
          <cell r="AS62">
            <v>42087</v>
          </cell>
          <cell r="AT62">
            <v>120626</v>
          </cell>
          <cell r="AU62">
            <v>45162</v>
          </cell>
          <cell r="AV62">
            <v>46245</v>
          </cell>
          <cell r="AW62">
            <v>47728</v>
          </cell>
          <cell r="AX62">
            <v>139135</v>
          </cell>
          <cell r="AY62">
            <v>48517</v>
          </cell>
          <cell r="AZ62">
            <v>47167</v>
          </cell>
          <cell r="BA62">
            <v>50880</v>
          </cell>
          <cell r="BB62">
            <v>146564</v>
          </cell>
          <cell r="BC62">
            <v>46132</v>
          </cell>
          <cell r="BD62">
            <v>45436</v>
          </cell>
          <cell r="BE62">
            <v>40253</v>
          </cell>
          <cell r="BF62">
            <v>131821</v>
          </cell>
        </row>
        <row r="63">
          <cell r="A63" t="str">
            <v xml:space="preserve">  % Change</v>
          </cell>
          <cell r="Q63">
            <v>0.14996168582375469</v>
          </cell>
          <cell r="S63">
            <v>-0.19768078980663284</v>
          </cell>
          <cell r="T63">
            <v>-0.20785005512679167</v>
          </cell>
          <cell r="U63">
            <v>-0.18689219151318248</v>
          </cell>
          <cell r="V63">
            <v>-0.19746620125095238</v>
          </cell>
          <cell r="W63">
            <v>-0.2441721794698708</v>
          </cell>
          <cell r="X63">
            <v>-0.1969967951410978</v>
          </cell>
          <cell r="Y63">
            <v>-0.16790565088592024</v>
          </cell>
          <cell r="Z63">
            <v>-0.20565804749773342</v>
          </cell>
          <cell r="AA63">
            <v>-0.23699051525249937</v>
          </cell>
          <cell r="AB63">
            <v>-0.27151908736943431</v>
          </cell>
          <cell r="AC63">
            <v>-0.21610657233498975</v>
          </cell>
          <cell r="AD63">
            <v>-0.2413281720104048</v>
          </cell>
          <cell r="AE63">
            <v>-0.23238859247486787</v>
          </cell>
          <cell r="AF63">
            <v>-0.29744562987279444</v>
          </cell>
          <cell r="AG63">
            <v>-0.16305985741601348</v>
          </cell>
          <cell r="AH63">
            <v>-0.23068880272270098</v>
          </cell>
          <cell r="AI63">
            <v>-0.31405830932750567</v>
          </cell>
          <cell r="AJ63">
            <v>-0.29407916713060911</v>
          </cell>
          <cell r="AK63">
            <v>-0.26178809109194234</v>
          </cell>
          <cell r="AL63">
            <v>-0.29062142601661201</v>
          </cell>
          <cell r="AM63">
            <v>-0.26653369256188508</v>
          </cell>
          <cell r="AN63">
            <v>-0.32565509200436482</v>
          </cell>
          <cell r="AO63">
            <v>-0.27414858601464365</v>
          </cell>
          <cell r="AP63">
            <v>-0.28930216704195677</v>
          </cell>
          <cell r="AQ63">
            <v>-0.27325158183548914</v>
          </cell>
          <cell r="AR63">
            <v>-0.21894167997948843</v>
          </cell>
          <cell r="AS63">
            <v>-0.2463334706229966</v>
          </cell>
          <cell r="AT63">
            <v>-0.24666662503200665</v>
          </cell>
          <cell r="AU63">
            <v>-0.25789966643114182</v>
          </cell>
          <cell r="AV63">
            <v>-0.15592830546835068</v>
          </cell>
          <cell r="AW63">
            <v>-0.27787696311314192</v>
          </cell>
          <cell r="AX63">
            <v>-0.23442409169193179</v>
          </cell>
          <cell r="AY63">
            <v>-0.12175298227829767</v>
          </cell>
          <cell r="AZ63">
            <v>-7.0032926516690019E-2</v>
          </cell>
          <cell r="BA63">
            <v>-6.9597337526972169E-2</v>
          </cell>
          <cell r="BB63">
            <v>-8.7669936756137656E-2</v>
          </cell>
          <cell r="BC63">
            <v>-6.3784880771182162E-2</v>
          </cell>
          <cell r="BD63">
            <v>7.1597987276394992E-3</v>
          </cell>
          <cell r="BE63">
            <v>-6.8713416468084154E-2</v>
          </cell>
          <cell r="BF63">
            <v>-4.2075124808336528E-2</v>
          </cell>
        </row>
        <row r="64">
          <cell r="A64" t="str">
            <v>28410 (STEROID,INHALED BRONCHIAL) TRx</v>
          </cell>
          <cell r="C64">
            <v>1423019</v>
          </cell>
          <cell r="D64">
            <v>1295091</v>
          </cell>
          <cell r="E64">
            <v>1341641</v>
          </cell>
          <cell r="F64">
            <v>4059751</v>
          </cell>
          <cell r="G64">
            <v>1296579</v>
          </cell>
          <cell r="H64">
            <v>1277595</v>
          </cell>
          <cell r="I64">
            <v>1119282</v>
          </cell>
          <cell r="J64">
            <v>3693456</v>
          </cell>
          <cell r="K64">
            <v>1115508</v>
          </cell>
          <cell r="L64">
            <v>1102891</v>
          </cell>
          <cell r="M64">
            <v>1135783</v>
          </cell>
          <cell r="N64">
            <v>3354182</v>
          </cell>
          <cell r="O64">
            <v>1267556</v>
          </cell>
          <cell r="P64">
            <v>1243614</v>
          </cell>
          <cell r="Q64">
            <v>1295052</v>
          </cell>
          <cell r="R64">
            <v>3806222</v>
          </cell>
          <cell r="S64">
            <v>1248060</v>
          </cell>
          <cell r="T64">
            <v>1144140</v>
          </cell>
          <cell r="U64">
            <v>1205045</v>
          </cell>
          <cell r="V64">
            <v>3597245</v>
          </cell>
          <cell r="W64">
            <v>1135989</v>
          </cell>
          <cell r="X64">
            <v>1129209</v>
          </cell>
          <cell r="Y64">
            <v>1013720</v>
          </cell>
          <cell r="Z64">
            <v>3278918</v>
          </cell>
          <cell r="AA64">
            <v>938895</v>
          </cell>
          <cell r="AB64">
            <v>921047</v>
          </cell>
          <cell r="AC64">
            <v>1034866</v>
          </cell>
          <cell r="AD64">
            <v>2894808</v>
          </cell>
          <cell r="AE64">
            <v>1140173</v>
          </cell>
          <cell r="AF64">
            <v>1073820</v>
          </cell>
          <cell r="AG64">
            <v>1260520</v>
          </cell>
          <cell r="AH64">
            <v>3474513</v>
          </cell>
          <cell r="AI64">
            <v>1102198</v>
          </cell>
          <cell r="AJ64">
            <v>1037044</v>
          </cell>
          <cell r="AK64">
            <v>1126946</v>
          </cell>
          <cell r="AL64">
            <v>3266188</v>
          </cell>
          <cell r="AM64">
            <v>1015910</v>
          </cell>
          <cell r="AN64">
            <v>953403</v>
          </cell>
          <cell r="AO64">
            <v>901414</v>
          </cell>
          <cell r="AP64">
            <v>2870727</v>
          </cell>
          <cell r="AQ64">
            <v>813100</v>
          </cell>
          <cell r="AR64">
            <v>846997</v>
          </cell>
          <cell r="AS64">
            <v>912783</v>
          </cell>
          <cell r="AT64">
            <v>2572880</v>
          </cell>
          <cell r="AU64">
            <v>1015006</v>
          </cell>
          <cell r="AV64">
            <v>1054477</v>
          </cell>
          <cell r="AW64">
            <v>1095639</v>
          </cell>
          <cell r="AX64">
            <v>3165122</v>
          </cell>
          <cell r="AY64">
            <v>1045964</v>
          </cell>
          <cell r="AZ64">
            <v>993050</v>
          </cell>
          <cell r="BA64">
            <v>1064698</v>
          </cell>
          <cell r="BB64">
            <v>3103712</v>
          </cell>
          <cell r="BC64">
            <v>997607</v>
          </cell>
          <cell r="BD64">
            <v>990912</v>
          </cell>
          <cell r="BE64">
            <v>865082</v>
          </cell>
          <cell r="BF64">
            <v>2853601</v>
          </cell>
        </row>
        <row r="65">
          <cell r="A65" t="str">
            <v>28410 (STEROID,INHALED BRONCHIAL) NRx</v>
          </cell>
          <cell r="C65">
            <v>714485</v>
          </cell>
          <cell r="D65">
            <v>663995</v>
          </cell>
          <cell r="E65">
            <v>667736</v>
          </cell>
          <cell r="F65">
            <v>2046216</v>
          </cell>
          <cell r="G65">
            <v>637852</v>
          </cell>
          <cell r="H65">
            <v>618854</v>
          </cell>
          <cell r="I65">
            <v>514967</v>
          </cell>
          <cell r="J65">
            <v>1771673</v>
          </cell>
          <cell r="K65">
            <v>496631</v>
          </cell>
          <cell r="L65">
            <v>500986</v>
          </cell>
          <cell r="M65">
            <v>551703</v>
          </cell>
          <cell r="N65">
            <v>1549320</v>
          </cell>
          <cell r="O65">
            <v>651312</v>
          </cell>
          <cell r="P65">
            <v>646792</v>
          </cell>
          <cell r="Q65">
            <v>649303</v>
          </cell>
          <cell r="R65">
            <v>1947407</v>
          </cell>
          <cell r="S65">
            <v>652153</v>
          </cell>
          <cell r="T65">
            <v>599086</v>
          </cell>
          <cell r="U65">
            <v>612614</v>
          </cell>
          <cell r="V65">
            <v>1863853</v>
          </cell>
          <cell r="W65">
            <v>574808</v>
          </cell>
          <cell r="X65">
            <v>564079</v>
          </cell>
          <cell r="Y65">
            <v>482038</v>
          </cell>
          <cell r="Z65">
            <v>1620925</v>
          </cell>
          <cell r="AA65">
            <v>420773</v>
          </cell>
          <cell r="AB65">
            <v>424776</v>
          </cell>
          <cell r="AC65">
            <v>528831</v>
          </cell>
          <cell r="AD65">
            <v>1374380</v>
          </cell>
          <cell r="AE65">
            <v>607811</v>
          </cell>
          <cell r="AF65">
            <v>567807</v>
          </cell>
          <cell r="AG65">
            <v>676108</v>
          </cell>
          <cell r="AH65">
            <v>1851726</v>
          </cell>
          <cell r="AI65">
            <v>576464</v>
          </cell>
          <cell r="AJ65">
            <v>551915</v>
          </cell>
          <cell r="AK65">
            <v>594713</v>
          </cell>
          <cell r="AL65">
            <v>1723092</v>
          </cell>
          <cell r="AM65">
            <v>523880</v>
          </cell>
          <cell r="AN65">
            <v>482476</v>
          </cell>
          <cell r="AO65">
            <v>430416</v>
          </cell>
          <cell r="AP65">
            <v>1436772</v>
          </cell>
          <cell r="AQ65">
            <v>369960</v>
          </cell>
          <cell r="AR65">
            <v>402130</v>
          </cell>
          <cell r="AS65">
            <v>467351</v>
          </cell>
          <cell r="AT65">
            <v>1239441</v>
          </cell>
          <cell r="AU65">
            <v>553810</v>
          </cell>
          <cell r="AV65">
            <v>583017</v>
          </cell>
          <cell r="AW65">
            <v>595054</v>
          </cell>
          <cell r="AX65">
            <v>1731881</v>
          </cell>
          <cell r="AY65">
            <v>574869</v>
          </cell>
          <cell r="AZ65">
            <v>561372</v>
          </cell>
          <cell r="BA65">
            <v>589998</v>
          </cell>
          <cell r="BB65">
            <v>1726239</v>
          </cell>
          <cell r="BC65">
            <v>599647</v>
          </cell>
          <cell r="BD65">
            <v>625093</v>
          </cell>
          <cell r="BE65">
            <v>493107</v>
          </cell>
          <cell r="BF65">
            <v>1717847</v>
          </cell>
        </row>
        <row r="66">
          <cell r="A66" t="str">
            <v>TRx Market Growth</v>
          </cell>
          <cell r="C66">
            <v>1423019</v>
          </cell>
          <cell r="D66">
            <v>1295091</v>
          </cell>
          <cell r="E66">
            <v>1341641</v>
          </cell>
          <cell r="F66">
            <v>4059751</v>
          </cell>
          <cell r="G66">
            <v>1296579</v>
          </cell>
          <cell r="H66">
            <v>1277595</v>
          </cell>
          <cell r="I66">
            <v>1119282</v>
          </cell>
          <cell r="J66">
            <v>3693456</v>
          </cell>
          <cell r="K66">
            <v>1115508</v>
          </cell>
          <cell r="L66">
            <v>1102891</v>
          </cell>
          <cell r="M66">
            <v>1135783</v>
          </cell>
          <cell r="N66">
            <v>3354182</v>
          </cell>
          <cell r="O66">
            <v>1267556</v>
          </cell>
          <cell r="P66">
            <v>1243614</v>
          </cell>
          <cell r="Q66">
            <v>1295052</v>
          </cell>
          <cell r="R66">
            <v>3806222</v>
          </cell>
          <cell r="S66">
            <v>-0.12294916652553478</v>
          </cell>
          <cell r="T66">
            <v>-0.11655628832259668</v>
          </cell>
          <cell r="U66">
            <v>-0.10181263094971005</v>
          </cell>
          <cell r="V66">
            <v>-0.11392472099889872</v>
          </cell>
          <cell r="W66">
            <v>-0.12385670290819151</v>
          </cell>
          <cell r="X66">
            <v>-0.11614478766745329</v>
          </cell>
          <cell r="Y66">
            <v>-9.4312246600945948E-2</v>
          </cell>
          <cell r="Z66">
            <v>-0.11223580299860081</v>
          </cell>
          <cell r="AA66">
            <v>-0.1583251756150561</v>
          </cell>
          <cell r="AB66">
            <v>-0.16487939424657561</v>
          </cell>
          <cell r="AC66">
            <v>-8.8852360001866582E-2</v>
          </cell>
          <cell r="AD66">
            <v>-0.13695559751975295</v>
          </cell>
          <cell r="AE66">
            <v>-0.10049496826964643</v>
          </cell>
          <cell r="AF66">
            <v>-0.13653271835151426</v>
          </cell>
          <cell r="AG66">
            <v>-2.6664566364902775E-2</v>
          </cell>
          <cell r="AH66">
            <v>-8.7149146844298642E-2</v>
          </cell>
          <cell r="AI66">
            <v>-0.11687098376680605</v>
          </cell>
          <cell r="AJ66">
            <v>-9.3603929589036294E-2</v>
          </cell>
          <cell r="AK66">
            <v>-6.4810027841283979E-2</v>
          </cell>
          <cell r="AL66">
            <v>-9.2030706832589959E-2</v>
          </cell>
          <cell r="AM66">
            <v>-0.10570436861624544</v>
          </cell>
          <cell r="AN66">
            <v>-0.15568951363299444</v>
          </cell>
          <cell r="AO66">
            <v>-0.11078601586236836</v>
          </cell>
          <cell r="AP66">
            <v>-0.12448954197695705</v>
          </cell>
          <cell r="AQ66">
            <v>-0.1339819681647042</v>
          </cell>
          <cell r="AR66">
            <v>-8.0397634431250475E-2</v>
          </cell>
          <cell r="AS66">
            <v>-0.117969862764841</v>
          </cell>
          <cell r="AT66">
            <v>-0.11120875719564127</v>
          </cell>
          <cell r="AU66">
            <v>-0.10977895459724096</v>
          </cell>
          <cell r="AV66">
            <v>-1.8013261067962971E-2</v>
          </cell>
          <cell r="AW66">
            <v>-0.13080395392377753</v>
          </cell>
          <cell r="AX66">
            <v>-8.9045860527791953E-2</v>
          </cell>
          <cell r="AY66">
            <v>-5.1019871202814704E-2</v>
          </cell>
          <cell r="AZ66">
            <v>-4.2422500877494107E-2</v>
          </cell>
          <cell r="BA66">
            <v>-5.5236009533730979E-2</v>
          </cell>
          <cell r="BB66">
            <v>-4.9744840162293191E-2</v>
          </cell>
          <cell r="BC66">
            <v>-1.8016359716904073E-2</v>
          </cell>
          <cell r="BD66">
            <v>3.9342229885997781E-2</v>
          </cell>
          <cell r="BE66">
            <v>-4.030556436886934E-2</v>
          </cell>
          <cell r="BF66">
            <v>-5.9657362054977847E-3</v>
          </cell>
        </row>
        <row r="67">
          <cell r="A67" t="str">
            <v>NRx Market Growth</v>
          </cell>
          <cell r="C67">
            <v>714485</v>
          </cell>
          <cell r="D67">
            <v>663995</v>
          </cell>
          <cell r="E67">
            <v>667736</v>
          </cell>
          <cell r="F67">
            <v>2046216</v>
          </cell>
          <cell r="G67">
            <v>637852</v>
          </cell>
          <cell r="H67">
            <v>618854</v>
          </cell>
          <cell r="I67">
            <v>514967</v>
          </cell>
          <cell r="J67">
            <v>1771673</v>
          </cell>
          <cell r="K67">
            <v>496631</v>
          </cell>
          <cell r="L67">
            <v>500986</v>
          </cell>
          <cell r="M67">
            <v>551703</v>
          </cell>
          <cell r="N67">
            <v>1549320</v>
          </cell>
          <cell r="O67">
            <v>651312</v>
          </cell>
          <cell r="P67">
            <v>646792</v>
          </cell>
          <cell r="Q67">
            <v>649303</v>
          </cell>
          <cell r="R67">
            <v>1947407</v>
          </cell>
          <cell r="S67">
            <v>-8.7240459911684609E-2</v>
          </cell>
          <cell r="T67">
            <v>-9.7755254181130846E-2</v>
          </cell>
          <cell r="U67">
            <v>-8.2550588855475837E-2</v>
          </cell>
          <cell r="V67">
            <v>-8.9122067269535532E-2</v>
          </cell>
          <cell r="W67">
            <v>-9.8837974953437491E-2</v>
          </cell>
          <cell r="X67">
            <v>-8.8510375629793137E-2</v>
          </cell>
          <cell r="Y67">
            <v>-6.39439032015644E-2</v>
          </cell>
          <cell r="Z67">
            <v>-8.5087936656482288E-2</v>
          </cell>
          <cell r="AA67">
            <v>-0.15274519713831802</v>
          </cell>
          <cell r="AB67">
            <v>-0.15212001932189723</v>
          </cell>
          <cell r="AC67">
            <v>-4.1457088324696412E-2</v>
          </cell>
          <cell r="AD67">
            <v>-0.11291405261663179</v>
          </cell>
          <cell r="AE67">
            <v>-6.6789802736630044E-2</v>
          </cell>
          <cell r="AF67">
            <v>-0.12211808433004734</v>
          </cell>
          <cell r="AG67">
            <v>4.128272932667798E-2</v>
          </cell>
          <cell r="AH67">
            <v>-4.9132513131564193E-2</v>
          </cell>
          <cell r="AI67">
            <v>-0.11606018833003917</v>
          </cell>
          <cell r="AJ67">
            <v>-7.8738277976784676E-2</v>
          </cell>
          <cell r="AK67">
            <v>-2.922068382374543E-2</v>
          </cell>
          <cell r="AL67">
            <v>-7.5521513767448423E-2</v>
          </cell>
          <cell r="AM67">
            <v>-8.8600019484767034E-2</v>
          </cell>
          <cell r="AN67">
            <v>-0.14466590672583091</v>
          </cell>
          <cell r="AO67">
            <v>-0.10709114219210936</v>
          </cell>
          <cell r="AP67">
            <v>-0.11360982155250865</v>
          </cell>
          <cell r="AQ67">
            <v>-0.12076107544923276</v>
          </cell>
          <cell r="AR67">
            <v>-5.3312804866564978E-2</v>
          </cell>
          <cell r="AS67">
            <v>-0.11625642218402477</v>
          </cell>
          <cell r="AT67">
            <v>-9.8181725578078805E-2</v>
          </cell>
          <cell r="AU67">
            <v>-8.8845052162596638E-2</v>
          </cell>
          <cell r="AV67">
            <v>2.6787271026950998E-2</v>
          </cell>
          <cell r="AW67">
            <v>-0.1198832139244026</v>
          </cell>
          <cell r="AX67">
            <v>-6.4720698418664568E-2</v>
          </cell>
          <cell r="AY67">
            <v>-2.766868356046559E-3</v>
          </cell>
          <cell r="AZ67">
            <v>1.7134884900754654E-2</v>
          </cell>
          <cell r="BA67">
            <v>-7.9281939355622111E-3</v>
          </cell>
          <cell r="BB67">
            <v>1.826367947851848E-3</v>
          </cell>
          <cell r="BC67">
            <v>0.14462663205314197</v>
          </cell>
          <cell r="BD67">
            <v>0.29559397773153484</v>
          </cell>
          <cell r="BE67">
            <v>0.14565211330433803</v>
          </cell>
          <cell r="BF67">
            <v>0.19562950837015203</v>
          </cell>
        </row>
        <row r="68">
          <cell r="A68" t="str">
            <v>TRx Market Share</v>
          </cell>
          <cell r="C68">
            <v>0.15370560758500063</v>
          </cell>
          <cell r="D68">
            <v>0.14941266675469136</v>
          </cell>
          <cell r="E68">
            <v>0.14950273582873511</v>
          </cell>
          <cell r="F68">
            <v>0.15094718863299744</v>
          </cell>
          <cell r="G68">
            <v>0.15149944584942376</v>
          </cell>
          <cell r="H68">
            <v>0.14823085563108809</v>
          </cell>
          <cell r="I68">
            <v>0.15127733672121949</v>
          </cell>
          <cell r="J68">
            <v>0.15030150623156199</v>
          </cell>
          <cell r="K68">
            <v>0.15317146985947211</v>
          </cell>
          <cell r="L68">
            <v>0.1514111548648053</v>
          </cell>
          <cell r="M68">
            <v>0.14453112962599371</v>
          </cell>
          <cell r="N68">
            <v>0.14966689344823864</v>
          </cell>
          <cell r="O68">
            <v>0.13853904679556564</v>
          </cell>
          <cell r="P68">
            <v>0.13642738019996559</v>
          </cell>
          <cell r="Q68">
            <v>0.13757825940579993</v>
          </cell>
          <cell r="R68">
            <v>0.13752219392352838</v>
          </cell>
          <cell r="S68">
            <v>0.13615130682819737</v>
          </cell>
          <cell r="T68">
            <v>0.13294963903018861</v>
          </cell>
          <cell r="U68">
            <v>0.13356098734902017</v>
          </cell>
          <cell r="V68">
            <v>0.13426525021231525</v>
          </cell>
          <cell r="W68">
            <v>0.13150919595172136</v>
          </cell>
          <cell r="X68">
            <v>0.13244138153344509</v>
          </cell>
          <cell r="Y68">
            <v>0.13605038866748215</v>
          </cell>
          <cell r="Z68">
            <v>0.13323419493869623</v>
          </cell>
          <cell r="AA68">
            <v>0.14070050431624409</v>
          </cell>
          <cell r="AB68">
            <v>0.13553380012094932</v>
          </cell>
          <cell r="AC68">
            <v>0.1249524092974356</v>
          </cell>
          <cell r="AD68">
            <v>0.13342681103548146</v>
          </cell>
          <cell r="AE68">
            <v>0.11945731042569856</v>
          </cell>
          <cell r="AF68">
            <v>0.11525395317651004</v>
          </cell>
          <cell r="AG68">
            <v>0.11521990924380414</v>
          </cell>
          <cell r="AH68">
            <v>0.11662094802926339</v>
          </cell>
          <cell r="AI68">
            <v>0.11237000974416575</v>
          </cell>
          <cell r="AJ68">
            <v>0.1086569133035821</v>
          </cell>
          <cell r="AK68">
            <v>0.1083814131289343</v>
          </cell>
          <cell r="AL68">
            <v>0.10981486674986253</v>
          </cell>
          <cell r="AM68">
            <v>0.11009341378665433</v>
          </cell>
          <cell r="AN68">
            <v>0.11035417341879562</v>
          </cell>
          <cell r="AO68">
            <v>0.11518015029719973</v>
          </cell>
          <cell r="AP68">
            <v>0.11177726060332452</v>
          </cell>
          <cell r="AQ68">
            <v>0.1187086459230107</v>
          </cell>
          <cell r="AR68">
            <v>0.11380323661122767</v>
          </cell>
          <cell r="AS68">
            <v>0.10645903790933881</v>
          </cell>
          <cell r="AT68">
            <v>0.11274797114517583</v>
          </cell>
          <cell r="AU68">
            <v>9.8159025660932056E-2</v>
          </cell>
          <cell r="AV68">
            <v>9.4548292660721858E-2</v>
          </cell>
          <cell r="AW68">
            <v>9.4611455050431753E-2</v>
          </cell>
          <cell r="AX68">
            <v>9.572806356279473E-2</v>
          </cell>
          <cell r="AY68">
            <v>9.3709726147362629E-2</v>
          </cell>
          <cell r="AZ68">
            <v>9.1707366195055637E-2</v>
          </cell>
          <cell r="BA68">
            <v>9.2831018748978589E-2</v>
          </cell>
          <cell r="BB68">
            <v>9.2767627924240398E-2</v>
          </cell>
          <cell r="BC68">
            <v>9.1391700338911017E-2</v>
          </cell>
          <cell r="BD68">
            <v>9.2580370406252013E-2</v>
          </cell>
          <cell r="BE68">
            <v>0.10033268522521564</v>
          </cell>
          <cell r="BF68">
            <v>9.4514965476953511E-2</v>
          </cell>
        </row>
        <row r="69">
          <cell r="A69" t="str">
            <v>NRx Market Share</v>
          </cell>
          <cell r="C69">
            <v>0.1404914028985913</v>
          </cell>
          <cell r="D69">
            <v>0.13659741413715465</v>
          </cell>
          <cell r="E69">
            <v>0.13644014999940096</v>
          </cell>
          <cell r="F69">
            <v>0.13790577338853768</v>
          </cell>
          <cell r="G69">
            <v>0.13934893987947047</v>
          </cell>
          <cell r="H69">
            <v>0.13462141312813686</v>
          </cell>
          <cell r="I69">
            <v>0.1389681280548074</v>
          </cell>
          <cell r="J69">
            <v>0.13758690232339715</v>
          </cell>
          <cell r="K69">
            <v>0.1413886769049858</v>
          </cell>
          <cell r="L69">
            <v>0.13892803391711545</v>
          </cell>
          <cell r="M69">
            <v>0.12912382205643252</v>
          </cell>
          <cell r="N69">
            <v>0.13622556992745205</v>
          </cell>
          <cell r="O69">
            <v>0.12172507185496352</v>
          </cell>
          <cell r="P69">
            <v>0.12057044614033569</v>
          </cell>
          <cell r="Q69">
            <v>0.12162426478855018</v>
          </cell>
          <cell r="R69">
            <v>0.12130797516903247</v>
          </cell>
          <cell r="S69">
            <v>0.12349249332595265</v>
          </cell>
          <cell r="T69">
            <v>0.11992935905696345</v>
          </cell>
          <cell r="U69">
            <v>0.12092279967483603</v>
          </cell>
          <cell r="V69">
            <v>0.12150260777003337</v>
          </cell>
          <cell r="W69">
            <v>0.11687554800907433</v>
          </cell>
          <cell r="X69">
            <v>0.11859863600665864</v>
          </cell>
          <cell r="Y69">
            <v>0.12353382928316854</v>
          </cell>
          <cell r="Z69">
            <v>0.11945524931751932</v>
          </cell>
          <cell r="AA69">
            <v>0.12732993799507097</v>
          </cell>
          <cell r="AB69">
            <v>0.11936408836657439</v>
          </cell>
          <cell r="AC69">
            <v>0.10559706219945503</v>
          </cell>
          <cell r="AD69">
            <v>0.11650562435425428</v>
          </cell>
          <cell r="AE69">
            <v>0.10012487434416291</v>
          </cell>
          <cell r="AF69">
            <v>9.6490532874726795E-2</v>
          </cell>
          <cell r="AG69">
            <v>9.7756571435332812E-2</v>
          </cell>
          <cell r="AH69">
            <v>9.8145729983809701E-2</v>
          </cell>
          <cell r="AI69">
            <v>9.5830789086569154E-2</v>
          </cell>
          <cell r="AJ69">
            <v>9.1896397090131629E-2</v>
          </cell>
          <cell r="AK69">
            <v>9.1953597785822738E-2</v>
          </cell>
          <cell r="AL69">
            <v>9.3232398502227393E-2</v>
          </cell>
          <cell r="AM69">
            <v>9.4057799496067795E-2</v>
          </cell>
          <cell r="AN69">
            <v>9.3503096527081137E-2</v>
          </cell>
          <cell r="AO69">
            <v>0.10042145273409911</v>
          </cell>
          <cell r="AP69">
            <v>9.5777896562572212E-2</v>
          </cell>
          <cell r="AQ69">
            <v>0.10524651313655531</v>
          </cell>
          <cell r="AR69">
            <v>9.8480590853704031E-2</v>
          </cell>
          <cell r="AS69">
            <v>9.0054370269882805E-2</v>
          </cell>
          <cell r="AT69">
            <v>9.7322906052002472E-2</v>
          </cell>
          <cell r="AU69">
            <v>8.1547823260685076E-2</v>
          </cell>
          <cell r="AV69">
            <v>7.9320157045163348E-2</v>
          </cell>
          <cell r="AW69">
            <v>8.0207846682822062E-2</v>
          </cell>
          <cell r="AX69">
            <v>8.0337505867897396E-2</v>
          </cell>
          <cell r="AY69">
            <v>8.4396619055819674E-2</v>
          </cell>
          <cell r="AZ69">
            <v>8.4020934424944599E-2</v>
          </cell>
          <cell r="BA69">
            <v>8.6237580466374461E-2</v>
          </cell>
          <cell r="BB69">
            <v>8.4903654708299373E-2</v>
          </cell>
          <cell r="BC69">
            <v>7.6931928284474038E-2</v>
          </cell>
          <cell r="BD69">
            <v>7.2686784206510077E-2</v>
          </cell>
          <cell r="BE69">
            <v>8.1631370067754061E-2</v>
          </cell>
          <cell r="BF69">
            <v>7.673617033414501E-2</v>
          </cell>
        </row>
        <row r="70">
          <cell r="A70" t="str">
            <v>Price Change (YoY)</v>
          </cell>
          <cell r="C70">
            <v>0.15370560758500063</v>
          </cell>
          <cell r="D70">
            <v>0.14941266675469136</v>
          </cell>
          <cell r="E70">
            <v>0.14950273582873511</v>
          </cell>
          <cell r="F70">
            <v>0.15094718863299744</v>
          </cell>
          <cell r="G70">
            <v>0.15149944584942376</v>
          </cell>
          <cell r="H70">
            <v>0.14823085563108809</v>
          </cell>
          <cell r="I70">
            <v>0.15127733672121949</v>
          </cell>
          <cell r="J70">
            <v>0.15030150623156199</v>
          </cell>
          <cell r="K70">
            <v>0.15317146985947211</v>
          </cell>
          <cell r="L70">
            <v>0.1514111548648053</v>
          </cell>
          <cell r="M70">
            <v>0.14453112962599371</v>
          </cell>
          <cell r="N70">
            <v>0.14966689344823864</v>
          </cell>
          <cell r="O70">
            <v>0.13853904679556564</v>
          </cell>
          <cell r="P70">
            <v>0.13642738019996559</v>
          </cell>
          <cell r="Q70">
            <v>0.13757825940579993</v>
          </cell>
          <cell r="R70">
            <v>0.13752219392352838</v>
          </cell>
          <cell r="S70">
            <v>0.13615130682819737</v>
          </cell>
          <cell r="T70">
            <v>0.13294963903018861</v>
          </cell>
          <cell r="U70">
            <v>0.13356098734902017</v>
          </cell>
          <cell r="V70">
            <v>0</v>
          </cell>
          <cell r="W70">
            <v>0.13150919595172136</v>
          </cell>
          <cell r="X70">
            <v>0.13244138153344509</v>
          </cell>
          <cell r="Y70">
            <v>0.13605038866748215</v>
          </cell>
          <cell r="Z70">
            <v>0</v>
          </cell>
          <cell r="AA70">
            <v>0.14070050431624409</v>
          </cell>
          <cell r="AB70">
            <v>0.13553380012094932</v>
          </cell>
          <cell r="AC70">
            <v>0.1249524092974356</v>
          </cell>
          <cell r="AD70">
            <v>0</v>
          </cell>
          <cell r="AE70">
            <v>0.11945731042569856</v>
          </cell>
          <cell r="AF70">
            <v>0.11525395317651004</v>
          </cell>
          <cell r="AG70">
            <v>0.11521990924380414</v>
          </cell>
          <cell r="AH70">
            <v>0</v>
          </cell>
          <cell r="AI70">
            <v>0.11237000974416575</v>
          </cell>
          <cell r="AJ70">
            <v>0.1086569133035821</v>
          </cell>
          <cell r="AK70">
            <v>5.9933866078809794E-2</v>
          </cell>
          <cell r="AL70">
            <v>5.9933866078809794E-2</v>
          </cell>
          <cell r="AM70">
            <v>0.11009341378665433</v>
          </cell>
          <cell r="AN70">
            <v>0.11035417341879562</v>
          </cell>
          <cell r="AO70">
            <v>0.1</v>
          </cell>
          <cell r="AP70">
            <v>0.1599338660788098</v>
          </cell>
          <cell r="AQ70">
            <v>0.1187086459230107</v>
          </cell>
          <cell r="AR70">
            <v>0.11380323661122767</v>
          </cell>
          <cell r="AS70">
            <v>0.10645903790933881</v>
          </cell>
          <cell r="AT70">
            <v>0.1599338660788098</v>
          </cell>
          <cell r="AU70">
            <v>0.09</v>
          </cell>
          <cell r="AV70">
            <v>9.4548292660721858E-2</v>
          </cell>
          <cell r="AW70">
            <v>9.4611455050431753E-2</v>
          </cell>
          <cell r="AX70">
            <v>0.2499338660788098</v>
          </cell>
          <cell r="AY70">
            <v>9.3709726147362629E-2</v>
          </cell>
          <cell r="AZ70">
            <v>9.1707366195055637E-2</v>
          </cell>
          <cell r="BA70">
            <v>9.2831018748978589E-2</v>
          </cell>
          <cell r="BB70">
            <v>0.19</v>
          </cell>
          <cell r="BC70">
            <v>9.1391700338911017E-2</v>
          </cell>
          <cell r="BD70">
            <v>9.2580370406252013E-2</v>
          </cell>
          <cell r="BE70">
            <v>0.10033268522521564</v>
          </cell>
          <cell r="BF70">
            <v>0.09</v>
          </cell>
        </row>
        <row r="71">
          <cell r="A71" t="str">
            <v>NRx Market Share</v>
          </cell>
          <cell r="C71">
            <v>0.1404914028985913</v>
          </cell>
          <cell r="D71">
            <v>0.13659741413715465</v>
          </cell>
          <cell r="E71">
            <v>0.13644014999940096</v>
          </cell>
          <cell r="F71">
            <v>0.13790577338853768</v>
          </cell>
          <cell r="G71">
            <v>0.13934893987947047</v>
          </cell>
          <cell r="H71">
            <v>0.13462141312813686</v>
          </cell>
          <cell r="I71">
            <v>0.1389681280548074</v>
          </cell>
          <cell r="J71">
            <v>0.13758690232339715</v>
          </cell>
          <cell r="K71">
            <v>0.1413886769049858</v>
          </cell>
          <cell r="L71">
            <v>0.13892803391711545</v>
          </cell>
          <cell r="M71">
            <v>0.12912382205643252</v>
          </cell>
          <cell r="N71">
            <v>0.13622556992745205</v>
          </cell>
          <cell r="O71">
            <v>0.12172507185496352</v>
          </cell>
          <cell r="P71">
            <v>0.12057044614033569</v>
          </cell>
          <cell r="Q71">
            <v>0.12162426478855018</v>
          </cell>
          <cell r="R71">
            <v>0.12130797516903247</v>
          </cell>
          <cell r="S71">
            <v>0.12349249332595265</v>
          </cell>
          <cell r="T71">
            <v>0.11992935905696345</v>
          </cell>
          <cell r="U71">
            <v>0.12092279967483603</v>
          </cell>
          <cell r="V71">
            <v>0.12150260777003337</v>
          </cell>
          <cell r="W71">
            <v>0.11687554800907433</v>
          </cell>
          <cell r="X71">
            <v>0.11859863600665864</v>
          </cell>
          <cell r="Y71">
            <v>0.12353382928316854</v>
          </cell>
          <cell r="Z71">
            <v>0.11945524931751932</v>
          </cell>
          <cell r="AA71">
            <v>0.12732993799507097</v>
          </cell>
          <cell r="AB71">
            <v>0.11936408836657439</v>
          </cell>
          <cell r="AC71">
            <v>0.10559706219945503</v>
          </cell>
          <cell r="AD71">
            <v>0.11650562435425428</v>
          </cell>
          <cell r="AE71">
            <v>0.10012487434416291</v>
          </cell>
          <cell r="AF71">
            <v>9.6490532874726795E-2</v>
          </cell>
          <cell r="AG71">
            <v>9.7756571435332812E-2</v>
          </cell>
          <cell r="AH71">
            <v>9.8145729983809701E-2</v>
          </cell>
          <cell r="AI71">
            <v>9.5830789086569154E-2</v>
          </cell>
          <cell r="AJ71">
            <v>9.1896397090131629E-2</v>
          </cell>
          <cell r="AK71">
            <v>9.1953597785822738E-2</v>
          </cell>
          <cell r="AL71">
            <v>9.3232398502227393E-2</v>
          </cell>
          <cell r="AM71">
            <v>9.4057799496067795E-2</v>
          </cell>
          <cell r="AN71">
            <v>9.3503096527081137E-2</v>
          </cell>
          <cell r="AO71">
            <v>0.10042145273409911</v>
          </cell>
          <cell r="AP71">
            <v>9.5777896562572212E-2</v>
          </cell>
          <cell r="AQ71">
            <v>0.10524651313655531</v>
          </cell>
          <cell r="AR71">
            <v>9.8480590853704031E-2</v>
          </cell>
          <cell r="AS71">
            <v>9.0054370269882805E-2</v>
          </cell>
          <cell r="AT71">
            <v>9.7322906052002472E-2</v>
          </cell>
          <cell r="AU71">
            <v>8.1547823260685076E-2</v>
          </cell>
          <cell r="AV71">
            <v>7.9320157045163348E-2</v>
          </cell>
          <cell r="AW71">
            <v>8.0207846682822062E-2</v>
          </cell>
          <cell r="AX71">
            <v>8.0337505867897396E-2</v>
          </cell>
          <cell r="AY71">
            <v>8.4396619055819674E-2</v>
          </cell>
          <cell r="AZ71">
            <v>8.4020934424944599E-2</v>
          </cell>
          <cell r="BA71">
            <v>8.6237580466374461E-2</v>
          </cell>
          <cell r="BB71">
            <v>8.4903654708299373E-2</v>
          </cell>
          <cell r="BC71">
            <v>7.6931928284474038E-2</v>
          </cell>
          <cell r="BD71">
            <v>7.2686784206510077E-2</v>
          </cell>
          <cell r="BE71">
            <v>8.1631370067754061E-2</v>
          </cell>
          <cell r="BF71">
            <v>7.673617033414501E-2</v>
          </cell>
        </row>
        <row r="72">
          <cell r="A72" t="str">
            <v xml:space="preserve">TRx + Azmacort Price Change </v>
          </cell>
          <cell r="S72">
            <v>-0.22311476459131518</v>
          </cell>
          <cell r="T72">
            <v>-0.21389849252983162</v>
          </cell>
          <cell r="U72">
            <v>-0.19758798278982348</v>
          </cell>
          <cell r="V72">
            <v>-0.21184938838918554</v>
          </cell>
          <cell r="W72">
            <v>-0.2394632211819927</v>
          </cell>
          <cell r="X72">
            <v>-0.21029258787933192</v>
          </cell>
          <cell r="Y72">
            <v>-0.18547501210710948</v>
          </cell>
          <cell r="Z72">
            <v>-0.2130448253748658</v>
          </cell>
          <cell r="AD72">
            <v>-0.23060297603633395</v>
          </cell>
          <cell r="AH72">
            <v>-0.22588835396607065</v>
          </cell>
          <cell r="AJ72">
            <v>72.58</v>
          </cell>
          <cell r="AK72">
            <v>76.930000000000007</v>
          </cell>
          <cell r="AL72">
            <v>-0.19744265700161712</v>
          </cell>
          <cell r="AM72">
            <v>76.930000000000007</v>
          </cell>
          <cell r="AN72">
            <v>76.930000000000007</v>
          </cell>
          <cell r="AP72">
            <v>-0.10555379140727281</v>
          </cell>
          <cell r="AT72">
            <v>-8.9022107461300765E-2</v>
          </cell>
          <cell r="AX72">
            <v>-2.311315941965042E-3</v>
          </cell>
          <cell r="BB72">
            <v>-7.2588073916292628E-3</v>
          </cell>
          <cell r="BF72">
            <v>-6.9479185494979417E-2</v>
          </cell>
        </row>
        <row r="73">
          <cell r="A73" t="str">
            <v>Price Change (YoY)</v>
          </cell>
          <cell r="V73">
            <v>0</v>
          </cell>
          <cell r="Z73">
            <v>0</v>
          </cell>
          <cell r="AD73">
            <v>0</v>
          </cell>
          <cell r="AH73">
            <v>0</v>
          </cell>
          <cell r="AK73">
            <v>5.9933866078809794E-2</v>
          </cell>
          <cell r="AL73">
            <v>5.9933866078809794E-2</v>
          </cell>
          <cell r="AO73">
            <v>0.1</v>
          </cell>
          <cell r="AP73">
            <v>0.1599338660788098</v>
          </cell>
          <cell r="AT73">
            <v>0.1599338660788098</v>
          </cell>
          <cell r="AU73">
            <v>0.09</v>
          </cell>
          <cell r="AX73">
            <v>0.2499338660788098</v>
          </cell>
          <cell r="BB73">
            <v>0.19</v>
          </cell>
          <cell r="BF73">
            <v>0.09</v>
          </cell>
        </row>
        <row r="74">
          <cell r="A74" t="str">
            <v xml:space="preserve">TOTAL AZMACORT REPORTED SALES </v>
          </cell>
          <cell r="AP74">
            <v>19.2</v>
          </cell>
          <cell r="AT74">
            <v>21.6</v>
          </cell>
          <cell r="AX74">
            <v>27.5</v>
          </cell>
          <cell r="AY74">
            <v>9.4042274597829989E-2</v>
          </cell>
          <cell r="AZ74">
            <v>0</v>
          </cell>
          <cell r="BA74">
            <v>0</v>
          </cell>
          <cell r="BB74">
            <v>29.6</v>
          </cell>
          <cell r="BC74">
            <v>0</v>
          </cell>
          <cell r="BD74">
            <v>0</v>
          </cell>
          <cell r="BE74">
            <v>0</v>
          </cell>
          <cell r="BF74">
            <v>23.6</v>
          </cell>
        </row>
        <row r="75">
          <cell r="A75" t="str">
            <v xml:space="preserve">  % Change</v>
          </cell>
          <cell r="S75">
            <v>-0.22311476459131518</v>
          </cell>
          <cell r="T75">
            <v>-0.21389849252983162</v>
          </cell>
          <cell r="U75">
            <v>-0.19758798278982348</v>
          </cell>
          <cell r="V75">
            <v>-0.21184938838918554</v>
          </cell>
          <cell r="W75">
            <v>-0.2394632211819927</v>
          </cell>
          <cell r="X75">
            <v>-0.21029258787933192</v>
          </cell>
          <cell r="Y75">
            <v>-0.18547501210710948</v>
          </cell>
          <cell r="Z75">
            <v>-0.2130448253748658</v>
          </cell>
          <cell r="AD75">
            <v>-0.23060297603633395</v>
          </cell>
          <cell r="AH75">
            <v>-0.22588835396607065</v>
          </cell>
          <cell r="AL75">
            <v>-0.19744265700161712</v>
          </cell>
          <cell r="AP75">
            <v>-0.10555379140727281</v>
          </cell>
          <cell r="AT75">
            <v>-8.9022107461300765E-2</v>
          </cell>
          <cell r="AX75">
            <v>-2.311315941965042E-3</v>
          </cell>
          <cell r="BB75">
            <v>-7.2588073916292628E-3</v>
          </cell>
          <cell r="BF75">
            <v>0.22916666666666674</v>
          </cell>
        </row>
        <row r="76">
          <cell r="A76" t="str">
            <v>Implied sales (TRx+adjusted price)</v>
          </cell>
          <cell r="BB76">
            <v>29.035064529876902</v>
          </cell>
          <cell r="BF76">
            <v>33.450987826551462</v>
          </cell>
        </row>
        <row r="77">
          <cell r="A77" t="str">
            <v>TOTAL AZMACORT SALES (IMS)</v>
          </cell>
          <cell r="C77">
            <v>14.862921</v>
          </cell>
          <cell r="D77">
            <v>14.856051000000001</v>
          </cell>
          <cell r="E77">
            <v>17.866980000000002</v>
          </cell>
          <cell r="F77">
            <v>47.585952000000006</v>
          </cell>
          <cell r="G77">
            <v>13.414622</v>
          </cell>
          <cell r="H77">
            <v>12.859069</v>
          </cell>
          <cell r="I77">
            <v>15.447195000000001</v>
          </cell>
          <cell r="J77">
            <v>41.720886</v>
          </cell>
          <cell r="K77">
            <v>11.533849999999999</v>
          </cell>
          <cell r="L77">
            <v>11.431290000000001</v>
          </cell>
          <cell r="M77">
            <v>14.828896</v>
          </cell>
          <cell r="N77">
            <v>37.794035999999998</v>
          </cell>
          <cell r="O77">
            <v>11.974435</v>
          </cell>
          <cell r="P77">
            <v>12.025975000000001</v>
          </cell>
          <cell r="Q77">
            <v>15.001511000000001</v>
          </cell>
          <cell r="R77">
            <v>39.001921000000003</v>
          </cell>
          <cell r="S77">
            <v>12.546904</v>
          </cell>
          <cell r="T77">
            <v>12.401382</v>
          </cell>
          <cell r="U77">
            <v>15.363728999999999</v>
          </cell>
          <cell r="V77">
            <v>40.312014999999995</v>
          </cell>
          <cell r="W77">
            <v>11.038372000000001</v>
          </cell>
          <cell r="X77">
            <v>11.400588000000001</v>
          </cell>
          <cell r="Y77">
            <v>13.430562</v>
          </cell>
          <cell r="Z77">
            <v>35.869522000000003</v>
          </cell>
          <cell r="AA77">
            <v>9.7723359999999992</v>
          </cell>
          <cell r="AB77">
            <v>9.6966040000000007</v>
          </cell>
          <cell r="AC77">
            <v>12.422069</v>
          </cell>
          <cell r="AD77">
            <v>31.891009</v>
          </cell>
          <cell r="AE77">
            <v>10.246976</v>
          </cell>
          <cell r="AF77">
            <v>10.221024</v>
          </cell>
          <cell r="AG77">
            <v>13.148436</v>
          </cell>
          <cell r="AH77">
            <v>33.616436</v>
          </cell>
          <cell r="AI77">
            <v>10.538508999999999</v>
          </cell>
          <cell r="AJ77">
            <v>10.238391999999999</v>
          </cell>
          <cell r="AK77">
            <v>12.644629999999999</v>
          </cell>
          <cell r="AL77">
            <v>33.421530999999995</v>
          </cell>
          <cell r="AM77">
            <v>9.4175360000000001</v>
          </cell>
          <cell r="AN77">
            <v>9.4514759999999995</v>
          </cell>
          <cell r="AO77">
            <v>11.399288</v>
          </cell>
          <cell r="AP77">
            <v>30.268299999999996</v>
          </cell>
          <cell r="AQ77">
            <v>9.1239080000000001</v>
          </cell>
          <cell r="AR77">
            <v>8.7275030000000005</v>
          </cell>
          <cell r="AS77">
            <v>10.986243999999999</v>
          </cell>
          <cell r="AT77">
            <v>28.837654999999998</v>
          </cell>
          <cell r="AU77">
            <v>10.350505999999999</v>
          </cell>
          <cell r="AV77">
            <v>10.100231000000001</v>
          </cell>
          <cell r="AW77">
            <v>12.031556</v>
          </cell>
          <cell r="AX77">
            <v>32.482292999999999</v>
          </cell>
          <cell r="AY77">
            <v>9.8066110000000002</v>
          </cell>
          <cell r="AZ77">
            <v>10.147702000000001</v>
          </cell>
          <cell r="BA77">
            <v>11.7873</v>
          </cell>
          <cell r="BB77">
            <v>31.741613000000001</v>
          </cell>
          <cell r="BC77">
            <v>9.3088870000000004</v>
          </cell>
          <cell r="BD77">
            <v>10.270223</v>
          </cell>
          <cell r="BE77">
            <v>11.274264000000001</v>
          </cell>
          <cell r="BF77">
            <v>30.853374000000002</v>
          </cell>
        </row>
        <row r="78">
          <cell r="A78" t="str">
            <v xml:space="preserve">  % Change</v>
          </cell>
          <cell r="S78">
            <v>-0.15582515711413658</v>
          </cell>
          <cell r="T78">
            <v>-0.1652302486037508</v>
          </cell>
          <cell r="U78">
            <v>-0.14010487502644553</v>
          </cell>
          <cell r="V78">
            <v>-0.15285891516891392</v>
          </cell>
          <cell r="W78">
            <v>-0.17713879675476496</v>
          </cell>
          <cell r="X78">
            <v>-0.11342041947204728</v>
          </cell>
          <cell r="Y78">
            <v>-0.13055010958300195</v>
          </cell>
          <cell r="Z78">
            <v>-0.14025023342025855</v>
          </cell>
          <cell r="AA78">
            <v>-0.15272558599253505</v>
          </cell>
          <cell r="AB78">
            <v>-0.15174892772381765</v>
          </cell>
          <cell r="AC78">
            <v>-0.1623065533671556</v>
          </cell>
          <cell r="AD78">
            <v>-0.15618937866281335</v>
          </cell>
          <cell r="AE78">
            <v>-0.1442622553798989</v>
          </cell>
          <cell r="AF78">
            <v>-0.15008770598641696</v>
          </cell>
          <cell r="AG78">
            <v>-0.12352589015866466</v>
          </cell>
          <cell r="AH78">
            <v>-0.13808255752325638</v>
          </cell>
          <cell r="AI78">
            <v>-0.16007096252589481</v>
          </cell>
          <cell r="AJ78">
            <v>-0.17441523855970253</v>
          </cell>
          <cell r="AK78">
            <v>-0.17698170802153568</v>
          </cell>
          <cell r="AL78">
            <v>-0.17092879132933447</v>
          </cell>
          <cell r="AM78">
            <v>-0.14683650813725069</v>
          </cell>
          <cell r="AN78">
            <v>-0.17096591859998811</v>
          </cell>
          <cell r="AO78">
            <v>-0.15124266579462575</v>
          </cell>
          <cell r="AP78">
            <v>-0.15615546814367942</v>
          </cell>
          <cell r="AQ78">
            <v>-6.6353428699135963E-2</v>
          </cell>
          <cell r="AR78">
            <v>-9.9942309699354581E-2</v>
          </cell>
          <cell r="AS78">
            <v>-0.11558662248615759</v>
          </cell>
          <cell r="AT78">
            <v>-9.5743411567818404E-2</v>
          </cell>
          <cell r="AU78">
            <v>1.0103468574533592E-2</v>
          </cell>
          <cell r="AV78">
            <v>-1.1818091807630937E-2</v>
          </cell>
          <cell r="AW78">
            <v>-8.4943943142743339E-2</v>
          </cell>
          <cell r="AX78">
            <v>-3.3737752568416268E-2</v>
          </cell>
          <cell r="AY78">
            <v>-6.9449862404634244E-2</v>
          </cell>
          <cell r="AZ78">
            <v>-8.8578362696015711E-3</v>
          </cell>
          <cell r="BA78">
            <v>-6.7801904840236515E-2</v>
          </cell>
          <cell r="BB78">
            <v>-5.0264543536320705E-2</v>
          </cell>
          <cell r="BC78">
            <v>-1.153688183405932E-2</v>
          </cell>
          <cell r="BD78">
            <v>8.6626363966855635E-2</v>
          </cell>
          <cell r="BE78">
            <v>-1.0967702544229074E-2</v>
          </cell>
          <cell r="BF78">
            <v>1.932959564957426E-2</v>
          </cell>
        </row>
        <row r="79">
          <cell r="A79" t="str">
            <v>TRx growth</v>
          </cell>
          <cell r="BB79">
            <v>-1.6755560187071139E-2</v>
          </cell>
          <cell r="BF79">
            <v>3.5864660446742525E-2</v>
          </cell>
        </row>
        <row r="80">
          <cell r="A80" t="str">
            <v>REPORTED SALES/TRx AZMACORT</v>
          </cell>
          <cell r="C80">
            <v>14.862921</v>
          </cell>
          <cell r="D80">
            <v>14.856051000000001</v>
          </cell>
          <cell r="E80">
            <v>17.866980000000002</v>
          </cell>
          <cell r="F80">
            <v>47.585952000000006</v>
          </cell>
          <cell r="G80">
            <v>13.414622</v>
          </cell>
          <cell r="H80">
            <v>12.859069</v>
          </cell>
          <cell r="I80">
            <v>15.447195000000001</v>
          </cell>
          <cell r="J80">
            <v>41.720886</v>
          </cell>
          <cell r="K80">
            <v>11.533849999999999</v>
          </cell>
          <cell r="L80">
            <v>11.431290000000001</v>
          </cell>
          <cell r="M80">
            <v>14.828896</v>
          </cell>
          <cell r="N80">
            <v>37.794035999999998</v>
          </cell>
          <cell r="O80">
            <v>11.974435</v>
          </cell>
          <cell r="P80">
            <v>12.025975000000001</v>
          </cell>
          <cell r="Q80">
            <v>15.001511000000001</v>
          </cell>
          <cell r="R80">
            <v>39.001921000000003</v>
          </cell>
          <cell r="S80">
            <v>12.546904</v>
          </cell>
          <cell r="T80">
            <v>12.401382</v>
          </cell>
          <cell r="U80">
            <v>15.363728999999999</v>
          </cell>
          <cell r="V80">
            <v>40.312014999999995</v>
          </cell>
          <cell r="W80">
            <v>11.038372000000001</v>
          </cell>
          <cell r="X80">
            <v>11.400588000000001</v>
          </cell>
          <cell r="Y80">
            <v>13.430562</v>
          </cell>
          <cell r="Z80">
            <v>35.869522000000003</v>
          </cell>
          <cell r="AA80">
            <v>9.7723359999999992</v>
          </cell>
          <cell r="AB80">
            <v>9.6966040000000007</v>
          </cell>
          <cell r="AC80">
            <v>12.422069</v>
          </cell>
          <cell r="AD80">
            <v>31.891009</v>
          </cell>
          <cell r="AE80">
            <v>10.246976</v>
          </cell>
          <cell r="AF80">
            <v>10.221024</v>
          </cell>
          <cell r="AG80">
            <v>13.148436</v>
          </cell>
          <cell r="AH80">
            <v>33.616436</v>
          </cell>
          <cell r="AI80">
            <v>10.538508999999999</v>
          </cell>
          <cell r="AJ80">
            <v>10.238391999999999</v>
          </cell>
          <cell r="AK80">
            <v>12.644629999999999</v>
          </cell>
          <cell r="AL80">
            <v>33.421530999999995</v>
          </cell>
          <cell r="AM80">
            <v>9.4175360000000001</v>
          </cell>
          <cell r="AN80">
            <v>9.4514759999999995</v>
          </cell>
          <cell r="AO80">
            <v>11.399288</v>
          </cell>
          <cell r="AP80">
            <v>59.835079561957357</v>
          </cell>
          <cell r="AQ80">
            <v>9.1239080000000001</v>
          </cell>
          <cell r="AR80">
            <v>8.7275030000000005</v>
          </cell>
          <cell r="AS80">
            <v>10.986243999999999</v>
          </cell>
          <cell r="AT80">
            <v>74.460420494541296</v>
          </cell>
          <cell r="AU80">
            <v>10.350505999999999</v>
          </cell>
          <cell r="AV80">
            <v>10.100231000000001</v>
          </cell>
          <cell r="AW80">
            <v>12.031556</v>
          </cell>
          <cell r="AX80">
            <v>90.761771801802695</v>
          </cell>
          <cell r="AY80">
            <v>9.8066110000000002</v>
          </cell>
          <cell r="AZ80">
            <v>10.147702000000001</v>
          </cell>
          <cell r="BA80">
            <v>11.7873</v>
          </cell>
          <cell r="BB80">
            <v>102.80490685041886</v>
          </cell>
          <cell r="BC80">
            <v>9.3088870000000004</v>
          </cell>
          <cell r="BD80">
            <v>10.270223</v>
          </cell>
          <cell r="BE80">
            <v>11.274264000000001</v>
          </cell>
          <cell r="BF80">
            <v>87.502039242439977</v>
          </cell>
        </row>
        <row r="81">
          <cell r="A81" t="str">
            <v>IMS SALES/REPORTED SALES</v>
          </cell>
          <cell r="S81">
            <v>-0.15582515711413658</v>
          </cell>
          <cell r="T81">
            <v>-0.1652302486037508</v>
          </cell>
          <cell r="U81">
            <v>-0.14010487502644553</v>
          </cell>
          <cell r="V81">
            <v>-0.15285891516891392</v>
          </cell>
          <cell r="W81">
            <v>-0.17713879675476496</v>
          </cell>
          <cell r="X81">
            <v>-0.11342041947204728</v>
          </cell>
          <cell r="Y81">
            <v>-0.13055010958300195</v>
          </cell>
          <cell r="Z81">
            <v>-0.14025023342025855</v>
          </cell>
          <cell r="AA81">
            <v>-0.15272558599253505</v>
          </cell>
          <cell r="AB81">
            <v>-0.15174892772381765</v>
          </cell>
          <cell r="AC81">
            <v>-0.1623065533671556</v>
          </cell>
          <cell r="AD81">
            <v>-0.15618937866281335</v>
          </cell>
          <cell r="AE81">
            <v>-0.1442622553798989</v>
          </cell>
          <cell r="AF81">
            <v>-0.15008770598641696</v>
          </cell>
          <cell r="AG81">
            <v>-0.12352589015866466</v>
          </cell>
          <cell r="AH81">
            <v>-0.13808255752325638</v>
          </cell>
          <cell r="AI81">
            <v>-0.16007096252589481</v>
          </cell>
          <cell r="AJ81">
            <v>-0.17441523855970253</v>
          </cell>
          <cell r="AK81">
            <v>-0.17698170802153568</v>
          </cell>
          <cell r="AL81">
            <v>-0.17092879132933447</v>
          </cell>
          <cell r="AM81">
            <v>-0.14683650813725069</v>
          </cell>
          <cell r="AN81">
            <v>-0.17096591859998811</v>
          </cell>
          <cell r="AO81">
            <v>-0.15124266579462575</v>
          </cell>
          <cell r="AP81">
            <v>1.5764739583333331</v>
          </cell>
          <cell r="AQ81">
            <v>-6.6353428699135963E-2</v>
          </cell>
          <cell r="AR81">
            <v>-9.9942309699354581E-2</v>
          </cell>
          <cell r="AS81">
            <v>-0.11558662248615759</v>
          </cell>
          <cell r="AT81">
            <v>1.3350766203703701</v>
          </cell>
          <cell r="AU81">
            <v>1.0103468574533592E-2</v>
          </cell>
          <cell r="AV81">
            <v>-1.1818091807630937E-2</v>
          </cell>
          <cell r="AW81">
            <v>-8.4943943142743339E-2</v>
          </cell>
          <cell r="AX81">
            <v>1.1811742909090908</v>
          </cell>
          <cell r="AY81">
            <v>-6.9449862404634244E-2</v>
          </cell>
          <cell r="AZ81">
            <v>-8.8578362696015711E-3</v>
          </cell>
          <cell r="BA81">
            <v>-6.7801904840236515E-2</v>
          </cell>
          <cell r="BB81">
            <v>1.0723517905405404</v>
          </cell>
          <cell r="BC81">
            <v>-1.153688183405932E-2</v>
          </cell>
          <cell r="BD81">
            <v>8.6626363966855635E-2</v>
          </cell>
          <cell r="BE81">
            <v>-1.0967702544229074E-2</v>
          </cell>
          <cell r="BF81">
            <v>1.3073463559322034</v>
          </cell>
        </row>
        <row r="82">
          <cell r="A82" t="str">
            <v>Price change (adjusted)</v>
          </cell>
          <cell r="AY82">
            <v>9.4042274597829989E-2</v>
          </cell>
          <cell r="AZ82">
            <v>0</v>
          </cell>
          <cell r="BA82">
            <v>0</v>
          </cell>
          <cell r="BB82">
            <v>9.4042274597829989E-2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</row>
        <row r="83">
          <cell r="A83" t="str">
            <v>Product</v>
          </cell>
          <cell r="B83">
            <v>0</v>
          </cell>
          <cell r="C83">
            <v>37257</v>
          </cell>
          <cell r="D83">
            <v>37288</v>
          </cell>
          <cell r="E83">
            <v>37316</v>
          </cell>
          <cell r="F83" t="str">
            <v>Q1:02</v>
          </cell>
          <cell r="G83">
            <v>37347</v>
          </cell>
          <cell r="H83">
            <v>37377</v>
          </cell>
          <cell r="I83">
            <v>37408</v>
          </cell>
          <cell r="J83" t="str">
            <v>Q2:02</v>
          </cell>
          <cell r="K83">
            <v>37438</v>
          </cell>
          <cell r="L83">
            <v>37469</v>
          </cell>
          <cell r="M83">
            <v>37500</v>
          </cell>
          <cell r="N83" t="str">
            <v>Q3:02</v>
          </cell>
          <cell r="O83">
            <v>37530</v>
          </cell>
          <cell r="P83">
            <v>37561</v>
          </cell>
          <cell r="Q83">
            <v>37591</v>
          </cell>
          <cell r="R83" t="str">
            <v>Q4:02</v>
          </cell>
          <cell r="S83">
            <v>37622</v>
          </cell>
          <cell r="T83">
            <v>37653</v>
          </cell>
          <cell r="U83">
            <v>37681</v>
          </cell>
          <cell r="V83" t="str">
            <v>Q1:03</v>
          </cell>
          <cell r="W83">
            <v>37712</v>
          </cell>
          <cell r="X83">
            <v>37742</v>
          </cell>
          <cell r="Y83">
            <v>37773</v>
          </cell>
          <cell r="Z83" t="str">
            <v>Q2:03</v>
          </cell>
          <cell r="AA83">
            <v>37803</v>
          </cell>
          <cell r="AB83">
            <v>37834</v>
          </cell>
          <cell r="AC83">
            <v>37865</v>
          </cell>
          <cell r="AD83" t="str">
            <v>Q3:03</v>
          </cell>
          <cell r="AE83">
            <v>37895</v>
          </cell>
          <cell r="AF83">
            <v>37926</v>
          </cell>
          <cell r="AG83">
            <v>37956</v>
          </cell>
          <cell r="AH83" t="str">
            <v>Q4:03</v>
          </cell>
          <cell r="AI83">
            <v>37987</v>
          </cell>
          <cell r="AJ83">
            <v>38018</v>
          </cell>
          <cell r="AK83">
            <v>38047</v>
          </cell>
          <cell r="AL83" t="str">
            <v>Q1:04</v>
          </cell>
          <cell r="AM83">
            <v>38078</v>
          </cell>
          <cell r="AN83">
            <v>38108</v>
          </cell>
          <cell r="AO83">
            <v>38139</v>
          </cell>
          <cell r="AP83" t="str">
            <v>Q2:04</v>
          </cell>
          <cell r="AQ83">
            <v>38169</v>
          </cell>
          <cell r="AR83">
            <v>38200</v>
          </cell>
          <cell r="AS83">
            <v>38231</v>
          </cell>
          <cell r="AT83" t="str">
            <v>Q3:04</v>
          </cell>
          <cell r="AU83">
            <v>38261</v>
          </cell>
          <cell r="AV83">
            <v>38292</v>
          </cell>
          <cell r="AW83">
            <v>38322</v>
          </cell>
          <cell r="AX83" t="str">
            <v>Q4:04</v>
          </cell>
          <cell r="AY83">
            <v>38353</v>
          </cell>
          <cell r="AZ83">
            <v>38384</v>
          </cell>
          <cell r="BA83">
            <v>38412</v>
          </cell>
          <cell r="BB83" t="str">
            <v>Q1:05</v>
          </cell>
          <cell r="BC83">
            <v>38443</v>
          </cell>
          <cell r="BD83">
            <v>38473</v>
          </cell>
          <cell r="BE83">
            <v>38504</v>
          </cell>
          <cell r="BF83" t="str">
            <v>Q2:05</v>
          </cell>
        </row>
        <row r="84">
          <cell r="A84" t="str">
            <v>IMS SALES/REPORTED SALES</v>
          </cell>
          <cell r="AP84">
            <v>1.5764739583333331</v>
          </cell>
          <cell r="AT84">
            <v>1.3350766203703701</v>
          </cell>
          <cell r="AX84">
            <v>1.1811742909090908</v>
          </cell>
          <cell r="BB84">
            <v>1.0723517905405404</v>
          </cell>
          <cell r="BF84">
            <v>1.3073463559322034</v>
          </cell>
        </row>
        <row r="86">
          <cell r="A86" t="str">
            <v>TRx</v>
          </cell>
          <cell r="B86">
            <v>0</v>
          </cell>
          <cell r="C86">
            <v>37257</v>
          </cell>
          <cell r="D86">
            <v>37288</v>
          </cell>
          <cell r="E86">
            <v>37316</v>
          </cell>
          <cell r="F86" t="str">
            <v>Q1:02</v>
          </cell>
          <cell r="G86">
            <v>37347</v>
          </cell>
          <cell r="H86">
            <v>37377</v>
          </cell>
          <cell r="I86">
            <v>37408</v>
          </cell>
          <cell r="J86" t="str">
            <v>Q2:02</v>
          </cell>
          <cell r="K86">
            <v>37438</v>
          </cell>
          <cell r="L86">
            <v>37469</v>
          </cell>
          <cell r="M86">
            <v>37500</v>
          </cell>
          <cell r="N86" t="str">
            <v>Q3:02</v>
          </cell>
          <cell r="O86">
            <v>37530</v>
          </cell>
          <cell r="P86">
            <v>37561</v>
          </cell>
          <cell r="Q86">
            <v>37591</v>
          </cell>
          <cell r="R86" t="str">
            <v>Q4:02</v>
          </cell>
          <cell r="S86">
            <v>37622</v>
          </cell>
          <cell r="T86">
            <v>37653</v>
          </cell>
          <cell r="U86">
            <v>57</v>
          </cell>
          <cell r="V86">
            <v>57</v>
          </cell>
          <cell r="W86">
            <v>7681</v>
          </cell>
          <cell r="X86">
            <v>46519</v>
          </cell>
          <cell r="Y86">
            <v>70957</v>
          </cell>
          <cell r="Z86">
            <v>125157</v>
          </cell>
          <cell r="AA86">
            <v>83892</v>
          </cell>
          <cell r="AB86">
            <v>87825</v>
          </cell>
          <cell r="AC86">
            <v>89473</v>
          </cell>
          <cell r="AD86">
            <v>261190</v>
          </cell>
          <cell r="AE86">
            <v>96259</v>
          </cell>
          <cell r="AF86">
            <v>92700</v>
          </cell>
          <cell r="AG86">
            <v>107889</v>
          </cell>
          <cell r="AH86">
            <v>296848</v>
          </cell>
          <cell r="AI86">
            <v>105385</v>
          </cell>
          <cell r="AJ86">
            <v>101819</v>
          </cell>
          <cell r="AK86">
            <v>116208</v>
          </cell>
          <cell r="AL86">
            <v>323412</v>
          </cell>
          <cell r="AM86">
            <v>113785</v>
          </cell>
          <cell r="AN86">
            <v>115066</v>
          </cell>
          <cell r="AO86">
            <v>119562</v>
          </cell>
          <cell r="AP86">
            <v>348413</v>
          </cell>
          <cell r="AQ86">
            <v>121039</v>
          </cell>
          <cell r="AR86">
            <v>122454</v>
          </cell>
          <cell r="AS86">
            <v>122384</v>
          </cell>
          <cell r="AT86">
            <v>365877</v>
          </cell>
          <cell r="AU86">
            <v>124742</v>
          </cell>
          <cell r="AV86">
            <v>126830</v>
          </cell>
          <cell r="AW86">
            <v>132758</v>
          </cell>
          <cell r="AX86">
            <v>384330</v>
          </cell>
          <cell r="AY86">
            <v>132673</v>
          </cell>
          <cell r="AZ86">
            <v>126025</v>
          </cell>
          <cell r="BA86">
            <v>142768</v>
          </cell>
          <cell r="BB86">
            <v>401466</v>
          </cell>
          <cell r="BC86">
            <v>140227</v>
          </cell>
          <cell r="BD86">
            <v>145824</v>
          </cell>
          <cell r="BE86">
            <v>147263</v>
          </cell>
          <cell r="BF86">
            <v>433314</v>
          </cell>
        </row>
        <row r="87">
          <cell r="A87" t="str">
            <v xml:space="preserve">  % Change</v>
          </cell>
          <cell r="AM87">
            <v>13.813826324697304</v>
          </cell>
          <cell r="AN87">
            <v>1.4735269459790623</v>
          </cell>
          <cell r="AO87">
            <v>0.68499231929196558</v>
          </cell>
          <cell r="AP87">
            <v>1.7838075377326077</v>
          </cell>
          <cell r="AQ87">
            <v>0.44279549897487236</v>
          </cell>
          <cell r="AR87">
            <v>0.39429547395388553</v>
          </cell>
          <cell r="AS87">
            <v>0.36783163635957217</v>
          </cell>
          <cell r="AT87">
            <v>0.40080784103526179</v>
          </cell>
          <cell r="AU87">
            <v>0.29589960419285477</v>
          </cell>
          <cell r="AV87">
            <v>0.3681769147788565</v>
          </cell>
          <cell r="AW87">
            <v>0.23050542687391662</v>
          </cell>
          <cell r="AX87">
            <v>0.29470301298981294</v>
          </cell>
          <cell r="AY87">
            <v>0.25893628125444801</v>
          </cell>
          <cell r="AZ87">
            <v>0.23773558962472618</v>
          </cell>
          <cell r="BA87">
            <v>0.22855569323970815</v>
          </cell>
          <cell r="BB87">
            <v>0.24134540462320508</v>
          </cell>
          <cell r="BC87">
            <v>0.23238563958342495</v>
          </cell>
          <cell r="BD87">
            <v>0.26730745832826375</v>
          </cell>
          <cell r="BE87">
            <v>0.23168732540439274</v>
          </cell>
          <cell r="BF87">
            <v>0.24367919681527384</v>
          </cell>
        </row>
        <row r="88">
          <cell r="A88" t="str">
            <v>NRx</v>
          </cell>
          <cell r="F88">
            <v>220.28141678796712</v>
          </cell>
          <cell r="J88">
            <v>60.109966316623726</v>
          </cell>
          <cell r="N88">
            <v>58.255773871078937</v>
          </cell>
          <cell r="R88">
            <v>64.901667850407776</v>
          </cell>
          <cell r="U88">
            <v>57</v>
          </cell>
          <cell r="V88">
            <v>57</v>
          </cell>
          <cell r="W88">
            <v>7556</v>
          </cell>
          <cell r="X88">
            <v>44002</v>
          </cell>
          <cell r="Y88">
            <v>56509</v>
          </cell>
          <cell r="Z88">
            <v>108067</v>
          </cell>
          <cell r="AA88">
            <v>53017</v>
          </cell>
          <cell r="AB88">
            <v>45616</v>
          </cell>
          <cell r="AC88">
            <v>39903</v>
          </cell>
          <cell r="AD88">
            <v>138536</v>
          </cell>
          <cell r="AE88">
            <v>39813</v>
          </cell>
          <cell r="AF88">
            <v>36815</v>
          </cell>
          <cell r="AG88">
            <v>42447</v>
          </cell>
          <cell r="AH88">
            <v>119075</v>
          </cell>
          <cell r="AI88">
            <v>39841</v>
          </cell>
          <cell r="AJ88">
            <v>38987</v>
          </cell>
          <cell r="AK88">
            <v>43105</v>
          </cell>
          <cell r="AL88">
            <v>121933</v>
          </cell>
          <cell r="AM88">
            <v>39864</v>
          </cell>
          <cell r="AN88">
            <v>39912</v>
          </cell>
          <cell r="AO88">
            <v>41609</v>
          </cell>
          <cell r="AP88">
            <v>121385</v>
          </cell>
          <cell r="AQ88">
            <v>42327</v>
          </cell>
          <cell r="AR88">
            <v>41583</v>
          </cell>
          <cell r="AS88">
            <v>42676</v>
          </cell>
          <cell r="AT88">
            <v>126586</v>
          </cell>
          <cell r="AU88">
            <v>43110</v>
          </cell>
          <cell r="AV88">
            <v>44003</v>
          </cell>
          <cell r="AW88">
            <v>45806</v>
          </cell>
          <cell r="AX88">
            <v>132919</v>
          </cell>
          <cell r="AY88">
            <v>46278</v>
          </cell>
          <cell r="AZ88">
            <v>44920</v>
          </cell>
          <cell r="BA88">
            <v>51406</v>
          </cell>
          <cell r="BB88">
            <v>142604</v>
          </cell>
          <cell r="BC88">
            <v>49227</v>
          </cell>
          <cell r="BD88">
            <v>49270</v>
          </cell>
          <cell r="BE88">
            <v>49049</v>
          </cell>
          <cell r="BF88">
            <v>147546</v>
          </cell>
        </row>
        <row r="89">
          <cell r="A89" t="str">
            <v xml:space="preserve">  % Change</v>
          </cell>
          <cell r="F89">
            <v>0.64989720998531531</v>
          </cell>
          <cell r="J89">
            <v>1.2765140090646894</v>
          </cell>
          <cell r="N89">
            <v>1.1212763582571275</v>
          </cell>
          <cell r="R89">
            <v>1.0144615094339624</v>
          </cell>
          <cell r="U89">
            <v>57</v>
          </cell>
          <cell r="V89">
            <v>57</v>
          </cell>
          <cell r="W89">
            <v>7681</v>
          </cell>
          <cell r="X89">
            <v>46519</v>
          </cell>
          <cell r="Y89">
            <v>70957</v>
          </cell>
          <cell r="Z89">
            <v>125157</v>
          </cell>
          <cell r="AA89">
            <v>83892</v>
          </cell>
          <cell r="AB89">
            <v>87825</v>
          </cell>
          <cell r="AC89">
            <v>89473</v>
          </cell>
          <cell r="AD89">
            <v>261190</v>
          </cell>
          <cell r="AE89">
            <v>96259</v>
          </cell>
          <cell r="AF89">
            <v>92700</v>
          </cell>
          <cell r="AG89">
            <v>107889</v>
          </cell>
          <cell r="AH89">
            <v>296848</v>
          </cell>
          <cell r="AI89">
            <v>105385</v>
          </cell>
          <cell r="AJ89">
            <v>101819</v>
          </cell>
          <cell r="AK89">
            <v>116208</v>
          </cell>
          <cell r="AL89">
            <v>323412</v>
          </cell>
          <cell r="AM89">
            <v>4.27580730545262</v>
          </cell>
          <cell r="AN89">
            <v>-9.2950320439979972E-2</v>
          </cell>
          <cell r="AO89">
            <v>-0.26367481286166805</v>
          </cell>
          <cell r="AP89">
            <v>0.12323836138691746</v>
          </cell>
          <cell r="AQ89">
            <v>-0.20163343833110137</v>
          </cell>
          <cell r="AR89">
            <v>-8.8411960715538362E-2</v>
          </cell>
          <cell r="AS89">
            <v>6.9493521790341628E-2</v>
          </cell>
          <cell r="AT89">
            <v>-8.6259167292256134E-2</v>
          </cell>
          <cell r="AU89">
            <v>8.2812146786225505E-2</v>
          </cell>
          <cell r="AV89">
            <v>0.1952465027841912</v>
          </cell>
          <cell r="AW89">
            <v>7.913397884420581E-2</v>
          </cell>
          <cell r="AX89">
            <v>0.1162628595423052</v>
          </cell>
          <cell r="AY89">
            <v>0.16156722973820936</v>
          </cell>
          <cell r="AZ89">
            <v>0.15217893143868477</v>
          </cell>
          <cell r="BA89">
            <v>0.19257626725437893</v>
          </cell>
          <cell r="BB89">
            <v>0.16952752741259536</v>
          </cell>
          <cell r="BC89">
            <v>0.23487357013847077</v>
          </cell>
          <cell r="BD89">
            <v>0.23446582481459211</v>
          </cell>
          <cell r="BE89">
            <v>0.17880746953784032</v>
          </cell>
          <cell r="BF89">
            <v>0.21552086336862053</v>
          </cell>
        </row>
        <row r="90">
          <cell r="A90" t="str">
            <v>31300:CALCIUM BLOCKERS TRx</v>
          </cell>
          <cell r="K90">
            <v>7866043</v>
          </cell>
          <cell r="L90">
            <v>7669370</v>
          </cell>
          <cell r="M90">
            <v>7301496</v>
          </cell>
          <cell r="N90">
            <v>22836909</v>
          </cell>
          <cell r="O90">
            <v>7674526</v>
          </cell>
          <cell r="P90">
            <v>7307768</v>
          </cell>
          <cell r="Q90">
            <v>7784357</v>
          </cell>
          <cell r="R90">
            <v>22766651</v>
          </cell>
          <cell r="S90">
            <v>7618521</v>
          </cell>
          <cell r="T90">
            <v>6928380</v>
          </cell>
          <cell r="U90">
            <v>7518779</v>
          </cell>
          <cell r="V90">
            <v>22065680</v>
          </cell>
          <cell r="W90">
            <v>7320366</v>
          </cell>
          <cell r="X90">
            <v>7522143</v>
          </cell>
          <cell r="Y90">
            <v>7316582</v>
          </cell>
          <cell r="Z90">
            <v>22159091</v>
          </cell>
          <cell r="AA90">
            <v>7503143</v>
          </cell>
          <cell r="AB90">
            <v>7269076</v>
          </cell>
          <cell r="AC90">
            <v>7248210</v>
          </cell>
          <cell r="AD90">
            <v>22020429</v>
          </cell>
          <cell r="AE90">
            <v>7501281</v>
          </cell>
          <cell r="AF90">
            <v>6961832</v>
          </cell>
          <cell r="AG90">
            <v>7700332</v>
          </cell>
          <cell r="AH90">
            <v>22163445</v>
          </cell>
          <cell r="AI90">
            <v>7433331</v>
          </cell>
          <cell r="AJ90">
            <v>6925169</v>
          </cell>
          <cell r="AK90">
            <v>7653825</v>
          </cell>
          <cell r="AL90">
            <v>22012325</v>
          </cell>
          <cell r="AM90">
            <v>7263213</v>
          </cell>
          <cell r="AN90">
            <v>7164218</v>
          </cell>
          <cell r="AO90">
            <v>7438462</v>
          </cell>
          <cell r="AP90">
            <v>21865893</v>
          </cell>
          <cell r="AQ90">
            <v>7361546</v>
          </cell>
          <cell r="AR90">
            <v>7404120</v>
          </cell>
          <cell r="AS90">
            <v>7204872</v>
          </cell>
          <cell r="AT90">
            <v>21970538</v>
          </cell>
          <cell r="AU90">
            <v>7271875</v>
          </cell>
          <cell r="AV90">
            <v>7329615</v>
          </cell>
          <cell r="AW90">
            <v>7592134</v>
          </cell>
          <cell r="AX90">
            <v>22193624</v>
          </cell>
          <cell r="AY90">
            <v>7488179</v>
          </cell>
          <cell r="AZ90">
            <v>6920985</v>
          </cell>
          <cell r="BA90">
            <v>7654686</v>
          </cell>
          <cell r="BB90">
            <v>22063850</v>
          </cell>
          <cell r="BC90">
            <v>7358151</v>
          </cell>
          <cell r="BD90">
            <v>7537603</v>
          </cell>
          <cell r="BE90">
            <v>7477026</v>
          </cell>
          <cell r="BF90">
            <v>22372780</v>
          </cell>
        </row>
        <row r="91">
          <cell r="A91" t="str">
            <v>31300:CALCIUM BLOCKERS NRx</v>
          </cell>
          <cell r="K91">
            <v>2279668</v>
          </cell>
          <cell r="L91">
            <v>2206227</v>
          </cell>
          <cell r="M91">
            <v>2093598</v>
          </cell>
          <cell r="N91">
            <v>6579493</v>
          </cell>
          <cell r="O91">
            <v>2258628</v>
          </cell>
          <cell r="P91">
            <v>2131801</v>
          </cell>
          <cell r="Q91">
            <v>2253287</v>
          </cell>
          <cell r="R91">
            <v>6643716</v>
          </cell>
          <cell r="S91">
            <v>2354381</v>
          </cell>
          <cell r="T91">
            <v>2149551</v>
          </cell>
          <cell r="U91">
            <v>2282179</v>
          </cell>
          <cell r="V91">
            <v>6786111</v>
          </cell>
          <cell r="W91">
            <v>2192705</v>
          </cell>
          <cell r="X91">
            <v>2280897</v>
          </cell>
          <cell r="Y91">
            <v>2199122</v>
          </cell>
          <cell r="Z91">
            <v>6672724</v>
          </cell>
          <cell r="AA91">
            <v>2224756</v>
          </cell>
          <cell r="AB91">
            <v>2109409</v>
          </cell>
          <cell r="AC91">
            <v>2142294</v>
          </cell>
          <cell r="AD91">
            <v>6476459</v>
          </cell>
          <cell r="AE91">
            <v>2259068</v>
          </cell>
          <cell r="AF91">
            <v>2026663</v>
          </cell>
          <cell r="AG91">
            <v>2259050</v>
          </cell>
          <cell r="AH91">
            <v>6544781</v>
          </cell>
          <cell r="AI91">
            <v>2262592</v>
          </cell>
          <cell r="AJ91">
            <v>2151819</v>
          </cell>
          <cell r="AK91">
            <v>2362960</v>
          </cell>
          <cell r="AL91">
            <v>6777371</v>
          </cell>
          <cell r="AM91">
            <v>2199632</v>
          </cell>
          <cell r="AN91">
            <v>2129819</v>
          </cell>
          <cell r="AO91">
            <v>2214699</v>
          </cell>
          <cell r="AP91">
            <v>6544150</v>
          </cell>
          <cell r="AQ91">
            <v>2157863</v>
          </cell>
          <cell r="AR91">
            <v>2171959</v>
          </cell>
          <cell r="AS91">
            <v>2149194</v>
          </cell>
          <cell r="AT91">
            <v>6479016</v>
          </cell>
          <cell r="AU91">
            <v>2182660</v>
          </cell>
          <cell r="AV91">
            <v>2232599</v>
          </cell>
          <cell r="AW91">
            <v>2306883</v>
          </cell>
          <cell r="AX91">
            <v>6722142</v>
          </cell>
          <cell r="AY91">
            <v>2325392</v>
          </cell>
          <cell r="AZ91">
            <v>2189777</v>
          </cell>
          <cell r="BA91">
            <v>2411950</v>
          </cell>
          <cell r="BB91">
            <v>6927119</v>
          </cell>
          <cell r="BC91">
            <v>2264309</v>
          </cell>
          <cell r="BD91">
            <v>2275511</v>
          </cell>
          <cell r="BE91">
            <v>2252701</v>
          </cell>
          <cell r="BF91">
            <v>6792521</v>
          </cell>
        </row>
        <row r="92">
          <cell r="A92" t="str">
            <v>TRx Market Growth</v>
          </cell>
          <cell r="C92">
            <v>218726</v>
          </cell>
          <cell r="D92">
            <v>193503</v>
          </cell>
          <cell r="E92">
            <v>200579</v>
          </cell>
          <cell r="F92">
            <v>612808</v>
          </cell>
          <cell r="G92">
            <v>196431</v>
          </cell>
          <cell r="H92">
            <v>189379</v>
          </cell>
          <cell r="I92">
            <v>169322</v>
          </cell>
          <cell r="J92">
            <v>555132</v>
          </cell>
          <cell r="K92">
            <v>170864</v>
          </cell>
          <cell r="L92">
            <v>166990</v>
          </cell>
          <cell r="M92">
            <v>164156</v>
          </cell>
          <cell r="N92">
            <v>502010</v>
          </cell>
          <cell r="O92">
            <v>175606</v>
          </cell>
          <cell r="P92">
            <v>169663</v>
          </cell>
          <cell r="Q92">
            <v>178171</v>
          </cell>
          <cell r="R92">
            <v>523440</v>
          </cell>
          <cell r="S92">
            <v>169925</v>
          </cell>
          <cell r="T92">
            <v>152113</v>
          </cell>
          <cell r="U92">
            <v>160947</v>
          </cell>
          <cell r="V92">
            <v>482985</v>
          </cell>
          <cell r="W92">
            <v>149393</v>
          </cell>
          <cell r="X92">
            <v>149554</v>
          </cell>
          <cell r="Y92">
            <v>137917</v>
          </cell>
          <cell r="Z92">
            <v>436864</v>
          </cell>
          <cell r="AA92">
            <v>-4.6135013500434696E-2</v>
          </cell>
          <cell r="AB92">
            <v>-5.2193856861776133E-2</v>
          </cell>
          <cell r="AC92">
            <v>-7.2979564735774494E-3</v>
          </cell>
          <cell r="AD92">
            <v>-3.5752649362486011E-2</v>
          </cell>
          <cell r="AE92">
            <v>-2.2574032585204629E-2</v>
          </cell>
          <cell r="AF92">
            <v>-4.7338120203049727E-2</v>
          </cell>
          <cell r="AG92">
            <v>-1.0794083570422108E-2</v>
          </cell>
          <cell r="AH92">
            <v>-2.6495157324632368E-2</v>
          </cell>
          <cell r="AI92">
            <v>-2.4307867629425717E-2</v>
          </cell>
          <cell r="AJ92">
            <v>-4.6345610373565993E-4</v>
          </cell>
          <cell r="AK92">
            <v>1.7961160981058155E-2</v>
          </cell>
          <cell r="AL92">
            <v>-2.4180084185032591E-3</v>
          </cell>
          <cell r="AM92">
            <v>-7.807396515420173E-3</v>
          </cell>
          <cell r="AN92">
            <v>-4.7582849727797027E-2</v>
          </cell>
          <cell r="AO92">
            <v>1.6658051532805862E-2</v>
          </cell>
          <cell r="AP92">
            <v>-1.3231499432896365E-2</v>
          </cell>
          <cell r="AQ92">
            <v>-1.8871691503147381E-2</v>
          </cell>
          <cell r="AR92">
            <v>1.8577877023159495E-2</v>
          </cell>
          <cell r="AS92">
            <v>-5.9791313993385886E-3</v>
          </cell>
          <cell r="AT92">
            <v>-2.2656688477776799E-3</v>
          </cell>
          <cell r="AU92">
            <v>-3.0582243219524741E-2</v>
          </cell>
          <cell r="AV92">
            <v>5.2828479630074421E-2</v>
          </cell>
          <cell r="AW92">
            <v>-1.4051082472807619E-2</v>
          </cell>
          <cell r="AX92">
            <v>1.361656547526735E-3</v>
          </cell>
          <cell r="AY92">
            <v>7.3786570246905381E-3</v>
          </cell>
          <cell r="AZ92">
            <v>-6.0417298119364027E-4</v>
          </cell>
          <cell r="BA92">
            <v>1.1249277322122886E-4</v>
          </cell>
          <cell r="BB92">
            <v>2.340734111458076E-3</v>
          </cell>
          <cell r="BC92">
            <v>1.3071074743367772E-2</v>
          </cell>
          <cell r="BD92">
            <v>5.2118039959141438E-2</v>
          </cell>
          <cell r="BE92">
            <v>5.184405055776331E-3</v>
          </cell>
          <cell r="BF92">
            <v>2.3181628118275288E-2</v>
          </cell>
        </row>
        <row r="93">
          <cell r="A93" t="str">
            <v>NRx Market Growth</v>
          </cell>
          <cell r="K93">
            <v>7866043</v>
          </cell>
          <cell r="L93">
            <v>7669370</v>
          </cell>
          <cell r="M93">
            <v>7301496</v>
          </cell>
          <cell r="N93">
            <v>22836909</v>
          </cell>
          <cell r="O93">
            <v>7674526</v>
          </cell>
          <cell r="P93">
            <v>7307768</v>
          </cell>
          <cell r="Q93">
            <v>7784357</v>
          </cell>
          <cell r="R93">
            <v>22766651</v>
          </cell>
          <cell r="S93">
            <v>7618521</v>
          </cell>
          <cell r="T93">
            <v>6928380</v>
          </cell>
          <cell r="U93">
            <v>7518779</v>
          </cell>
          <cell r="V93">
            <v>22065680</v>
          </cell>
          <cell r="W93">
            <v>7320366</v>
          </cell>
          <cell r="X93">
            <v>7522143</v>
          </cell>
          <cell r="Y93">
            <v>7316582</v>
          </cell>
          <cell r="Z93">
            <v>22159091</v>
          </cell>
          <cell r="AA93">
            <v>-2.4087718036135075E-2</v>
          </cell>
          <cell r="AB93">
            <v>-4.388397023515711E-2</v>
          </cell>
          <cell r="AC93">
            <v>2.3259479613564782E-2</v>
          </cell>
          <cell r="AD93">
            <v>-1.5659869233085266E-2</v>
          </cell>
          <cell r="AE93">
            <v>1.9480852978004393E-4</v>
          </cell>
          <cell r="AF93">
            <v>-4.9318862314071565E-2</v>
          </cell>
          <cell r="AG93">
            <v>2.5575969683400146E-3</v>
          </cell>
          <cell r="AH93">
            <v>-1.4891515531368249E-2</v>
          </cell>
          <cell r="AI93">
            <v>-3.8986468205443381E-2</v>
          </cell>
          <cell r="AJ93">
            <v>1.0551040659187993E-3</v>
          </cell>
          <cell r="AK93">
            <v>3.539643472313081E-2</v>
          </cell>
          <cell r="AL93">
            <v>-1.2879247038546371E-3</v>
          </cell>
          <cell r="AM93">
            <v>3.1591116908111783E-3</v>
          </cell>
          <cell r="AN93">
            <v>-6.6236221977581611E-2</v>
          </cell>
          <cell r="AO93">
            <v>7.0832814186752024E-3</v>
          </cell>
          <cell r="AP93">
            <v>-1.926859255680291E-2</v>
          </cell>
          <cell r="AQ93">
            <v>-3.0067566960152003E-2</v>
          </cell>
          <cell r="AR93">
            <v>2.9652855373234921E-2</v>
          </cell>
          <cell r="AS93">
            <v>3.2208464384440028E-3</v>
          </cell>
          <cell r="AT93">
            <v>3.9481451206602181E-4</v>
          </cell>
          <cell r="AU93">
            <v>-3.3822797720121756E-2</v>
          </cell>
          <cell r="AV93">
            <v>0.1016133417346643</v>
          </cell>
          <cell r="AW93">
            <v>2.1173944799805167E-2</v>
          </cell>
          <cell r="AX93">
            <v>2.709960806939149E-2</v>
          </cell>
          <cell r="AY93">
            <v>2.7755777444629981E-2</v>
          </cell>
          <cell r="AZ93">
            <v>1.7639959494734514E-2</v>
          </cell>
          <cell r="BA93">
            <v>2.0732471137894892E-2</v>
          </cell>
          <cell r="BB93">
            <v>2.2095293292930362E-2</v>
          </cell>
          <cell r="BC93">
            <v>2.9403554776435303E-2</v>
          </cell>
          <cell r="BD93">
            <v>6.8405812888325146E-2</v>
          </cell>
          <cell r="BE93">
            <v>1.7158990905761895E-2</v>
          </cell>
          <cell r="BF93">
            <v>3.7953133714844656E-2</v>
          </cell>
        </row>
        <row r="94">
          <cell r="A94" t="str">
            <v>TRx Market Share</v>
          </cell>
          <cell r="C94">
            <v>100379</v>
          </cell>
          <cell r="D94">
            <v>90700</v>
          </cell>
          <cell r="E94">
            <v>91106</v>
          </cell>
          <cell r="F94">
            <v>282185</v>
          </cell>
          <cell r="G94">
            <v>88884</v>
          </cell>
          <cell r="H94">
            <v>83311</v>
          </cell>
          <cell r="I94">
            <v>71564</v>
          </cell>
          <cell r="J94">
            <v>243759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7.5810181413764125E-6</v>
          </cell>
          <cell r="V94">
            <v>2.5831970734643121E-6</v>
          </cell>
          <cell r="W94">
            <v>1.049264476666877E-3</v>
          </cell>
          <cell r="X94">
            <v>6.1842748801770988E-3</v>
          </cell>
          <cell r="Y94">
            <v>9.6981076683074138E-3</v>
          </cell>
          <cell r="Z94">
            <v>5.6481107460590327E-3</v>
          </cell>
          <cell r="AA94">
            <v>1.1180914451450545E-2</v>
          </cell>
          <cell r="AB94">
            <v>1.2082003269741574E-2</v>
          </cell>
          <cell r="AC94">
            <v>1.2344151176635334E-2</v>
          </cell>
          <cell r="AD94">
            <v>1.1861258470486656E-2</v>
          </cell>
          <cell r="AE94">
            <v>1.2832341569393281E-2</v>
          </cell>
          <cell r="AF94">
            <v>1.3315460643118076E-2</v>
          </cell>
          <cell r="AG94">
            <v>1.4010954332878115E-2</v>
          </cell>
          <cell r="AH94">
            <v>1.3393585699335098E-2</v>
          </cell>
          <cell r="AI94">
            <v>1.4177358710381657E-2</v>
          </cell>
          <cell r="AJ94">
            <v>1.4702745882447056E-2</v>
          </cell>
          <cell r="AK94">
            <v>1.5182996736925655E-2</v>
          </cell>
          <cell r="AL94">
            <v>1.4692314419308274E-2</v>
          </cell>
          <cell r="AM94">
            <v>1.5665931867893727E-2</v>
          </cell>
          <cell r="AN94">
            <v>1.6061208634354788E-2</v>
          </cell>
          <cell r="AO94">
            <v>1.6073484007850011E-2</v>
          </cell>
          <cell r="AP94">
            <v>1.5934085106883124E-2</v>
          </cell>
          <cell r="AQ94">
            <v>1.6442062577616171E-2</v>
          </cell>
          <cell r="AR94">
            <v>1.6538629843924735E-2</v>
          </cell>
          <cell r="AS94">
            <v>1.6986283725789992E-2</v>
          </cell>
          <cell r="AT94">
            <v>1.6653074221486975E-2</v>
          </cell>
          <cell r="AU94">
            <v>1.7154035238504513E-2</v>
          </cell>
          <cell r="AV94">
            <v>1.7303773799851697E-2</v>
          </cell>
          <cell r="AW94">
            <v>1.748625616987266E-2</v>
          </cell>
          <cell r="AX94">
            <v>1.7317135768363023E-2</v>
          </cell>
          <cell r="AY94">
            <v>1.7717658725839754E-2</v>
          </cell>
          <cell r="AZ94">
            <v>1.8209113298179376E-2</v>
          </cell>
          <cell r="BA94">
            <v>1.8651058972242625E-2</v>
          </cell>
          <cell r="BB94">
            <v>1.8195645818839413E-2</v>
          </cell>
          <cell r="BC94">
            <v>1.9057369167879267E-2</v>
          </cell>
          <cell r="BD94">
            <v>1.9346203295663091E-2</v>
          </cell>
          <cell r="BE94">
            <v>1.9695397608621396E-2</v>
          </cell>
          <cell r="BF94">
            <v>1.936791046977622E-2</v>
          </cell>
        </row>
        <row r="95">
          <cell r="A95" t="str">
            <v>NRx Market Share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2.4976130268484638E-5</v>
          </cell>
          <cell r="V95">
            <v>8.3995089381827082E-6</v>
          </cell>
          <cell r="W95">
            <v>3.445971984375463E-3</v>
          </cell>
          <cell r="X95">
            <v>1.9291533111753842E-2</v>
          </cell>
          <cell r="Y95">
            <v>2.5696164196438397E-2</v>
          </cell>
          <cell r="Z95">
            <v>1.6195334918692874E-2</v>
          </cell>
          <cell r="AA95">
            <v>2.3830478488427495E-2</v>
          </cell>
          <cell r="AB95">
            <v>2.1625014399767897E-2</v>
          </cell>
          <cell r="AC95">
            <v>1.8626294990323457E-2</v>
          </cell>
          <cell r="AD95">
            <v>2.1390701307612694E-2</v>
          </cell>
          <cell r="AE95">
            <v>1.76236394831851E-2</v>
          </cell>
          <cell r="AF95">
            <v>1.8165328917535872E-2</v>
          </cell>
          <cell r="AG95">
            <v>1.8789756756158561E-2</v>
          </cell>
          <cell r="AH95">
            <v>1.8193886090306154E-2</v>
          </cell>
          <cell r="AI95">
            <v>1.7608565751138516E-2</v>
          </cell>
          <cell r="AJ95">
            <v>1.8118159566394756E-2</v>
          </cell>
          <cell r="AK95">
            <v>1.8241950773605985E-2</v>
          </cell>
          <cell r="AL95">
            <v>1.7991194520707219E-2</v>
          </cell>
          <cell r="AM95">
            <v>1.8123031488903599E-2</v>
          </cell>
          <cell r="AN95">
            <v>1.873962059686762E-2</v>
          </cell>
          <cell r="AO95">
            <v>1.8787654665487274E-2</v>
          </cell>
          <cell r="AP95">
            <v>1.8548627400044315E-2</v>
          </cell>
          <cell r="AQ95">
            <v>1.9615239707062034E-2</v>
          </cell>
          <cell r="AR95">
            <v>1.9145389024378453E-2</v>
          </cell>
          <cell r="AS95">
            <v>1.9856746296518603E-2</v>
          </cell>
          <cell r="AT95">
            <v>1.9537843400911498E-2</v>
          </cell>
          <cell r="AU95">
            <v>1.9751129355923505E-2</v>
          </cell>
          <cell r="AV95">
            <v>1.9709316361782837E-2</v>
          </cell>
          <cell r="AW95">
            <v>1.9856230246614155E-2</v>
          </cell>
          <cell r="AX95">
            <v>1.9773310352563217E-2</v>
          </cell>
          <cell r="AY95">
            <v>1.9901160750531523E-2</v>
          </cell>
          <cell r="AZ95">
            <v>2.0513504343136309E-2</v>
          </cell>
          <cell r="BA95">
            <v>2.1313045461141399E-2</v>
          </cell>
          <cell r="BB95">
            <v>2.058633610884987E-2</v>
          </cell>
          <cell r="BC95">
            <v>2.1740407338397719E-2</v>
          </cell>
          <cell r="BD95">
            <v>2.1652279422072668E-2</v>
          </cell>
          <cell r="BE95">
            <v>2.1773417777148411E-2</v>
          </cell>
          <cell r="BF95">
            <v>2.172183199728054E-2</v>
          </cell>
        </row>
        <row r="96">
          <cell r="A96" t="str">
            <v>Price Change (YoY)</v>
          </cell>
          <cell r="C96">
            <v>1423019</v>
          </cell>
          <cell r="D96">
            <v>1295091</v>
          </cell>
          <cell r="E96">
            <v>1341641</v>
          </cell>
          <cell r="F96">
            <v>4059751</v>
          </cell>
          <cell r="G96">
            <v>1296579</v>
          </cell>
          <cell r="H96">
            <v>1277595</v>
          </cell>
          <cell r="I96">
            <v>1119282</v>
          </cell>
          <cell r="J96">
            <v>3693456</v>
          </cell>
          <cell r="K96">
            <v>1115508</v>
          </cell>
          <cell r="L96">
            <v>1102891</v>
          </cell>
          <cell r="M96">
            <v>1135783</v>
          </cell>
          <cell r="N96">
            <v>3354182</v>
          </cell>
          <cell r="O96">
            <v>1267556</v>
          </cell>
          <cell r="P96">
            <v>1243614</v>
          </cell>
          <cell r="Q96">
            <v>1295052</v>
          </cell>
          <cell r="R96">
            <v>3806222</v>
          </cell>
          <cell r="S96">
            <v>1248060</v>
          </cell>
          <cell r="T96">
            <v>1144140</v>
          </cell>
          <cell r="U96">
            <v>1205045</v>
          </cell>
          <cell r="V96">
            <v>3597245</v>
          </cell>
          <cell r="W96">
            <v>1135989</v>
          </cell>
          <cell r="X96">
            <v>1129209</v>
          </cell>
          <cell r="Y96">
            <v>1013720</v>
          </cell>
          <cell r="Z96">
            <v>0</v>
          </cell>
          <cell r="AA96">
            <v>-2.4087718036135075E-2</v>
          </cell>
          <cell r="AB96">
            <v>-4.388397023515711E-2</v>
          </cell>
          <cell r="AC96">
            <v>2.3259479613564782E-2</v>
          </cell>
          <cell r="AD96">
            <v>0</v>
          </cell>
          <cell r="AE96">
            <v>1.9480852978004393E-4</v>
          </cell>
          <cell r="AF96">
            <v>-4.9318862314071565E-2</v>
          </cell>
          <cell r="AG96">
            <v>2.5575969683400146E-3</v>
          </cell>
          <cell r="AH96">
            <v>0</v>
          </cell>
          <cell r="AI96">
            <v>-3.8986468205443381E-2</v>
          </cell>
          <cell r="AJ96">
            <v>1.0551040659187993E-3</v>
          </cell>
          <cell r="AK96">
            <v>3.539643472313081E-2</v>
          </cell>
          <cell r="AL96">
            <v>0</v>
          </cell>
          <cell r="AM96">
            <v>3.1591116908111783E-3</v>
          </cell>
          <cell r="AN96">
            <v>-6.6236221977581611E-2</v>
          </cell>
          <cell r="AO96">
            <v>7.0832814186752024E-3</v>
          </cell>
          <cell r="AP96">
            <v>0</v>
          </cell>
          <cell r="AQ96">
            <v>0.05</v>
          </cell>
          <cell r="AR96">
            <v>2.9652855373234921E-2</v>
          </cell>
          <cell r="AS96">
            <v>3.2208464384440028E-3</v>
          </cell>
          <cell r="AT96">
            <v>0.05</v>
          </cell>
          <cell r="AU96">
            <v>-3.3822797720121756E-2</v>
          </cell>
          <cell r="AV96">
            <v>0.1016133417346643</v>
          </cell>
          <cell r="AW96">
            <v>2.1173944799805167E-2</v>
          </cell>
          <cell r="AX96">
            <v>0.05</v>
          </cell>
          <cell r="AY96">
            <v>2.7755777444629981E-2</v>
          </cell>
          <cell r="AZ96">
            <v>1.7639959494734514E-2</v>
          </cell>
          <cell r="BA96">
            <v>2.0732471137894892E-2</v>
          </cell>
          <cell r="BB96">
            <v>0.05</v>
          </cell>
          <cell r="BC96">
            <v>2.9403554776435303E-2</v>
          </cell>
          <cell r="BD96">
            <v>0.06</v>
          </cell>
          <cell r="BE96">
            <v>1.7158990905761895E-2</v>
          </cell>
          <cell r="BF96">
            <v>0.11</v>
          </cell>
        </row>
        <row r="97">
          <cell r="A97" t="str">
            <v>TRx Market Share</v>
          </cell>
          <cell r="C97">
            <v>714485</v>
          </cell>
          <cell r="D97">
            <v>663995</v>
          </cell>
          <cell r="E97">
            <v>667736</v>
          </cell>
          <cell r="F97">
            <v>2046216</v>
          </cell>
          <cell r="G97">
            <v>637852</v>
          </cell>
          <cell r="H97">
            <v>618854</v>
          </cell>
          <cell r="I97">
            <v>514967</v>
          </cell>
          <cell r="J97">
            <v>1771673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7.5810181413764125E-6</v>
          </cell>
          <cell r="V97">
            <v>2.5831970734643121E-6</v>
          </cell>
          <cell r="W97">
            <v>1.049264476666877E-3</v>
          </cell>
          <cell r="X97">
            <v>6.1842748801770988E-3</v>
          </cell>
          <cell r="Y97">
            <v>9.6981076683074138E-3</v>
          </cell>
          <cell r="Z97">
            <v>5.6481107460590327E-3</v>
          </cell>
          <cell r="AA97">
            <v>1.1180914451450545E-2</v>
          </cell>
          <cell r="AB97">
            <v>1.2082003269741574E-2</v>
          </cell>
          <cell r="AC97">
            <v>1.2344151176635334E-2</v>
          </cell>
          <cell r="AD97">
            <v>1.1861258470486656E-2</v>
          </cell>
          <cell r="AE97">
            <v>1.2832341569393281E-2</v>
          </cell>
          <cell r="AF97">
            <v>1.3315460643118076E-2</v>
          </cell>
          <cell r="AG97">
            <v>1.4010954332878115E-2</v>
          </cell>
          <cell r="AH97">
            <v>1.3393585699335098E-2</v>
          </cell>
          <cell r="AI97">
            <v>1.4177358710381657E-2</v>
          </cell>
          <cell r="AJ97">
            <v>1.4702745882447056E-2</v>
          </cell>
          <cell r="AK97">
            <v>1.5182996736925655E-2</v>
          </cell>
          <cell r="AL97">
            <v>1.4692314419308274E-2</v>
          </cell>
          <cell r="AM97">
            <v>1.5665931867893727E-2</v>
          </cell>
          <cell r="AN97">
            <v>1.6061208634354788E-2</v>
          </cell>
          <cell r="AO97">
            <v>1.6073484007850011E-2</v>
          </cell>
          <cell r="AP97">
            <v>1.5934085106883124E-2</v>
          </cell>
          <cell r="AQ97">
            <v>1.6442062577616171E-2</v>
          </cell>
          <cell r="AR97">
            <v>1.6538629843924735E-2</v>
          </cell>
          <cell r="AS97">
            <v>1.6986283725789992E-2</v>
          </cell>
          <cell r="AT97">
            <v>1.6653074221486975E-2</v>
          </cell>
          <cell r="AU97">
            <v>1.7154035238504513E-2</v>
          </cell>
          <cell r="AV97">
            <v>1.7303773799851697E-2</v>
          </cell>
          <cell r="AW97">
            <v>1.748625616987266E-2</v>
          </cell>
          <cell r="AX97">
            <v>1.7317135768363023E-2</v>
          </cell>
          <cell r="AY97">
            <v>1.7717658725839754E-2</v>
          </cell>
          <cell r="AZ97">
            <v>1.8209113298179376E-2</v>
          </cell>
          <cell r="BA97">
            <v>1.8651058972242625E-2</v>
          </cell>
          <cell r="BB97">
            <v>1.8195645818839413E-2</v>
          </cell>
          <cell r="BC97">
            <v>1.9057369167879267E-2</v>
          </cell>
          <cell r="BD97">
            <v>1.9346203295663091E-2</v>
          </cell>
          <cell r="BE97">
            <v>1.9695397608621396E-2</v>
          </cell>
          <cell r="BF97">
            <v>1.936791046977622E-2</v>
          </cell>
        </row>
        <row r="98">
          <cell r="A98" t="str">
            <v xml:space="preserve">TRx + Cardizem LA Price Change 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2.4976130268484638E-5</v>
          </cell>
          <cell r="V98">
            <v>8.3995089381827082E-6</v>
          </cell>
          <cell r="W98">
            <v>3.445971984375463E-3</v>
          </cell>
          <cell r="X98">
            <v>1.9291533111753842E-2</v>
          </cell>
          <cell r="Y98">
            <v>2.5696164196438397E-2</v>
          </cell>
          <cell r="Z98">
            <v>1.6195334918692874E-2</v>
          </cell>
          <cell r="AA98">
            <v>2.3830478488427495E-2</v>
          </cell>
          <cell r="AB98">
            <v>2.1625014399767897E-2</v>
          </cell>
          <cell r="AC98">
            <v>1.8626294990323457E-2</v>
          </cell>
          <cell r="AD98">
            <v>2.1390701307612694E-2</v>
          </cell>
          <cell r="AE98">
            <v>1.76236394831851E-2</v>
          </cell>
          <cell r="AF98">
            <v>1.8165328917535872E-2</v>
          </cell>
          <cell r="AG98">
            <v>1.8789756756158561E-2</v>
          </cell>
          <cell r="AH98">
            <v>1.8193886090306154E-2</v>
          </cell>
          <cell r="AI98">
            <v>1.7608565751138516E-2</v>
          </cell>
          <cell r="AJ98">
            <v>1.8118159566394756E-2</v>
          </cell>
          <cell r="AK98">
            <v>1.8241950773605985E-2</v>
          </cell>
          <cell r="AL98">
            <v>1.7991194520707219E-2</v>
          </cell>
          <cell r="AM98">
            <v>1.8123031488903599E-2</v>
          </cell>
          <cell r="AN98">
            <v>1.873962059686762E-2</v>
          </cell>
          <cell r="AO98">
            <v>1.8787654665487274E-2</v>
          </cell>
          <cell r="AP98">
            <v>1.7838075377326077</v>
          </cell>
          <cell r="AQ98">
            <v>1.9615239707062034E-2</v>
          </cell>
          <cell r="AR98">
            <v>1.9145389024378453E-2</v>
          </cell>
          <cell r="AS98">
            <v>1.9856746296518603E-2</v>
          </cell>
          <cell r="AT98">
            <v>0.45080784103526178</v>
          </cell>
          <cell r="AU98">
            <v>1.9751129355923505E-2</v>
          </cell>
          <cell r="AV98">
            <v>1.9709316361782837E-2</v>
          </cell>
          <cell r="AW98">
            <v>1.9856230246614155E-2</v>
          </cell>
          <cell r="AX98">
            <v>0.34470301298981293</v>
          </cell>
          <cell r="AY98">
            <v>1.9901160750531523E-2</v>
          </cell>
          <cell r="AZ98">
            <v>2.0513504343136309E-2</v>
          </cell>
          <cell r="BA98">
            <v>2.1313045461141399E-2</v>
          </cell>
          <cell r="BB98">
            <v>0.29134540462320507</v>
          </cell>
          <cell r="BC98">
            <v>2.1740407338397719E-2</v>
          </cell>
          <cell r="BD98">
            <v>2.1652279422072668E-2</v>
          </cell>
          <cell r="BE98">
            <v>2.1773417777148411E-2</v>
          </cell>
          <cell r="BF98">
            <v>0.35367919681527382</v>
          </cell>
        </row>
        <row r="99">
          <cell r="A99" t="str">
            <v>Price</v>
          </cell>
          <cell r="S99">
            <v>-8.7240459911684609E-2</v>
          </cell>
          <cell r="T99">
            <v>-9.7755254181130846E-2</v>
          </cell>
          <cell r="U99">
            <v>-8.2550588855475837E-2</v>
          </cell>
          <cell r="V99">
            <v>-8.9122067269535532E-2</v>
          </cell>
          <cell r="W99">
            <v>-9.8837974953437491E-2</v>
          </cell>
          <cell r="X99">
            <v>-8.8510375629793137E-2</v>
          </cell>
          <cell r="Y99">
            <v>-6.39439032015644E-2</v>
          </cell>
          <cell r="Z99">
            <v>-8.5087936656482288E-2</v>
          </cell>
          <cell r="AA99">
            <v>-0.15274519713831802</v>
          </cell>
          <cell r="AB99">
            <v>-0.15212001932189723</v>
          </cell>
          <cell r="AC99">
            <v>-4.1457088324696412E-2</v>
          </cell>
          <cell r="AD99">
            <v>-0.11291405261663179</v>
          </cell>
          <cell r="AE99">
            <v>-6.6789802736630044E-2</v>
          </cell>
          <cell r="AF99">
            <v>-0.12211808433004734</v>
          </cell>
          <cell r="AG99">
            <v>4.128272932667798E-2</v>
          </cell>
          <cell r="AH99">
            <v>-4.9132513131564193E-2</v>
          </cell>
          <cell r="AI99">
            <v>-0.11606018833003917</v>
          </cell>
          <cell r="AJ99">
            <v>72.58</v>
          </cell>
          <cell r="AK99">
            <v>76.930000000000007</v>
          </cell>
          <cell r="AL99">
            <v>-7.5521513767448423E-2</v>
          </cell>
          <cell r="AM99">
            <v>76.930000000000007</v>
          </cell>
          <cell r="AN99">
            <v>76.930000000000007</v>
          </cell>
          <cell r="AO99">
            <v>-0.10709114219210936</v>
          </cell>
          <cell r="AP99">
            <v>-0.11360982155250865</v>
          </cell>
          <cell r="AQ99">
            <v>-0.12076107544923276</v>
          </cell>
          <cell r="AR99">
            <v>-5.3312804866564978E-2</v>
          </cell>
          <cell r="AS99">
            <v>-0.11625642218402477</v>
          </cell>
          <cell r="AT99">
            <v>-9.8181725578078805E-2</v>
          </cell>
          <cell r="AU99">
            <v>-8.8845052162596638E-2</v>
          </cell>
          <cell r="AV99">
            <v>2.6787271026950998E-2</v>
          </cell>
          <cell r="AW99">
            <v>-0.1198832139244026</v>
          </cell>
          <cell r="AX99">
            <v>-6.4720698418664568E-2</v>
          </cell>
          <cell r="AY99">
            <v>-2.766868356046559E-3</v>
          </cell>
          <cell r="AZ99">
            <v>1.7134884900754654E-2</v>
          </cell>
          <cell r="BA99">
            <v>-7.9281939355622111E-3</v>
          </cell>
          <cell r="BB99">
            <v>1.826367947851848E-3</v>
          </cell>
          <cell r="BC99">
            <v>0.14462663205314197</v>
          </cell>
          <cell r="BD99">
            <v>0.29559397773153484</v>
          </cell>
          <cell r="BE99">
            <v>0.14565211330433803</v>
          </cell>
          <cell r="BF99">
            <v>0.19562950837015203</v>
          </cell>
        </row>
        <row r="100">
          <cell r="A100" t="str">
            <v xml:space="preserve">TOTAL CARDIZEM LA REPORTED SALES </v>
          </cell>
          <cell r="C100">
            <v>0.15370560758500063</v>
          </cell>
          <cell r="D100">
            <v>0.14941266675469136</v>
          </cell>
          <cell r="E100">
            <v>0.14950273582873511</v>
          </cell>
          <cell r="F100">
            <v>0.15094718863299744</v>
          </cell>
          <cell r="G100">
            <v>0.15149944584942376</v>
          </cell>
          <cell r="H100">
            <v>0.14823085563108809</v>
          </cell>
          <cell r="I100">
            <v>0.15127733672121949</v>
          </cell>
          <cell r="J100">
            <v>0.15030150623156199</v>
          </cell>
          <cell r="K100">
            <v>0.15317146985947211</v>
          </cell>
          <cell r="L100">
            <v>0.1514111548648053</v>
          </cell>
          <cell r="M100">
            <v>0.14453112962599371</v>
          </cell>
          <cell r="N100">
            <v>0.14966689344823864</v>
          </cell>
          <cell r="O100">
            <v>0.13853904679556564</v>
          </cell>
          <cell r="P100">
            <v>0.13642738019996559</v>
          </cell>
          <cell r="Q100">
            <v>0.13757825940579993</v>
          </cell>
          <cell r="R100">
            <v>0.13752219392352838</v>
          </cell>
          <cell r="S100">
            <v>0.13615130682819737</v>
          </cell>
          <cell r="T100">
            <v>0.13294963903018861</v>
          </cell>
          <cell r="U100">
            <v>0.13356098734902017</v>
          </cell>
          <cell r="V100">
            <v>0.13426525021231525</v>
          </cell>
          <cell r="W100">
            <v>0.13150919595172136</v>
          </cell>
          <cell r="X100">
            <v>0.13244138153344509</v>
          </cell>
          <cell r="Y100">
            <v>0.13605038866748215</v>
          </cell>
          <cell r="Z100">
            <v>21.6</v>
          </cell>
          <cell r="AA100">
            <v>0.14070050431624409</v>
          </cell>
          <cell r="AB100">
            <v>0.13553380012094932</v>
          </cell>
          <cell r="AC100">
            <v>0.1249524092974356</v>
          </cell>
          <cell r="AD100">
            <v>6.2</v>
          </cell>
          <cell r="AE100">
            <v>0.11945731042569856</v>
          </cell>
          <cell r="AF100">
            <v>0.11525395317651004</v>
          </cell>
          <cell r="AG100">
            <v>0.11521990924380414</v>
          </cell>
          <cell r="AH100">
            <v>20</v>
          </cell>
          <cell r="AI100">
            <v>0.11237000974416575</v>
          </cell>
          <cell r="AJ100">
            <v>0.1086569133035821</v>
          </cell>
          <cell r="AK100">
            <v>0.1083814131289343</v>
          </cell>
          <cell r="AL100">
            <v>14.423999999999999</v>
          </cell>
          <cell r="AM100">
            <v>0.11009341378665433</v>
          </cell>
          <cell r="AN100">
            <v>0.11035417341879562</v>
          </cell>
          <cell r="AO100">
            <v>0.11518015029719973</v>
          </cell>
          <cell r="AP100">
            <v>23.6</v>
          </cell>
          <cell r="AQ100">
            <v>0.05</v>
          </cell>
          <cell r="AR100">
            <v>0.11380323661122767</v>
          </cell>
          <cell r="AS100">
            <v>0.10645903790933881</v>
          </cell>
          <cell r="AT100">
            <v>5.2</v>
          </cell>
          <cell r="AU100">
            <v>9.8159025660932056E-2</v>
          </cell>
          <cell r="AV100">
            <v>9.4548292660721858E-2</v>
          </cell>
          <cell r="AW100">
            <v>9.4611455050431753E-2</v>
          </cell>
          <cell r="AX100">
            <v>10.3</v>
          </cell>
          <cell r="AY100">
            <v>9.3709726147362629E-2</v>
          </cell>
          <cell r="AZ100">
            <v>9.1707366195055637E-2</v>
          </cell>
          <cell r="BA100">
            <v>9.2831018748978589E-2</v>
          </cell>
          <cell r="BB100">
            <v>11.38</v>
          </cell>
          <cell r="BC100">
            <v>9.1391700338911017E-2</v>
          </cell>
          <cell r="BD100">
            <v>9.2580370406252013E-2</v>
          </cell>
          <cell r="BE100">
            <v>0.10033268522521564</v>
          </cell>
          <cell r="BF100">
            <v>22.2</v>
          </cell>
        </row>
        <row r="101">
          <cell r="A101" t="str">
            <v xml:space="preserve">  % Change</v>
          </cell>
          <cell r="C101">
            <v>0.1404914028985913</v>
          </cell>
          <cell r="D101">
            <v>0.13659741413715465</v>
          </cell>
          <cell r="E101">
            <v>0.13644014999940096</v>
          </cell>
          <cell r="F101">
            <v>0.13790577338853768</v>
          </cell>
          <cell r="G101">
            <v>0.13934893987947047</v>
          </cell>
          <cell r="H101">
            <v>0.13462141312813686</v>
          </cell>
          <cell r="I101">
            <v>0.1389681280548074</v>
          </cell>
          <cell r="J101">
            <v>0.13758690232339715</v>
          </cell>
          <cell r="K101">
            <v>0.1413886769049858</v>
          </cell>
          <cell r="L101">
            <v>0.13892803391711545</v>
          </cell>
          <cell r="M101">
            <v>0.12912382205643252</v>
          </cell>
          <cell r="N101">
            <v>0.13622556992745205</v>
          </cell>
          <cell r="O101">
            <v>0.12172507185496352</v>
          </cell>
          <cell r="P101">
            <v>0.12057044614033569</v>
          </cell>
          <cell r="Q101">
            <v>0.12162426478855018</v>
          </cell>
          <cell r="R101">
            <v>0.12130797516903247</v>
          </cell>
          <cell r="S101">
            <v>0.12349249332595265</v>
          </cell>
          <cell r="T101">
            <v>0.11992935905696345</v>
          </cell>
          <cell r="U101">
            <v>0.12092279967483603</v>
          </cell>
          <cell r="V101">
            <v>0.12150260777003337</v>
          </cell>
          <cell r="W101">
            <v>0.11687554800907433</v>
          </cell>
          <cell r="X101">
            <v>0.11859863600665864</v>
          </cell>
          <cell r="Y101">
            <v>0.12353382928316854</v>
          </cell>
          <cell r="Z101">
            <v>0.11945524931751932</v>
          </cell>
          <cell r="AA101">
            <v>0.12732993799507097</v>
          </cell>
          <cell r="AB101">
            <v>0.11936408836657439</v>
          </cell>
          <cell r="AC101">
            <v>0.10559706219945503</v>
          </cell>
          <cell r="AD101">
            <v>0.11650562435425428</v>
          </cell>
          <cell r="AE101">
            <v>0.10012487434416291</v>
          </cell>
          <cell r="AF101">
            <v>9.6490532874726795E-2</v>
          </cell>
          <cell r="AG101">
            <v>9.7756571435332812E-2</v>
          </cell>
          <cell r="AH101">
            <v>9.8145729983809701E-2</v>
          </cell>
          <cell r="AI101">
            <v>9.5830789086569154E-2</v>
          </cell>
          <cell r="AJ101">
            <v>9.1896397090131629E-2</v>
          </cell>
          <cell r="AK101">
            <v>9.1953597785822738E-2</v>
          </cell>
          <cell r="AL101">
            <v>9.3232398502227393E-2</v>
          </cell>
          <cell r="AM101">
            <v>9.4057799496067795E-2</v>
          </cell>
          <cell r="AN101">
            <v>9.3503096527081137E-2</v>
          </cell>
          <cell r="AO101">
            <v>0.10042145273409911</v>
          </cell>
          <cell r="AP101">
            <v>9.259259259259256E-2</v>
          </cell>
          <cell r="AQ101">
            <v>0.10524651313655531</v>
          </cell>
          <cell r="AR101">
            <v>9.8480590853704031E-2</v>
          </cell>
          <cell r="AS101">
            <v>9.0054370269882805E-2</v>
          </cell>
          <cell r="AT101">
            <v>-0.16129032258064513</v>
          </cell>
          <cell r="AU101">
            <v>8.1547823260685076E-2</v>
          </cell>
          <cell r="AV101">
            <v>7.9320157045163348E-2</v>
          </cell>
          <cell r="AW101">
            <v>8.0207846682822062E-2</v>
          </cell>
          <cell r="AX101">
            <v>-0.48499999999999999</v>
          </cell>
          <cell r="AY101">
            <v>8.4396619055819674E-2</v>
          </cell>
          <cell r="AZ101">
            <v>8.4020934424944599E-2</v>
          </cell>
          <cell r="BA101">
            <v>8.6237580466374461E-2</v>
          </cell>
          <cell r="BB101">
            <v>-0.21103716028840813</v>
          </cell>
          <cell r="BC101">
            <v>7.6931928284474038E-2</v>
          </cell>
          <cell r="BD101">
            <v>7.2686784206510077E-2</v>
          </cell>
          <cell r="BE101">
            <v>8.1631370067754061E-2</v>
          </cell>
          <cell r="BF101">
            <v>-5.9322033898305149E-2</v>
          </cell>
        </row>
        <row r="102">
          <cell r="A102" t="str">
            <v xml:space="preserve">TRx + Cardizem LA Price Change </v>
          </cell>
          <cell r="AJ102">
            <v>72.58</v>
          </cell>
          <cell r="AK102">
            <v>76.930000000000007</v>
          </cell>
          <cell r="AM102">
            <v>76.930000000000007</v>
          </cell>
          <cell r="AN102">
            <v>76.930000000000007</v>
          </cell>
          <cell r="AP102">
            <v>1.7838075377326077</v>
          </cell>
          <cell r="AT102">
            <v>0.45080784103526178</v>
          </cell>
          <cell r="AX102">
            <v>0.34470301298981293</v>
          </cell>
          <cell r="BB102">
            <v>0.29134540462320507</v>
          </cell>
          <cell r="BF102">
            <v>0.29367919681527382</v>
          </cell>
        </row>
        <row r="103">
          <cell r="A103" t="str">
            <v>TOTAL CARDIZEM LA SALES (IMS)</v>
          </cell>
          <cell r="U103">
            <v>1.1311999999999999E-2</v>
          </cell>
          <cell r="V103">
            <v>1.1311999999999999E-2</v>
          </cell>
          <cell r="W103">
            <v>1.8216410000000001</v>
          </cell>
          <cell r="X103">
            <v>2.0458970000000001</v>
          </cell>
          <cell r="Y103">
            <v>4.0580939999999996</v>
          </cell>
          <cell r="Z103">
            <v>7.9256320000000002</v>
          </cell>
          <cell r="AA103">
            <v>4.2990510000000004</v>
          </cell>
          <cell r="AB103">
            <v>4.06982</v>
          </cell>
          <cell r="AC103">
            <v>4.9215239999999998</v>
          </cell>
          <cell r="AD103">
            <v>13.290395</v>
          </cell>
          <cell r="AE103">
            <v>3.8048989999999998</v>
          </cell>
          <cell r="AF103">
            <v>4.3845720000000004</v>
          </cell>
          <cell r="AG103">
            <v>5.4855600000000004</v>
          </cell>
          <cell r="AH103">
            <v>13.675031000000001</v>
          </cell>
          <cell r="AI103">
            <v>4.5866119999999997</v>
          </cell>
          <cell r="AJ103">
            <v>5.1143799999999997</v>
          </cell>
          <cell r="AK103">
            <v>6.4744469999999996</v>
          </cell>
          <cell r="AL103">
            <v>16.175438999999997</v>
          </cell>
          <cell r="AM103">
            <v>5.3116640000000004</v>
          </cell>
          <cell r="AN103">
            <v>5.5960270000000003</v>
          </cell>
          <cell r="AO103">
            <v>6.8871789999999997</v>
          </cell>
          <cell r="AP103">
            <v>17.79487</v>
          </cell>
          <cell r="AQ103">
            <v>5.7715339999999999</v>
          </cell>
          <cell r="AR103">
            <v>5.9132699999999998</v>
          </cell>
          <cell r="AS103">
            <v>7.6378899999999996</v>
          </cell>
          <cell r="AT103">
            <v>19.322693999999998</v>
          </cell>
          <cell r="AU103">
            <v>6.24275</v>
          </cell>
          <cell r="AV103">
            <v>6.2382179999999998</v>
          </cell>
          <cell r="AW103">
            <v>7.9150530000000003</v>
          </cell>
          <cell r="AX103">
            <v>20.396021000000001</v>
          </cell>
          <cell r="AY103">
            <v>6.5299680000000002</v>
          </cell>
          <cell r="AZ103">
            <v>6.8555830000000002</v>
          </cell>
          <cell r="BA103">
            <v>8.6075009999999992</v>
          </cell>
          <cell r="BB103">
            <v>21.993051999999999</v>
          </cell>
          <cell r="BC103">
            <v>7.2392390000000004</v>
          </cell>
          <cell r="BD103">
            <v>7.5195949999999998</v>
          </cell>
          <cell r="BE103">
            <v>9.8465779999999992</v>
          </cell>
          <cell r="BF103">
            <v>24.605412000000001</v>
          </cell>
        </row>
        <row r="104">
          <cell r="A104" t="str">
            <v xml:space="preserve">  % Change</v>
          </cell>
          <cell r="Z104">
            <v>21.6</v>
          </cell>
          <cell r="AD104">
            <v>6.2</v>
          </cell>
          <cell r="AH104">
            <v>20</v>
          </cell>
          <cell r="AL104">
            <v>14.423999999999999</v>
          </cell>
          <cell r="AM104">
            <v>1.9158676160670516</v>
          </cell>
          <cell r="AN104">
            <v>1.7352437586056384</v>
          </cell>
          <cell r="AO104">
            <v>0.69714624648911538</v>
          </cell>
          <cell r="AP104">
            <v>1.2452304119091071</v>
          </cell>
          <cell r="AQ104">
            <v>0.3425134989094103</v>
          </cell>
          <cell r="AR104">
            <v>0.45295615039485781</v>
          </cell>
          <cell r="AS104">
            <v>0.55193594504466503</v>
          </cell>
          <cell r="AT104">
            <v>0.4538841020150266</v>
          </cell>
          <cell r="AU104">
            <v>0.64071372196738996</v>
          </cell>
          <cell r="AV104">
            <v>0.42276555157493112</v>
          </cell>
          <cell r="AW104">
            <v>0.44288878437206036</v>
          </cell>
          <cell r="AX104">
            <v>0.49147895898736893</v>
          </cell>
          <cell r="AY104">
            <v>0.42370185226044854</v>
          </cell>
          <cell r="AZ104">
            <v>0.34045241065388199</v>
          </cell>
          <cell r="BA104">
            <v>0.32945732662573346</v>
          </cell>
          <cell r="BB104">
            <v>0.35965719384803108</v>
          </cell>
          <cell r="BC104">
            <v>0.36289475388503489</v>
          </cell>
          <cell r="BD104">
            <v>0.34373815565936328</v>
          </cell>
          <cell r="BE104">
            <v>0.4296968323314958</v>
          </cell>
          <cell r="BF104">
            <v>0.38272502131232211</v>
          </cell>
        </row>
        <row r="105">
          <cell r="A105" t="str">
            <v xml:space="preserve">  % Change</v>
          </cell>
          <cell r="S105">
            <v>-0.22311476459131518</v>
          </cell>
          <cell r="T105">
            <v>-0.21389849252983162</v>
          </cell>
          <cell r="U105">
            <v>-0.19758798278982348</v>
          </cell>
          <cell r="V105">
            <v>-0.21184938838918554</v>
          </cell>
          <cell r="W105">
            <v>-0.2394632211819927</v>
          </cell>
          <cell r="X105">
            <v>-0.21029258787933192</v>
          </cell>
          <cell r="Y105">
            <v>-0.18547501210710948</v>
          </cell>
          <cell r="Z105">
            <v>-0.2130448253748658</v>
          </cell>
          <cell r="AD105">
            <v>-0.23060297603633395</v>
          </cell>
          <cell r="AH105">
            <v>-0.22588835396607065</v>
          </cell>
          <cell r="AL105">
            <v>-0.19744265700161712</v>
          </cell>
          <cell r="AP105">
            <v>9.259259259259256E-2</v>
          </cell>
          <cell r="AT105">
            <v>-0.16129032258064513</v>
          </cell>
          <cell r="AX105">
            <v>-0.48499999999999999</v>
          </cell>
          <cell r="BB105">
            <v>-0.21103716028840813</v>
          </cell>
          <cell r="BF105">
            <v>-0.35737330508474574</v>
          </cell>
        </row>
        <row r="106">
          <cell r="A106" t="str">
            <v xml:space="preserve">REPORTED SALES/TRx CARDIZEM LA </v>
          </cell>
          <cell r="AP106">
            <v>67.73570446567723</v>
          </cell>
          <cell r="AT106">
            <v>14.212426580517496</v>
          </cell>
          <cell r="AX106">
            <v>26.799885515052168</v>
          </cell>
          <cell r="BB106">
            <v>28.346111501347561</v>
          </cell>
          <cell r="BF106">
            <v>51.23305501322367</v>
          </cell>
        </row>
        <row r="107">
          <cell r="A107" t="str">
            <v>IMS SALES/REPORTED SALES</v>
          </cell>
          <cell r="U107">
            <v>1.1311999999999999E-2</v>
          </cell>
          <cell r="V107">
            <v>1.1311999999999999E-2</v>
          </cell>
          <cell r="W107">
            <v>1.8216410000000001</v>
          </cell>
          <cell r="X107">
            <v>2.0458970000000001</v>
          </cell>
          <cell r="Y107">
            <v>4.0580939999999996</v>
          </cell>
          <cell r="Z107">
            <v>7.9256320000000002</v>
          </cell>
          <cell r="AA107">
            <v>4.2990510000000004</v>
          </cell>
          <cell r="AB107">
            <v>4.06982</v>
          </cell>
          <cell r="AC107">
            <v>4.9215239999999998</v>
          </cell>
          <cell r="AD107">
            <v>13.290395</v>
          </cell>
          <cell r="AE107">
            <v>3.8048989999999998</v>
          </cell>
          <cell r="AF107">
            <v>4.3845720000000004</v>
          </cell>
          <cell r="AG107">
            <v>5.4855600000000004</v>
          </cell>
          <cell r="AH107">
            <v>13.675031000000001</v>
          </cell>
          <cell r="AI107">
            <v>4.5866119999999997</v>
          </cell>
          <cell r="AJ107">
            <v>5.1143799999999997</v>
          </cell>
          <cell r="AK107">
            <v>6.4744469999999996</v>
          </cell>
          <cell r="AL107">
            <v>16.175438999999997</v>
          </cell>
          <cell r="AM107">
            <v>5.3116640000000004</v>
          </cell>
          <cell r="AN107">
            <v>5.5960270000000003</v>
          </cell>
          <cell r="AO107">
            <v>6.8871789999999997</v>
          </cell>
          <cell r="AP107">
            <v>0.75401991525423717</v>
          </cell>
          <cell r="AQ107">
            <v>5.7715339999999999</v>
          </cell>
          <cell r="AR107">
            <v>5.9132699999999998</v>
          </cell>
          <cell r="AS107">
            <v>7.6378899999999996</v>
          </cell>
          <cell r="AT107">
            <v>3.7159026923076919</v>
          </cell>
          <cell r="AU107">
            <v>6.24275</v>
          </cell>
          <cell r="AV107">
            <v>6.2382179999999998</v>
          </cell>
          <cell r="AW107">
            <v>7.9150530000000003</v>
          </cell>
          <cell r="AX107">
            <v>1.9801962135922331</v>
          </cell>
          <cell r="AY107">
            <v>6.5299680000000002</v>
          </cell>
          <cell r="AZ107">
            <v>6.8555830000000002</v>
          </cell>
          <cell r="BA107">
            <v>8.6075009999999992</v>
          </cell>
          <cell r="BB107">
            <v>1.9326056239015814</v>
          </cell>
          <cell r="BC107">
            <v>7.2392390000000004</v>
          </cell>
          <cell r="BD107">
            <v>7.5195949999999998</v>
          </cell>
          <cell r="BE107">
            <v>9.8465779999999992</v>
          </cell>
          <cell r="BF107">
            <v>1.108351891891892</v>
          </cell>
        </row>
        <row r="108">
          <cell r="A108" t="str">
            <v xml:space="preserve">  % Change</v>
          </cell>
          <cell r="AM108">
            <v>1.9158676160670516</v>
          </cell>
          <cell r="AN108">
            <v>1.7352437586056384</v>
          </cell>
          <cell r="AO108">
            <v>0.69714624648911538</v>
          </cell>
          <cell r="AP108">
            <v>1.2452304119091071</v>
          </cell>
          <cell r="AQ108">
            <v>0.3425134989094103</v>
          </cell>
          <cell r="AR108">
            <v>0.45295615039485781</v>
          </cell>
          <cell r="AS108">
            <v>0.55193594504466503</v>
          </cell>
          <cell r="AT108">
            <v>0.4538841020150266</v>
          </cell>
          <cell r="AU108">
            <v>0.64071372196738996</v>
          </cell>
          <cell r="AV108">
            <v>0.42276555157493112</v>
          </cell>
          <cell r="AW108">
            <v>0.44288878437206036</v>
          </cell>
          <cell r="AX108">
            <v>0.49147895898736893</v>
          </cell>
          <cell r="AY108">
            <v>0.42370185226044854</v>
          </cell>
          <cell r="AZ108">
            <v>0.34045241065388199</v>
          </cell>
          <cell r="BA108">
            <v>0.32945732662573346</v>
          </cell>
          <cell r="BB108">
            <v>0.35965719384803108</v>
          </cell>
          <cell r="BC108">
            <v>0.36289475388503489</v>
          </cell>
          <cell r="BD108">
            <v>0.34373815565936328</v>
          </cell>
          <cell r="BE108">
            <v>0.4296968323314958</v>
          </cell>
          <cell r="BF108">
            <v>0.38272502131232211</v>
          </cell>
        </row>
        <row r="109">
          <cell r="A109" t="str">
            <v>TEVETEN</v>
          </cell>
        </row>
        <row r="110">
          <cell r="A110" t="str">
            <v>TRx</v>
          </cell>
          <cell r="K110">
            <v>13382</v>
          </cell>
          <cell r="L110">
            <v>13987</v>
          </cell>
          <cell r="M110">
            <v>14751</v>
          </cell>
          <cell r="N110">
            <v>42120</v>
          </cell>
          <cell r="O110">
            <v>17461</v>
          </cell>
          <cell r="P110">
            <v>19315</v>
          </cell>
          <cell r="Q110">
            <v>23335</v>
          </cell>
          <cell r="R110">
            <v>60111</v>
          </cell>
          <cell r="S110">
            <v>24405</v>
          </cell>
          <cell r="T110">
            <v>24680</v>
          </cell>
          <cell r="U110">
            <v>27514</v>
          </cell>
          <cell r="V110">
            <v>76599</v>
          </cell>
          <cell r="W110">
            <v>27437</v>
          </cell>
          <cell r="X110">
            <v>28705</v>
          </cell>
          <cell r="Y110">
            <v>27948</v>
          </cell>
          <cell r="Z110">
            <v>84090</v>
          </cell>
          <cell r="AA110">
            <v>28083</v>
          </cell>
          <cell r="AB110">
            <v>27403</v>
          </cell>
          <cell r="AC110">
            <v>27354</v>
          </cell>
          <cell r="AD110">
            <v>82840</v>
          </cell>
          <cell r="AE110">
            <v>27935</v>
          </cell>
          <cell r="AF110">
            <v>26265</v>
          </cell>
          <cell r="AG110">
            <v>28716</v>
          </cell>
          <cell r="AH110">
            <v>82916</v>
          </cell>
          <cell r="AI110">
            <v>27798</v>
          </cell>
          <cell r="AJ110">
            <v>25674</v>
          </cell>
          <cell r="AK110">
            <v>27571</v>
          </cell>
          <cell r="AL110">
            <v>81043</v>
          </cell>
          <cell r="AM110">
            <v>25901</v>
          </cell>
          <cell r="AN110">
            <v>25166</v>
          </cell>
          <cell r="AO110">
            <v>26365</v>
          </cell>
          <cell r="AP110">
            <v>77432</v>
          </cell>
          <cell r="AQ110">
            <v>26382</v>
          </cell>
          <cell r="AR110">
            <v>26784</v>
          </cell>
          <cell r="AS110">
            <v>26437</v>
          </cell>
          <cell r="AT110">
            <v>79603</v>
          </cell>
          <cell r="AU110">
            <v>27006</v>
          </cell>
          <cell r="AV110">
            <v>27631</v>
          </cell>
          <cell r="AW110">
            <v>28362</v>
          </cell>
          <cell r="AX110">
            <v>82999</v>
          </cell>
          <cell r="AY110">
            <v>28167</v>
          </cell>
          <cell r="AZ110">
            <v>26308</v>
          </cell>
          <cell r="BA110">
            <v>29244</v>
          </cell>
          <cell r="BB110">
            <v>83719</v>
          </cell>
          <cell r="BC110">
            <v>28196</v>
          </cell>
          <cell r="BD110">
            <v>28278</v>
          </cell>
          <cell r="BE110">
            <v>27621</v>
          </cell>
          <cell r="BF110">
            <v>84095</v>
          </cell>
        </row>
        <row r="111">
          <cell r="A111" t="str">
            <v xml:space="preserve">  % Change</v>
          </cell>
          <cell r="AA111">
            <v>1.0985652368853684</v>
          </cell>
          <cell r="AB111">
            <v>0.95917637806534639</v>
          </cell>
          <cell r="AC111">
            <v>0.85438275371161287</v>
          </cell>
          <cell r="AD111">
            <v>0.96676163342830002</v>
          </cell>
          <cell r="AE111">
            <v>0.59985109672985515</v>
          </cell>
          <cell r="AF111">
            <v>0.35982397100698948</v>
          </cell>
          <cell r="AG111">
            <v>0.23059781444182548</v>
          </cell>
          <cell r="AH111">
            <v>0.3793814775997737</v>
          </cell>
          <cell r="AI111">
            <v>0.13902888752304854</v>
          </cell>
          <cell r="AJ111">
            <v>4.0275526742301393E-2</v>
          </cell>
          <cell r="AK111">
            <v>2.0716726030385324E-3</v>
          </cell>
          <cell r="AL111">
            <v>5.8016423190903277E-2</v>
          </cell>
          <cell r="AM111">
            <v>-5.5982796953019665E-2</v>
          </cell>
          <cell r="AN111">
            <v>-0.12328862567496957</v>
          </cell>
          <cell r="AO111">
            <v>-5.6640904536997327E-2</v>
          </cell>
          <cell r="AP111">
            <v>-7.9177072184564157E-2</v>
          </cell>
          <cell r="AQ111">
            <v>-6.0570451874799702E-2</v>
          </cell>
          <cell r="AR111">
            <v>-2.2588767653176633E-2</v>
          </cell>
          <cell r="AS111">
            <v>-3.3523433501498889E-2</v>
          </cell>
          <cell r="AT111">
            <v>-3.9075325929502691E-2</v>
          </cell>
          <cell r="AU111">
            <v>-3.3255772328619981E-2</v>
          </cell>
          <cell r="AV111">
            <v>5.2008376166000403E-2</v>
          </cell>
          <cell r="AW111">
            <v>-1.2327622231508517E-2</v>
          </cell>
          <cell r="AX111">
            <v>1.0010130734718903E-3</v>
          </cell>
          <cell r="AY111">
            <v>1.327433628318575E-2</v>
          </cell>
          <cell r="AZ111">
            <v>2.4694243203240651E-2</v>
          </cell>
          <cell r="BA111">
            <v>6.0679699684450972E-2</v>
          </cell>
          <cell r="BB111">
            <v>3.3019508162333677E-2</v>
          </cell>
          <cell r="BC111">
            <v>8.860661750511567E-2</v>
          </cell>
          <cell r="BD111">
            <v>0.12365890487165232</v>
          </cell>
          <cell r="BE111">
            <v>4.7638915228522594E-2</v>
          </cell>
          <cell r="BF111">
            <v>8.6049695216448008E-2</v>
          </cell>
        </row>
        <row r="112">
          <cell r="A112" t="str">
            <v>NRx</v>
          </cell>
          <cell r="K112">
            <v>4617</v>
          </cell>
          <cell r="L112">
            <v>5237</v>
          </cell>
          <cell r="M112">
            <v>5743</v>
          </cell>
          <cell r="N112">
            <v>15597</v>
          </cell>
          <cell r="O112">
            <v>7251</v>
          </cell>
          <cell r="P112">
            <v>8506</v>
          </cell>
          <cell r="Q112">
            <v>10122</v>
          </cell>
          <cell r="R112">
            <v>25879</v>
          </cell>
          <cell r="S112">
            <v>10284</v>
          </cell>
          <cell r="T112">
            <v>10440</v>
          </cell>
          <cell r="U112">
            <v>11196</v>
          </cell>
          <cell r="V112">
            <v>31920</v>
          </cell>
          <cell r="W112">
            <v>10217</v>
          </cell>
          <cell r="X112">
            <v>10064</v>
          </cell>
          <cell r="Y112">
            <v>9695</v>
          </cell>
          <cell r="Z112">
            <v>29976</v>
          </cell>
          <cell r="AA112">
            <v>9531</v>
          </cell>
          <cell r="AB112">
            <v>9007</v>
          </cell>
          <cell r="AC112">
            <v>9151</v>
          </cell>
          <cell r="AD112">
            <v>27689</v>
          </cell>
          <cell r="AE112">
            <v>9381</v>
          </cell>
          <cell r="AF112">
            <v>8387</v>
          </cell>
          <cell r="AG112">
            <v>9424</v>
          </cell>
          <cell r="AH112">
            <v>27192</v>
          </cell>
          <cell r="AI112">
            <v>9222</v>
          </cell>
          <cell r="AJ112">
            <v>8686</v>
          </cell>
          <cell r="AK112">
            <v>9262</v>
          </cell>
          <cell r="AL112">
            <v>27170</v>
          </cell>
          <cell r="AM112">
            <v>8487</v>
          </cell>
          <cell r="AN112">
            <v>7723</v>
          </cell>
          <cell r="AO112">
            <v>8428</v>
          </cell>
          <cell r="AP112">
            <v>24638</v>
          </cell>
          <cell r="AQ112">
            <v>8291</v>
          </cell>
          <cell r="AR112">
            <v>8804</v>
          </cell>
          <cell r="AS112">
            <v>9068</v>
          </cell>
          <cell r="AT112">
            <v>26163</v>
          </cell>
          <cell r="AU112">
            <v>9271</v>
          </cell>
          <cell r="AV112">
            <v>9282</v>
          </cell>
          <cell r="AW112">
            <v>9654</v>
          </cell>
          <cell r="AX112">
            <v>28207</v>
          </cell>
          <cell r="AY112">
            <v>9437</v>
          </cell>
          <cell r="AZ112">
            <v>8947</v>
          </cell>
          <cell r="BA112">
            <v>9991</v>
          </cell>
          <cell r="BB112">
            <v>28375</v>
          </cell>
          <cell r="BC112">
            <v>9194</v>
          </cell>
          <cell r="BD112">
            <v>8594</v>
          </cell>
          <cell r="BE112">
            <v>8331</v>
          </cell>
          <cell r="BF112">
            <v>26119</v>
          </cell>
        </row>
        <row r="113">
          <cell r="A113" t="str">
            <v xml:space="preserve">  % Change</v>
          </cell>
          <cell r="AA113">
            <v>1.064327485380117</v>
          </cell>
          <cell r="AB113">
            <v>0.71987779262936802</v>
          </cell>
          <cell r="AC113">
            <v>0.59341807417725922</v>
          </cell>
          <cell r="AD113">
            <v>0.7752772969160735</v>
          </cell>
          <cell r="AE113">
            <v>0.29375258585022745</v>
          </cell>
          <cell r="AF113">
            <v>-1.399012461791671E-2</v>
          </cell>
          <cell r="AG113">
            <v>-6.8958703813475575E-2</v>
          </cell>
          <cell r="AH113">
            <v>5.0736118088025028E-2</v>
          </cell>
          <cell r="AI113">
            <v>-0.10326721120186699</v>
          </cell>
          <cell r="AJ113">
            <v>-0.16800766283524904</v>
          </cell>
          <cell r="AK113">
            <v>-0.17274026438013579</v>
          </cell>
          <cell r="AL113">
            <v>-0.14880952380952384</v>
          </cell>
          <cell r="AM113">
            <v>-0.1693256337476754</v>
          </cell>
          <cell r="AN113">
            <v>-0.23261128775834661</v>
          </cell>
          <cell r="AO113">
            <v>-0.1306859205776173</v>
          </cell>
          <cell r="AP113">
            <v>-0.17807579396850814</v>
          </cell>
          <cell r="AQ113">
            <v>-0.13010177316126326</v>
          </cell>
          <cell r="AR113">
            <v>-2.2538025979793486E-2</v>
          </cell>
          <cell r="AS113">
            <v>-9.0700469894000602E-3</v>
          </cell>
          <cell r="AT113">
            <v>-5.5112138394308174E-2</v>
          </cell>
          <cell r="AU113">
            <v>-1.1725828802899518E-2</v>
          </cell>
          <cell r="AV113">
            <v>0.10671276976272792</v>
          </cell>
          <cell r="AW113">
            <v>2.4405772495755595E-2</v>
          </cell>
          <cell r="AX113">
            <v>3.7327155045601579E-2</v>
          </cell>
          <cell r="AY113">
            <v>2.3313814790717924E-2</v>
          </cell>
          <cell r="AZ113">
            <v>3.0048353672576633E-2</v>
          </cell>
          <cell r="BA113">
            <v>7.8708702224141724E-2</v>
          </cell>
          <cell r="BB113">
            <v>4.4350386455649593E-2</v>
          </cell>
          <cell r="BC113">
            <v>8.3303876517025977E-2</v>
          </cell>
          <cell r="BD113">
            <v>0.11278000776900177</v>
          </cell>
          <cell r="BE113">
            <v>-1.150925486473664E-2</v>
          </cell>
          <cell r="BF113">
            <v>6.0110398571312507E-2</v>
          </cell>
        </row>
        <row r="114">
          <cell r="A114" t="str">
            <v>Total Market-31140</v>
          </cell>
          <cell r="K114">
            <v>4160274</v>
          </cell>
          <cell r="L114">
            <v>4138859</v>
          </cell>
          <cell r="M114">
            <v>4018200</v>
          </cell>
          <cell r="N114">
            <v>12317333</v>
          </cell>
          <cell r="O114">
            <v>4311439</v>
          </cell>
          <cell r="P114">
            <v>4190191</v>
          </cell>
          <cell r="Q114">
            <v>4562736</v>
          </cell>
          <cell r="R114">
            <v>13064366</v>
          </cell>
          <cell r="S114">
            <v>4529309</v>
          </cell>
          <cell r="T114">
            <v>4183698</v>
          </cell>
          <cell r="U114">
            <v>4616678</v>
          </cell>
          <cell r="V114">
            <v>13329685</v>
          </cell>
          <cell r="W114">
            <v>4569913</v>
          </cell>
          <cell r="X114">
            <v>4761928</v>
          </cell>
          <cell r="Y114">
            <v>4719979</v>
          </cell>
          <cell r="Z114">
            <v>14051820</v>
          </cell>
          <cell r="AA114">
            <v>4914807</v>
          </cell>
          <cell r="AB114">
            <v>4828960</v>
          </cell>
          <cell r="AC114">
            <v>4900687</v>
          </cell>
          <cell r="AD114">
            <v>14644454</v>
          </cell>
          <cell r="AE114">
            <v>5151561</v>
          </cell>
          <cell r="AF114">
            <v>4860767</v>
          </cell>
          <cell r="AG114">
            <v>5474931</v>
          </cell>
          <cell r="AH114">
            <v>15487259</v>
          </cell>
          <cell r="AI114">
            <v>5334343</v>
          </cell>
          <cell r="AJ114">
            <v>5014428</v>
          </cell>
          <cell r="AK114">
            <v>5603265</v>
          </cell>
          <cell r="AL114">
            <v>15952036</v>
          </cell>
          <cell r="AM114">
            <v>5408997</v>
          </cell>
          <cell r="AN114">
            <v>5402381</v>
          </cell>
          <cell r="AO114">
            <v>5682657</v>
          </cell>
          <cell r="AP114">
            <v>16494035</v>
          </cell>
          <cell r="AQ114">
            <v>5690817</v>
          </cell>
          <cell r="AR114">
            <v>5778073</v>
          </cell>
          <cell r="AS114">
            <v>5689962</v>
          </cell>
          <cell r="AT114">
            <v>17158852</v>
          </cell>
          <cell r="AU114">
            <v>5778800</v>
          </cell>
          <cell r="AV114">
            <v>5845883</v>
          </cell>
          <cell r="AW114">
            <v>6101963</v>
          </cell>
          <cell r="AX114">
            <v>17726646</v>
          </cell>
          <cell r="AY114">
            <v>5994682</v>
          </cell>
          <cell r="AZ114">
            <v>5522207</v>
          </cell>
          <cell r="BA114">
            <v>6178234</v>
          </cell>
          <cell r="BB114">
            <v>17695123</v>
          </cell>
          <cell r="BC114">
            <v>5994489</v>
          </cell>
          <cell r="BD114">
            <v>6186092</v>
          </cell>
          <cell r="BE114">
            <v>6182920</v>
          </cell>
          <cell r="BF114">
            <v>18363501</v>
          </cell>
        </row>
        <row r="115">
          <cell r="A115" t="str">
            <v>New Market-31140</v>
          </cell>
          <cell r="K115">
            <v>1304205</v>
          </cell>
          <cell r="L115">
            <v>1274585</v>
          </cell>
          <cell r="M115">
            <v>1221796</v>
          </cell>
          <cell r="N115">
            <v>3800586</v>
          </cell>
          <cell r="O115">
            <v>1346272</v>
          </cell>
          <cell r="P115">
            <v>1298529</v>
          </cell>
          <cell r="Q115">
            <v>1400585</v>
          </cell>
          <cell r="R115">
            <v>4045386</v>
          </cell>
          <cell r="S115">
            <v>1476324</v>
          </cell>
          <cell r="T115">
            <v>1362094</v>
          </cell>
          <cell r="U115">
            <v>1472487</v>
          </cell>
          <cell r="V115">
            <v>4310905</v>
          </cell>
          <cell r="W115">
            <v>1437587</v>
          </cell>
          <cell r="X115">
            <v>1488473</v>
          </cell>
          <cell r="Y115">
            <v>1473956</v>
          </cell>
          <cell r="Z115">
            <v>4400016</v>
          </cell>
          <cell r="AA115">
            <v>1523411</v>
          </cell>
          <cell r="AB115">
            <v>1454308</v>
          </cell>
          <cell r="AC115">
            <v>1499223</v>
          </cell>
          <cell r="AD115">
            <v>4476942</v>
          </cell>
          <cell r="AE115">
            <v>1612473</v>
          </cell>
          <cell r="AF115">
            <v>1483496</v>
          </cell>
          <cell r="AG115">
            <v>1673972</v>
          </cell>
          <cell r="AH115">
            <v>4769941</v>
          </cell>
          <cell r="AI115">
            <v>1677232</v>
          </cell>
          <cell r="AJ115">
            <v>1609736</v>
          </cell>
          <cell r="AK115">
            <v>1802025</v>
          </cell>
          <cell r="AL115">
            <v>5088993</v>
          </cell>
          <cell r="AM115">
            <v>1720040</v>
          </cell>
          <cell r="AN115">
            <v>1694980</v>
          </cell>
          <cell r="AO115">
            <v>1777241</v>
          </cell>
          <cell r="AP115">
            <v>5192261</v>
          </cell>
          <cell r="AQ115">
            <v>1742596</v>
          </cell>
          <cell r="AR115">
            <v>1754480</v>
          </cell>
          <cell r="AS115">
            <v>1747433</v>
          </cell>
          <cell r="AT115">
            <v>5244509</v>
          </cell>
          <cell r="AU115">
            <v>1774072</v>
          </cell>
          <cell r="AV115">
            <v>1815172</v>
          </cell>
          <cell r="AW115">
            <v>1880618</v>
          </cell>
          <cell r="AX115">
            <v>5469862</v>
          </cell>
          <cell r="AY115">
            <v>1942014</v>
          </cell>
          <cell r="AZ115">
            <v>1796000</v>
          </cell>
          <cell r="BA115">
            <v>1993491</v>
          </cell>
          <cell r="BB115">
            <v>5731505</v>
          </cell>
          <cell r="BC115">
            <v>1890770</v>
          </cell>
          <cell r="BD115">
            <v>1916936</v>
          </cell>
          <cell r="BE115">
            <v>1911263</v>
          </cell>
          <cell r="BF115">
            <v>5718969</v>
          </cell>
        </row>
        <row r="116">
          <cell r="A116" t="str">
            <v>TRx Market Growth</v>
          </cell>
          <cell r="K116">
            <v>4617</v>
          </cell>
          <cell r="L116">
            <v>5237</v>
          </cell>
          <cell r="M116">
            <v>5743</v>
          </cell>
          <cell r="N116">
            <v>15597</v>
          </cell>
          <cell r="O116">
            <v>7251</v>
          </cell>
          <cell r="P116">
            <v>8506</v>
          </cell>
          <cell r="Q116">
            <v>10122</v>
          </cell>
          <cell r="R116">
            <v>25879</v>
          </cell>
          <cell r="S116">
            <v>10284</v>
          </cell>
          <cell r="T116">
            <v>10440</v>
          </cell>
          <cell r="U116">
            <v>11196</v>
          </cell>
          <cell r="V116">
            <v>31920</v>
          </cell>
          <cell r="W116">
            <v>10217</v>
          </cell>
          <cell r="X116">
            <v>10064</v>
          </cell>
          <cell r="Y116">
            <v>9695</v>
          </cell>
          <cell r="Z116">
            <v>29976</v>
          </cell>
          <cell r="AA116">
            <v>0.18136617924684773</v>
          </cell>
          <cell r="AB116">
            <v>0.16673701616798242</v>
          </cell>
          <cell r="AC116">
            <v>0.21962246777163896</v>
          </cell>
          <cell r="AD116">
            <v>0.18893059073745921</v>
          </cell>
          <cell r="AE116">
            <v>0.19485883947331728</v>
          </cell>
          <cell r="AF116">
            <v>0.16003470963495459</v>
          </cell>
          <cell r="AG116">
            <v>0.19992280947221142</v>
          </cell>
          <cell r="AH116">
            <v>0.18545813857327631</v>
          </cell>
          <cell r="AI116">
            <v>0.17773881181434081</v>
          </cell>
          <cell r="AJ116">
            <v>0.19856356744678982</v>
          </cell>
          <cell r="AK116">
            <v>0.21370063062661071</v>
          </cell>
          <cell r="AL116">
            <v>0.19673015528874083</v>
          </cell>
          <cell r="AM116">
            <v>0.18361049761778836</v>
          </cell>
          <cell r="AN116">
            <v>0.13449447366696843</v>
          </cell>
          <cell r="AO116">
            <v>0.20395811083057791</v>
          </cell>
          <cell r="AP116">
            <v>0.17380061799823787</v>
          </cell>
          <cell r="AQ116">
            <v>0.15789226311429938</v>
          </cell>
          <cell r="AR116">
            <v>0.19654604718200197</v>
          </cell>
          <cell r="AS116">
            <v>0.16105395019106505</v>
          </cell>
          <cell r="AT116">
            <v>0.17169626126040627</v>
          </cell>
          <cell r="AU116">
            <v>0.12175707518556034</v>
          </cell>
          <cell r="AV116">
            <v>0.20266678077760147</v>
          </cell>
          <cell r="AW116">
            <v>0.11452783605857308</v>
          </cell>
          <cell r="AX116">
            <v>0.14459543809527564</v>
          </cell>
          <cell r="AY116">
            <v>0.12379012748149121</v>
          </cell>
          <cell r="AZ116">
            <v>0.10126359377380623</v>
          </cell>
          <cell r="BA116">
            <v>0.10261320854894418</v>
          </cell>
          <cell r="BB116">
            <v>0.10927050315082032</v>
          </cell>
          <cell r="BC116">
            <v>0.10824409775047017</v>
          </cell>
          <cell r="BD116">
            <v>0.14506770255559531</v>
          </cell>
          <cell r="BE116">
            <v>8.8033291469113761E-2</v>
          </cell>
          <cell r="BF116">
            <v>0.11334194452721857</v>
          </cell>
        </row>
        <row r="117">
          <cell r="A117" t="str">
            <v>NRx Market Growth</v>
          </cell>
          <cell r="AA117">
            <v>0.16807633769231067</v>
          </cell>
          <cell r="AB117">
            <v>0.14100511146765426</v>
          </cell>
          <cell r="AC117">
            <v>0.22706491099987236</v>
          </cell>
          <cell r="AD117">
            <v>0.17796097759661267</v>
          </cell>
          <cell r="AE117">
            <v>0.19773195906919261</v>
          </cell>
          <cell r="AF117">
            <v>0.14244348797755002</v>
          </cell>
          <cell r="AG117">
            <v>0.19519486500283811</v>
          </cell>
          <cell r="AH117">
            <v>0.17910651789470777</v>
          </cell>
          <cell r="AI117">
            <v>0.13608665848418089</v>
          </cell>
          <cell r="AJ117">
            <v>0.18180977230646334</v>
          </cell>
          <cell r="AK117">
            <v>0.223796882417298</v>
          </cell>
          <cell r="AL117">
            <v>0.18049295913503083</v>
          </cell>
          <cell r="AM117">
            <v>0.19647715233930185</v>
          </cell>
          <cell r="AN117">
            <v>0.13873748465709479</v>
          </cell>
          <cell r="AO117">
            <v>0.20576258721427232</v>
          </cell>
          <cell r="AP117">
            <v>0.18005502707262888</v>
          </cell>
          <cell r="AQ117">
            <v>0.14387778478690261</v>
          </cell>
          <cell r="AR117">
            <v>0.20640194511754051</v>
          </cell>
          <cell r="AS117">
            <v>0.16555909294347804</v>
          </cell>
          <cell r="AT117">
            <v>0.17144894885839479</v>
          </cell>
          <cell r="AU117">
            <v>0.1002181121792427</v>
          </cell>
          <cell r="AV117">
            <v>0.22357727961517937</v>
          </cell>
          <cell r="AW117">
            <v>0.12344650926060896</v>
          </cell>
          <cell r="AX117">
            <v>0.14673577723498044</v>
          </cell>
          <cell r="AY117">
            <v>0.15786844038272574</v>
          </cell>
          <cell r="AZ117">
            <v>0.11571089917849875</v>
          </cell>
          <cell r="BA117">
            <v>0.1062504682232488</v>
          </cell>
          <cell r="BB117">
            <v>0.12625523359926016</v>
          </cell>
          <cell r="BC117">
            <v>9.9259319550708103E-2</v>
          </cell>
          <cell r="BD117">
            <v>0.13094903774675815</v>
          </cell>
          <cell r="BE117">
            <v>7.5410144150399372E-2</v>
          </cell>
          <cell r="BF117">
            <v>0.10144097147658804</v>
          </cell>
        </row>
        <row r="118">
          <cell r="A118" t="str">
            <v>TRx Market Share</v>
          </cell>
          <cell r="K118">
            <v>3.2166150594888704E-3</v>
          </cell>
          <cell r="L118">
            <v>3.3794338004749618E-3</v>
          </cell>
          <cell r="M118">
            <v>3.6710467373450798E-3</v>
          </cell>
          <cell r="N118">
            <v>3.4195714283278694E-3</v>
          </cell>
          <cell r="O118">
            <v>4.049923934908971E-3</v>
          </cell>
          <cell r="P118">
            <v>4.6095750766492506E-3</v>
          </cell>
          <cell r="Q118">
            <v>5.1142560077988295E-3</v>
          </cell>
          <cell r="R118">
            <v>4.6011417622562013E-3</v>
          </cell>
          <cell r="S118">
            <v>5.3882391331657878E-3</v>
          </cell>
          <cell r="T118">
            <v>5.899087362424343E-3</v>
          </cell>
          <cell r="U118">
            <v>5.959696561033713E-3</v>
          </cell>
          <cell r="V118">
            <v>5.7464973853470656E-3</v>
          </cell>
          <cell r="W118">
            <v>6.0038342086599899E-3</v>
          </cell>
          <cell r="X118">
            <v>6.0280205832595538E-3</v>
          </cell>
          <cell r="Y118">
            <v>5.9212127850568827E-3</v>
          </cell>
          <cell r="Z118">
            <v>5.9842781931450876E-3</v>
          </cell>
          <cell r="AA118">
            <v>5.7139578420882043E-3</v>
          </cell>
          <cell r="AB118">
            <v>5.6747208508664392E-3</v>
          </cell>
          <cell r="AC118">
            <v>5.5816664071792381E-3</v>
          </cell>
          <cell r="AD118">
            <v>5.6567489644885364E-3</v>
          </cell>
          <cell r="AE118">
            <v>5.4226282091971731E-3</v>
          </cell>
          <cell r="AF118">
            <v>5.4034682180816316E-3</v>
          </cell>
          <cell r="AG118">
            <v>5.2449976081890351E-3</v>
          </cell>
          <cell r="AH118">
            <v>5.3538201950390314E-3</v>
          </cell>
          <cell r="AI118">
            <v>5.2111384663490893E-3</v>
          </cell>
          <cell r="AJ118">
            <v>5.1200256539728961E-3</v>
          </cell>
          <cell r="AK118">
            <v>4.9205240159085816E-3</v>
          </cell>
          <cell r="AL118">
            <v>5.0804173210240999E-3</v>
          </cell>
          <cell r="AM118">
            <v>4.7885033029228894E-3</v>
          </cell>
          <cell r="AN118">
            <v>4.6583163978993706E-3</v>
          </cell>
          <cell r="AO118">
            <v>4.6395550532083848E-3</v>
          </cell>
          <cell r="AP118">
            <v>4.6945456342247366E-3</v>
          </cell>
          <cell r="AQ118">
            <v>4.6358897149565695E-3</v>
          </cell>
          <cell r="AR118">
            <v>4.6354554537472959E-3</v>
          </cell>
          <cell r="AS118">
            <v>4.6462524705788892E-3</v>
          </cell>
          <cell r="AT118">
            <v>4.6391798239182897E-3</v>
          </cell>
          <cell r="AU118">
            <v>4.6732885720218728E-3</v>
          </cell>
          <cell r="AV118">
            <v>4.7265742403671098E-3</v>
          </cell>
          <cell r="AW118">
            <v>4.6480124510751702E-3</v>
          </cell>
          <cell r="AX118">
            <v>4.6821604041734684E-3</v>
          </cell>
          <cell r="AY118">
            <v>4.6986645830421033E-3</v>
          </cell>
          <cell r="AZ118">
            <v>4.7640372771248886E-3</v>
          </cell>
          <cell r="BA118">
            <v>4.7333914513435389E-3</v>
          </cell>
          <cell r="BB118">
            <v>4.7311906224104796E-3</v>
          </cell>
          <cell r="BC118">
            <v>4.7036536392009391E-3</v>
          </cell>
          <cell r="BD118">
            <v>4.571222025149319E-3</v>
          </cell>
          <cell r="BE118">
            <v>4.4673067094511982E-3</v>
          </cell>
          <cell r="BF118">
            <v>4.5794644496166608E-3</v>
          </cell>
        </row>
        <row r="119">
          <cell r="A119" t="str">
            <v>NRx Market Share</v>
          </cell>
          <cell r="K119">
            <v>3.5400876395965358E-3</v>
          </cell>
          <cell r="L119">
            <v>4.1087883507180765E-3</v>
          </cell>
          <cell r="M119">
            <v>4.700457359493729E-3</v>
          </cell>
          <cell r="N119">
            <v>4.1038408287564073E-3</v>
          </cell>
          <cell r="O119">
            <v>5.3859844073114501E-3</v>
          </cell>
          <cell r="P119">
            <v>6.5504890533827119E-3</v>
          </cell>
          <cell r="Q119">
            <v>7.2269801547210633E-3</v>
          </cell>
          <cell r="R119">
            <v>6.3971645721817398E-3</v>
          </cell>
          <cell r="S119">
            <v>6.9659505636973998E-3</v>
          </cell>
          <cell r="T119">
            <v>7.6646692519018508E-3</v>
          </cell>
          <cell r="U119">
            <v>7.6034627130833754E-3</v>
          </cell>
          <cell r="V119">
            <v>7.4044777140762786E-3</v>
          </cell>
          <cell r="W119">
            <v>7.1070481299566569E-3</v>
          </cell>
          <cell r="X119">
            <v>6.7612916055581791E-3</v>
          </cell>
          <cell r="Y119">
            <v>6.5775369142633839E-3</v>
          </cell>
          <cell r="Z119">
            <v>6.8127024992636395E-3</v>
          </cell>
          <cell r="AA119">
            <v>6.2563549823389745E-3</v>
          </cell>
          <cell r="AB119">
            <v>6.1933235600711819E-3</v>
          </cell>
          <cell r="AC119">
            <v>6.1038284498036652E-3</v>
          </cell>
          <cell r="AD119">
            <v>6.1848020367474051E-3</v>
          </cell>
          <cell r="AE119">
            <v>5.8177718324585901E-3</v>
          </cell>
          <cell r="AF119">
            <v>5.6535373199523287E-3</v>
          </cell>
          <cell r="AG119">
            <v>5.6297237946632325E-3</v>
          </cell>
          <cell r="AH119">
            <v>5.7006994426136506E-3</v>
          </cell>
          <cell r="AI119">
            <v>5.4983448920602517E-3</v>
          </cell>
          <cell r="AJ119">
            <v>5.3959158520403344E-3</v>
          </cell>
          <cell r="AK119">
            <v>5.1397733105811513E-3</v>
          </cell>
          <cell r="AL119">
            <v>5.3389737419564142E-3</v>
          </cell>
          <cell r="AM119">
            <v>4.9341875770330919E-3</v>
          </cell>
          <cell r="AN119">
            <v>4.5563959456748756E-3</v>
          </cell>
          <cell r="AO119">
            <v>4.7421818425300785E-3</v>
          </cell>
          <cell r="AP119">
            <v>4.7451389673978253E-3</v>
          </cell>
          <cell r="AQ119">
            <v>4.7578440441731762E-3</v>
          </cell>
          <cell r="AR119">
            <v>5.0180110346085454E-3</v>
          </cell>
          <cell r="AS119">
            <v>5.1893262860435848E-3</v>
          </cell>
          <cell r="AT119">
            <v>4.9886462202658058E-3</v>
          </cell>
          <cell r="AU119">
            <v>5.2258307441862559E-3</v>
          </cell>
          <cell r="AV119">
            <v>5.1135649954935402E-3</v>
          </cell>
          <cell r="AW119">
            <v>5.1334189080398038E-3</v>
          </cell>
          <cell r="AX119">
            <v>5.1568028590117995E-3</v>
          </cell>
          <cell r="AY119">
            <v>4.859388243339131E-3</v>
          </cell>
          <cell r="AZ119">
            <v>4.9816258351893091E-3</v>
          </cell>
          <cell r="BA119">
            <v>5.011810938699999E-3</v>
          </cell>
          <cell r="BB119">
            <v>4.9507066643054484E-3</v>
          </cell>
          <cell r="BC119">
            <v>4.8625692178318886E-3</v>
          </cell>
          <cell r="BD119">
            <v>4.4831961004436248E-3</v>
          </cell>
          <cell r="BE119">
            <v>4.3588977550447008E-3</v>
          </cell>
          <cell r="BF119">
            <v>4.5670819338240864E-3</v>
          </cell>
        </row>
        <row r="120">
          <cell r="A120" t="str">
            <v>Sales (IMS)</v>
          </cell>
          <cell r="K120">
            <v>0.633328</v>
          </cell>
          <cell r="L120">
            <v>0.65240900000000002</v>
          </cell>
          <cell r="M120">
            <v>0.91699600000000003</v>
          </cell>
          <cell r="N120">
            <v>2.2027330000000003</v>
          </cell>
          <cell r="O120">
            <v>1.1638820000000001</v>
          </cell>
          <cell r="P120">
            <v>1.345566</v>
          </cell>
          <cell r="Q120">
            <v>1.2606740000000001</v>
          </cell>
          <cell r="R120">
            <v>3.7701220000000002</v>
          </cell>
          <cell r="S120">
            <v>1.0945769999999999</v>
          </cell>
          <cell r="T120">
            <v>1.1442289999999999</v>
          </cell>
          <cell r="U120">
            <v>1.4757579999999999</v>
          </cell>
          <cell r="V120">
            <v>3.7145640000000002</v>
          </cell>
          <cell r="W120">
            <v>1.1380330000000001</v>
          </cell>
          <cell r="X120">
            <v>1.1521159999999999</v>
          </cell>
          <cell r="Y120">
            <v>1.5005660000000001</v>
          </cell>
          <cell r="Z120">
            <v>3.7907150000000001</v>
          </cell>
          <cell r="AA120">
            <v>1.162941</v>
          </cell>
          <cell r="AB120">
            <v>1.220798</v>
          </cell>
          <cell r="AC120">
            <v>1.507004</v>
          </cell>
          <cell r="AD120">
            <v>3.8907430000000001</v>
          </cell>
          <cell r="AE120">
            <v>1.1875830000000001</v>
          </cell>
          <cell r="AF120">
            <v>1.1918690000000001</v>
          </cell>
          <cell r="AG120">
            <v>1.4800450000000001</v>
          </cell>
          <cell r="AH120">
            <v>3.8594970000000002</v>
          </cell>
          <cell r="AI120">
            <v>1.239171</v>
          </cell>
          <cell r="AJ120">
            <v>1.2018899999999999</v>
          </cell>
          <cell r="AK120">
            <v>1.5495749999999999</v>
          </cell>
          <cell r="AL120">
            <v>3.9906359999999994</v>
          </cell>
          <cell r="AM120">
            <v>1.2459089999999999</v>
          </cell>
          <cell r="AN120">
            <v>1.2617069999999999</v>
          </cell>
          <cell r="AO120">
            <v>1.5163420000000001</v>
          </cell>
          <cell r="AP120">
            <v>4.0239580000000004</v>
          </cell>
          <cell r="AQ120">
            <v>1.2120420000000001</v>
          </cell>
          <cell r="AR120">
            <v>1.235787</v>
          </cell>
          <cell r="AS120">
            <v>1.55033</v>
          </cell>
          <cell r="AT120">
            <v>3.9981590000000002</v>
          </cell>
          <cell r="AU120">
            <v>1.262653</v>
          </cell>
          <cell r="AV120">
            <v>1.293215</v>
          </cell>
          <cell r="AW120">
            <v>1.634039</v>
          </cell>
          <cell r="AX120">
            <v>4.1899069999999998</v>
          </cell>
          <cell r="AY120">
            <v>1.3802650000000001</v>
          </cell>
          <cell r="AZ120">
            <v>1.366493</v>
          </cell>
          <cell r="BA120">
            <v>1.7374750000000001</v>
          </cell>
          <cell r="BB120">
            <v>4.4842329999999997</v>
          </cell>
          <cell r="BC120">
            <v>1.4444779999999999</v>
          </cell>
          <cell r="BD120">
            <v>1.4507650000000001</v>
          </cell>
          <cell r="BE120">
            <v>1.901435</v>
          </cell>
          <cell r="BF120">
            <v>4.796678</v>
          </cell>
        </row>
        <row r="121">
          <cell r="A121" t="str">
            <v xml:space="preserve">  % Change</v>
          </cell>
          <cell r="AA121">
            <v>0.83623809463658638</v>
          </cell>
          <cell r="AB121">
            <v>0.87121575576057353</v>
          </cell>
          <cell r="AC121">
            <v>0.64341392983175494</v>
          </cell>
          <cell r="AD121">
            <v>0.76632528772211583</v>
          </cell>
          <cell r="AE121">
            <v>2.0363748215025179E-2</v>
          </cell>
          <cell r="AF121">
            <v>-0.11422479462174284</v>
          </cell>
          <cell r="AG121">
            <v>0.17401088624021743</v>
          </cell>
          <cell r="AH121">
            <v>2.3706129403769927E-2</v>
          </cell>
          <cell r="AI121">
            <v>0.13210034561296302</v>
          </cell>
          <cell r="AJ121">
            <v>5.0392884641098812E-2</v>
          </cell>
          <cell r="AK121">
            <v>5.0019718680162972E-2</v>
          </cell>
          <cell r="AL121">
            <v>7.4321508526976388E-2</v>
          </cell>
          <cell r="AM121">
            <v>9.4791627307819537E-2</v>
          </cell>
          <cell r="AN121">
            <v>9.5121498182474618E-2</v>
          </cell>
          <cell r="AO121">
            <v>1.0513366289786719E-2</v>
          </cell>
          <cell r="AP121">
            <v>6.1530080736747594E-2</v>
          </cell>
          <cell r="AQ121">
            <v>4.2221402461517954E-2</v>
          </cell>
          <cell r="AR121">
            <v>1.2278034531511217E-2</v>
          </cell>
          <cell r="AS121">
            <v>2.874975779759037E-2</v>
          </cell>
          <cell r="AT121">
            <v>2.7608094392253646E-2</v>
          </cell>
          <cell r="AU121">
            <v>6.3212423889530189E-2</v>
          </cell>
          <cell r="AV121">
            <v>8.5031156947617426E-2</v>
          </cell>
          <cell r="AW121">
            <v>0.10404683641375767</v>
          </cell>
          <cell r="AX121">
            <v>8.5609601458428219E-2</v>
          </cell>
          <cell r="AY121">
            <v>0.11386160586392036</v>
          </cell>
          <cell r="AZ121">
            <v>0.13695346495935579</v>
          </cell>
          <cell r="BA121">
            <v>0.12125905490215061</v>
          </cell>
          <cell r="BB121">
            <v>0.12368880549366068</v>
          </cell>
          <cell r="BC121">
            <v>0.15937680841859247</v>
          </cell>
          <cell r="BD121">
            <v>0.14984303011713518</v>
          </cell>
          <cell r="BE121">
            <v>0.25396183710534959</v>
          </cell>
          <cell r="BF121">
            <v>0.19202983728955414</v>
          </cell>
        </row>
        <row r="122">
          <cell r="A122" t="str">
            <v>Price Change (YoY)</v>
          </cell>
          <cell r="K122">
            <v>3.2166150594888704E-3</v>
          </cell>
          <cell r="L122">
            <v>3.3794338004749618E-3</v>
          </cell>
          <cell r="M122">
            <v>3.6710467373450798E-3</v>
          </cell>
          <cell r="N122">
            <v>3.4195714283278694E-3</v>
          </cell>
          <cell r="O122">
            <v>4.049923934908971E-3</v>
          </cell>
          <cell r="P122">
            <v>4.6095750766492506E-3</v>
          </cell>
          <cell r="Q122">
            <v>5.1142560077988295E-3</v>
          </cell>
          <cell r="R122">
            <v>4.6011417622562013E-3</v>
          </cell>
          <cell r="S122">
            <v>5.3882391331657878E-3</v>
          </cell>
          <cell r="T122">
            <v>5.899087362424343E-3</v>
          </cell>
          <cell r="U122">
            <v>5.959696561033713E-3</v>
          </cell>
          <cell r="V122">
            <v>5.7464973853470656E-3</v>
          </cell>
          <cell r="W122">
            <v>6.0038342086599899E-3</v>
          </cell>
          <cell r="X122">
            <v>6.0280205832595538E-3</v>
          </cell>
          <cell r="Y122">
            <v>5.9212127850568827E-3</v>
          </cell>
          <cell r="Z122">
            <v>5.9842781931450876E-3</v>
          </cell>
          <cell r="AA122">
            <v>5.7139578420882043E-3</v>
          </cell>
          <cell r="AB122">
            <v>0.05</v>
          </cell>
          <cell r="AC122">
            <v>5.5816664071792381E-3</v>
          </cell>
          <cell r="AD122">
            <v>0.05</v>
          </cell>
          <cell r="AE122">
            <v>5.4226282091971731E-3</v>
          </cell>
          <cell r="AF122">
            <v>5.4034682180816316E-3</v>
          </cell>
          <cell r="AG122">
            <v>5.2449976081890351E-3</v>
          </cell>
          <cell r="AH122">
            <v>0.05</v>
          </cell>
          <cell r="AI122">
            <v>5.2111384663490893E-3</v>
          </cell>
          <cell r="AJ122">
            <v>5.1200256539728961E-3</v>
          </cell>
          <cell r="AK122">
            <v>4.9205240159085816E-3</v>
          </cell>
          <cell r="AL122">
            <v>0.05</v>
          </cell>
          <cell r="AM122">
            <v>4.7885033029228894E-3</v>
          </cell>
          <cell r="AN122">
            <v>4.6583163978993706E-3</v>
          </cell>
          <cell r="AO122">
            <v>4.6395550532083848E-3</v>
          </cell>
          <cell r="AP122">
            <v>0.05</v>
          </cell>
          <cell r="AQ122">
            <v>4.6358897149565695E-3</v>
          </cell>
          <cell r="AR122">
            <v>4.6354554537472959E-3</v>
          </cell>
          <cell r="AS122">
            <v>4.6462524705788892E-3</v>
          </cell>
          <cell r="AT122">
            <v>0</v>
          </cell>
          <cell r="AU122">
            <v>4.6732885720218728E-3</v>
          </cell>
          <cell r="AV122">
            <v>4.7265742403671098E-3</v>
          </cell>
          <cell r="AW122">
            <v>4.6480124510751702E-3</v>
          </cell>
          <cell r="AX122">
            <v>0</v>
          </cell>
          <cell r="AY122">
            <v>4.6986645830421033E-3</v>
          </cell>
          <cell r="AZ122">
            <v>4.7640372771248886E-3</v>
          </cell>
          <cell r="BA122">
            <v>4.7333914513435389E-3</v>
          </cell>
          <cell r="BB122">
            <v>0</v>
          </cell>
          <cell r="BC122">
            <v>4.7036536392009391E-3</v>
          </cell>
          <cell r="BD122">
            <v>4.571222025149319E-3</v>
          </cell>
          <cell r="BE122">
            <v>4.4673067094511982E-3</v>
          </cell>
          <cell r="BF122">
            <v>0</v>
          </cell>
        </row>
        <row r="123">
          <cell r="A123" t="str">
            <v>NRx Market Share</v>
          </cell>
          <cell r="K123">
            <v>3.5400876395965358E-3</v>
          </cell>
          <cell r="L123">
            <v>4.1087883507180765E-3</v>
          </cell>
          <cell r="M123">
            <v>4.700457359493729E-3</v>
          </cell>
          <cell r="N123">
            <v>4.1038408287564073E-3</v>
          </cell>
          <cell r="O123">
            <v>5.3859844073114501E-3</v>
          </cell>
          <cell r="P123">
            <v>6.5504890533827119E-3</v>
          </cell>
          <cell r="Q123">
            <v>7.2269801547210633E-3</v>
          </cell>
          <cell r="R123">
            <v>6.3971645721817398E-3</v>
          </cell>
          <cell r="S123">
            <v>6.9659505636973998E-3</v>
          </cell>
          <cell r="T123">
            <v>7.6646692519018508E-3</v>
          </cell>
          <cell r="U123">
            <v>7.6034627130833754E-3</v>
          </cell>
          <cell r="V123">
            <v>7.4044777140762786E-3</v>
          </cell>
          <cell r="W123">
            <v>7.1070481299566569E-3</v>
          </cell>
          <cell r="X123">
            <v>6.7612916055581791E-3</v>
          </cell>
          <cell r="Y123">
            <v>6.5775369142633839E-3</v>
          </cell>
          <cell r="Z123">
            <v>6.8127024992636395E-3</v>
          </cell>
          <cell r="AA123">
            <v>6.2563549823389745E-3</v>
          </cell>
          <cell r="AB123">
            <v>6.1933235600711819E-3</v>
          </cell>
          <cell r="AC123">
            <v>6.1038284498036652E-3</v>
          </cell>
          <cell r="AD123">
            <v>6.1848020367474051E-3</v>
          </cell>
          <cell r="AE123">
            <v>5.8177718324585901E-3</v>
          </cell>
          <cell r="AF123">
            <v>5.6535373199523287E-3</v>
          </cell>
          <cell r="AG123">
            <v>5.6297237946632325E-3</v>
          </cell>
          <cell r="AH123">
            <v>5.7006994426136506E-3</v>
          </cell>
          <cell r="AI123">
            <v>5.4983448920602517E-3</v>
          </cell>
          <cell r="AJ123">
            <v>5.3959158520403344E-3</v>
          </cell>
          <cell r="AK123">
            <v>5.1397733105811513E-3</v>
          </cell>
          <cell r="AL123">
            <v>5.3389737419564142E-3</v>
          </cell>
          <cell r="AM123">
            <v>4.9341875770330919E-3</v>
          </cell>
          <cell r="AN123">
            <v>4.5563959456748756E-3</v>
          </cell>
          <cell r="AO123">
            <v>4.7421818425300785E-3</v>
          </cell>
          <cell r="AP123">
            <v>4.7451389673978253E-3</v>
          </cell>
          <cell r="AQ123">
            <v>4.7578440441731762E-3</v>
          </cell>
          <cell r="AR123">
            <v>5.0180110346085454E-3</v>
          </cell>
          <cell r="AS123">
            <v>5.1893262860435848E-3</v>
          </cell>
          <cell r="AT123">
            <v>4.9886462202658058E-3</v>
          </cell>
          <cell r="AU123">
            <v>5.2258307441862559E-3</v>
          </cell>
          <cell r="AV123">
            <v>5.1135649954935402E-3</v>
          </cell>
          <cell r="AW123">
            <v>5.1334189080398038E-3</v>
          </cell>
          <cell r="AX123">
            <v>5.1568028590117995E-3</v>
          </cell>
          <cell r="AY123">
            <v>4.859388243339131E-3</v>
          </cell>
          <cell r="AZ123">
            <v>4.9816258351893091E-3</v>
          </cell>
          <cell r="BA123">
            <v>5.011810938699999E-3</v>
          </cell>
          <cell r="BB123">
            <v>4.9507066643054484E-3</v>
          </cell>
          <cell r="BC123">
            <v>4.8625692178318886E-3</v>
          </cell>
          <cell r="BD123">
            <v>4.4831961004436248E-3</v>
          </cell>
          <cell r="BE123">
            <v>4.3588977550447008E-3</v>
          </cell>
          <cell r="BF123">
            <v>4.5670819338240864E-3</v>
          </cell>
        </row>
        <row r="124">
          <cell r="A124" t="str">
            <v>TEVETEN HCT</v>
          </cell>
          <cell r="K124">
            <v>0.633328</v>
          </cell>
          <cell r="L124">
            <v>0.65240900000000002</v>
          </cell>
          <cell r="M124">
            <v>0.91699600000000003</v>
          </cell>
          <cell r="N124">
            <v>2.2027330000000003</v>
          </cell>
          <cell r="O124">
            <v>1.1638820000000001</v>
          </cell>
          <cell r="P124">
            <v>1.345566</v>
          </cell>
          <cell r="Q124">
            <v>1.2606740000000001</v>
          </cell>
          <cell r="R124">
            <v>3.7701220000000002</v>
          </cell>
          <cell r="S124">
            <v>1.0945769999999999</v>
          </cell>
          <cell r="T124">
            <v>1.1442289999999999</v>
          </cell>
          <cell r="U124">
            <v>1.4757579999999999</v>
          </cell>
          <cell r="V124">
            <v>3.7145640000000002</v>
          </cell>
          <cell r="W124">
            <v>1.1380330000000001</v>
          </cell>
          <cell r="X124">
            <v>1.1521159999999999</v>
          </cell>
          <cell r="Y124">
            <v>1.5005660000000001</v>
          </cell>
          <cell r="Z124">
            <v>3.7907150000000001</v>
          </cell>
          <cell r="AA124">
            <v>1.162941</v>
          </cell>
          <cell r="AB124">
            <v>1.220798</v>
          </cell>
          <cell r="AC124">
            <v>1.507004</v>
          </cell>
          <cell r="AD124">
            <v>3.8907430000000001</v>
          </cell>
          <cell r="AE124">
            <v>1.1875830000000001</v>
          </cell>
          <cell r="AF124">
            <v>1.1918690000000001</v>
          </cell>
          <cell r="AG124">
            <v>1.4800450000000001</v>
          </cell>
          <cell r="AH124">
            <v>3.8594970000000002</v>
          </cell>
          <cell r="AI124">
            <v>1.239171</v>
          </cell>
          <cell r="AJ124">
            <v>1.2018899999999999</v>
          </cell>
          <cell r="AK124">
            <v>1.5495749999999999</v>
          </cell>
          <cell r="AL124">
            <v>3.9906359999999994</v>
          </cell>
          <cell r="AM124">
            <v>1.2459089999999999</v>
          </cell>
          <cell r="AN124">
            <v>1.2617069999999999</v>
          </cell>
          <cell r="AO124">
            <v>1.5163420000000001</v>
          </cell>
          <cell r="AP124">
            <v>4.0239580000000004</v>
          </cell>
          <cell r="AQ124">
            <v>1.2120420000000001</v>
          </cell>
          <cell r="AR124">
            <v>1.235787</v>
          </cell>
          <cell r="AS124">
            <v>1.55033</v>
          </cell>
          <cell r="AT124">
            <v>3.9981590000000002</v>
          </cell>
          <cell r="AU124">
            <v>1.262653</v>
          </cell>
          <cell r="AV124">
            <v>1.293215</v>
          </cell>
          <cell r="AW124">
            <v>1.634039</v>
          </cell>
          <cell r="AX124">
            <v>4.1899069999999998</v>
          </cell>
          <cell r="AY124">
            <v>1.3802650000000001</v>
          </cell>
          <cell r="AZ124">
            <v>1.366493</v>
          </cell>
          <cell r="BA124">
            <v>1.7374750000000001</v>
          </cell>
          <cell r="BB124">
            <v>4.4842329999999997</v>
          </cell>
          <cell r="BC124">
            <v>1.4444779999999999</v>
          </cell>
          <cell r="BD124">
            <v>1.4507650000000001</v>
          </cell>
          <cell r="BE124">
            <v>1.901435</v>
          </cell>
          <cell r="BF124">
            <v>4.796678</v>
          </cell>
        </row>
        <row r="125">
          <cell r="A125" t="str">
            <v>TRx</v>
          </cell>
          <cell r="C125">
            <v>14.862921</v>
          </cell>
          <cell r="D125">
            <v>14.856051000000001</v>
          </cell>
          <cell r="E125">
            <v>17.866980000000002</v>
          </cell>
          <cell r="F125">
            <v>47.585952000000006</v>
          </cell>
          <cell r="G125">
            <v>13.414622</v>
          </cell>
          <cell r="H125">
            <v>12.859069</v>
          </cell>
          <cell r="I125">
            <v>15.447195000000001</v>
          </cell>
          <cell r="J125">
            <v>41.720886</v>
          </cell>
          <cell r="K125">
            <v>11.533849999999999</v>
          </cell>
          <cell r="L125">
            <v>11.431290000000001</v>
          </cell>
          <cell r="M125">
            <v>14.828896</v>
          </cell>
          <cell r="N125">
            <v>37.794035999999998</v>
          </cell>
          <cell r="O125">
            <v>11.974435</v>
          </cell>
          <cell r="P125">
            <v>12.025975000000001</v>
          </cell>
          <cell r="Q125">
            <v>15</v>
          </cell>
          <cell r="R125">
            <v>15</v>
          </cell>
          <cell r="S125">
            <v>46</v>
          </cell>
          <cell r="T125">
            <v>57</v>
          </cell>
          <cell r="U125">
            <v>1202</v>
          </cell>
          <cell r="V125">
            <v>1305</v>
          </cell>
          <cell r="W125">
            <v>2492</v>
          </cell>
          <cell r="X125">
            <v>3876</v>
          </cell>
          <cell r="Y125">
            <v>5126</v>
          </cell>
          <cell r="Z125">
            <v>11494</v>
          </cell>
          <cell r="AA125">
            <v>6284</v>
          </cell>
          <cell r="AB125">
            <v>6782</v>
          </cell>
          <cell r="AC125">
            <v>7838</v>
          </cell>
          <cell r="AD125">
            <v>20904</v>
          </cell>
          <cell r="AE125">
            <v>9169</v>
          </cell>
          <cell r="AF125">
            <v>9263</v>
          </cell>
          <cell r="AG125">
            <v>11161</v>
          </cell>
          <cell r="AH125">
            <v>29593</v>
          </cell>
          <cell r="AI125">
            <v>11493</v>
          </cell>
          <cell r="AJ125">
            <v>11339</v>
          </cell>
          <cell r="AK125">
            <v>13081</v>
          </cell>
          <cell r="AL125">
            <v>35913</v>
          </cell>
          <cell r="AM125">
            <v>12902</v>
          </cell>
          <cell r="AN125">
            <v>13250</v>
          </cell>
          <cell r="AO125">
            <v>14477</v>
          </cell>
          <cell r="AP125">
            <v>40629</v>
          </cell>
          <cell r="AQ125">
            <v>14409</v>
          </cell>
          <cell r="AR125">
            <v>14964</v>
          </cell>
          <cell r="AS125">
            <v>15751</v>
          </cell>
          <cell r="AT125">
            <v>45124</v>
          </cell>
          <cell r="AU125">
            <v>16335</v>
          </cell>
          <cell r="AV125">
            <v>17628</v>
          </cell>
          <cell r="AW125">
            <v>19045</v>
          </cell>
          <cell r="AX125">
            <v>53008</v>
          </cell>
          <cell r="AY125">
            <v>19020</v>
          </cell>
          <cell r="AZ125">
            <v>18461</v>
          </cell>
          <cell r="BA125">
            <v>21074</v>
          </cell>
          <cell r="BB125">
            <v>58555</v>
          </cell>
          <cell r="BC125">
            <v>20602</v>
          </cell>
          <cell r="BD125">
            <v>20892</v>
          </cell>
          <cell r="BE125">
            <v>20859</v>
          </cell>
          <cell r="BF125">
            <v>62353</v>
          </cell>
        </row>
        <row r="126">
          <cell r="A126" t="str">
            <v xml:space="preserve">  % Change</v>
          </cell>
          <cell r="S126">
            <v>-0.15582515711413658</v>
          </cell>
          <cell r="T126">
            <v>-0.1652302486037508</v>
          </cell>
          <cell r="U126">
            <v>-0.14010487502644553</v>
          </cell>
          <cell r="V126">
            <v>-0.15285891516891392</v>
          </cell>
          <cell r="W126">
            <v>-0.17713879675476496</v>
          </cell>
          <cell r="X126">
            <v>-0.11342041947204728</v>
          </cell>
          <cell r="Y126">
            <v>-0.13055010958300195</v>
          </cell>
          <cell r="Z126">
            <v>-0.14025023342025855</v>
          </cell>
          <cell r="AA126">
            <v>-0.15272558599253505</v>
          </cell>
          <cell r="AB126">
            <v>0.05</v>
          </cell>
          <cell r="AC126">
            <v>-0.1623065533671556</v>
          </cell>
          <cell r="AD126">
            <v>0.05</v>
          </cell>
          <cell r="AE126">
            <v>-0.1442622553798989</v>
          </cell>
          <cell r="AF126">
            <v>-0.15008770598641696</v>
          </cell>
          <cell r="AG126">
            <v>-0.12352589015866466</v>
          </cell>
          <cell r="AH126">
            <v>0.05</v>
          </cell>
          <cell r="AI126">
            <v>-0.16007096252589481</v>
          </cell>
          <cell r="AJ126">
            <v>-0.17441523855970253</v>
          </cell>
          <cell r="AK126">
            <v>-0.17698170802153568</v>
          </cell>
          <cell r="AL126">
            <v>0.05</v>
          </cell>
          <cell r="AM126">
            <v>4.1773675762439808</v>
          </cell>
          <cell r="AN126">
            <v>2.418472652218782</v>
          </cell>
          <cell r="AO126">
            <v>1.8242294186500194</v>
          </cell>
          <cell r="AP126">
            <v>2.5348007656168434</v>
          </cell>
          <cell r="AQ126">
            <v>1.2929662635264161</v>
          </cell>
          <cell r="AR126">
            <v>1.2064287820701858</v>
          </cell>
          <cell r="AS126">
            <v>1.0095687675427403</v>
          </cell>
          <cell r="AT126">
            <v>1.1586299272866438</v>
          </cell>
          <cell r="AU126">
            <v>0.78154651543243547</v>
          </cell>
          <cell r="AV126">
            <v>0.90305516571305189</v>
          </cell>
          <cell r="AW126">
            <v>0.70638831645909872</v>
          </cell>
          <cell r="AX126">
            <v>0.79123441354374346</v>
          </cell>
          <cell r="AY126">
            <v>0.65492038632210914</v>
          </cell>
          <cell r="AZ126">
            <v>0.62809771584795837</v>
          </cell>
          <cell r="BA126">
            <v>0.61103891139821109</v>
          </cell>
          <cell r="BB126">
            <v>0.6304680756272103</v>
          </cell>
          <cell r="BC126">
            <v>0.59680669663618047</v>
          </cell>
          <cell r="BD126">
            <v>0.57675471698113201</v>
          </cell>
          <cell r="BE126">
            <v>0.44083719002555788</v>
          </cell>
          <cell r="BF126">
            <v>0.53469196879076519</v>
          </cell>
        </row>
        <row r="127">
          <cell r="A127" t="str">
            <v>NRx</v>
          </cell>
          <cell r="Q127">
            <v>15</v>
          </cell>
          <cell r="R127">
            <v>15</v>
          </cell>
          <cell r="S127">
            <v>43</v>
          </cell>
          <cell r="T127">
            <v>55</v>
          </cell>
          <cell r="U127">
            <v>1125</v>
          </cell>
          <cell r="V127">
            <v>1223</v>
          </cell>
          <cell r="W127">
            <v>2018</v>
          </cell>
          <cell r="X127">
            <v>2547</v>
          </cell>
          <cell r="Y127">
            <v>2974</v>
          </cell>
          <cell r="Z127">
            <v>7539</v>
          </cell>
          <cell r="AA127">
            <v>2955</v>
          </cell>
          <cell r="AB127">
            <v>2961</v>
          </cell>
          <cell r="AC127">
            <v>3337</v>
          </cell>
          <cell r="AD127">
            <v>9253</v>
          </cell>
          <cell r="AE127">
            <v>3912</v>
          </cell>
          <cell r="AF127">
            <v>3786</v>
          </cell>
          <cell r="AG127">
            <v>4250</v>
          </cell>
          <cell r="AH127">
            <v>11948</v>
          </cell>
          <cell r="AI127">
            <v>4315</v>
          </cell>
          <cell r="AJ127">
            <v>4232</v>
          </cell>
          <cell r="AK127">
            <v>4939</v>
          </cell>
          <cell r="AL127">
            <v>13486</v>
          </cell>
          <cell r="AM127">
            <v>4774</v>
          </cell>
          <cell r="AN127">
            <v>4683</v>
          </cell>
          <cell r="AO127">
            <v>5208</v>
          </cell>
          <cell r="AP127">
            <v>14665</v>
          </cell>
          <cell r="AQ127">
            <v>5151</v>
          </cell>
          <cell r="AR127">
            <v>5450</v>
          </cell>
          <cell r="AS127">
            <v>5738</v>
          </cell>
          <cell r="AT127">
            <v>16339</v>
          </cell>
          <cell r="AU127">
            <v>6271</v>
          </cell>
          <cell r="AV127">
            <v>6725</v>
          </cell>
          <cell r="AW127">
            <v>6935</v>
          </cell>
          <cell r="AX127">
            <v>19931</v>
          </cell>
          <cell r="AY127">
            <v>6911</v>
          </cell>
          <cell r="AZ127">
            <v>6725</v>
          </cell>
          <cell r="BA127">
            <v>7483</v>
          </cell>
          <cell r="BB127">
            <v>21119</v>
          </cell>
          <cell r="BC127">
            <v>7121</v>
          </cell>
          <cell r="BD127">
            <v>6617</v>
          </cell>
          <cell r="BE127">
            <v>6305</v>
          </cell>
          <cell r="BF127">
            <v>20043</v>
          </cell>
        </row>
        <row r="128">
          <cell r="A128" t="str">
            <v xml:space="preserve">  % Change</v>
          </cell>
          <cell r="AM128">
            <v>1.3657086223984143</v>
          </cell>
          <cell r="AN128">
            <v>0.83863368669022376</v>
          </cell>
          <cell r="AO128">
            <v>0.75117686617350365</v>
          </cell>
          <cell r="AP128">
            <v>0.94521819870009294</v>
          </cell>
          <cell r="AQ128">
            <v>0.74314720812182733</v>
          </cell>
          <cell r="AR128">
            <v>0.84059439378588308</v>
          </cell>
          <cell r="AS128">
            <v>0.71950854060533409</v>
          </cell>
          <cell r="AT128">
            <v>0.76580568464281851</v>
          </cell>
          <cell r="AU128">
            <v>0.60301635991820035</v>
          </cell>
          <cell r="AV128">
            <v>0.7762810353935552</v>
          </cell>
          <cell r="AW128">
            <v>0.63176470588235301</v>
          </cell>
          <cell r="AX128">
            <v>0.66814529628389696</v>
          </cell>
          <cell r="AY128">
            <v>0.60162224797218999</v>
          </cell>
          <cell r="AZ128">
            <v>0.58908317580340275</v>
          </cell>
          <cell r="BA128">
            <v>0.51508402510629692</v>
          </cell>
          <cell r="BB128">
            <v>0.56599436452617535</v>
          </cell>
          <cell r="BC128">
            <v>0.49162128194386256</v>
          </cell>
          <cell r="BD128">
            <v>0.41298313047191981</v>
          </cell>
          <cell r="BE128">
            <v>0.2106374807987712</v>
          </cell>
          <cell r="BF128">
            <v>0.36672349130583015</v>
          </cell>
        </row>
        <row r="129">
          <cell r="A129" t="str">
            <v>Total Market-31150</v>
          </cell>
          <cell r="K129">
            <v>4160274</v>
          </cell>
          <cell r="L129">
            <v>4138859</v>
          </cell>
          <cell r="M129">
            <v>4018200</v>
          </cell>
          <cell r="N129">
            <v>12317333</v>
          </cell>
          <cell r="O129">
            <v>4311439</v>
          </cell>
          <cell r="P129">
            <v>4190191</v>
          </cell>
          <cell r="Q129">
            <v>4562736</v>
          </cell>
          <cell r="R129">
            <v>13064366</v>
          </cell>
          <cell r="S129">
            <v>4529309</v>
          </cell>
          <cell r="T129">
            <v>4183698</v>
          </cell>
          <cell r="U129">
            <v>4616678</v>
          </cell>
          <cell r="V129">
            <v>13329685</v>
          </cell>
          <cell r="W129">
            <v>4569913</v>
          </cell>
          <cell r="X129">
            <v>4761928</v>
          </cell>
          <cell r="Y129">
            <v>4719979</v>
          </cell>
          <cell r="Z129">
            <v>14051820</v>
          </cell>
          <cell r="AA129">
            <v>4914807</v>
          </cell>
          <cell r="AB129">
            <v>4828960</v>
          </cell>
          <cell r="AC129">
            <v>4900687</v>
          </cell>
          <cell r="AD129">
            <v>14644454</v>
          </cell>
          <cell r="AE129">
            <v>5151561</v>
          </cell>
          <cell r="AF129">
            <v>4860767</v>
          </cell>
          <cell r="AG129">
            <v>5474931</v>
          </cell>
          <cell r="AH129">
            <v>15487259</v>
          </cell>
          <cell r="AI129">
            <v>5334343</v>
          </cell>
          <cell r="AJ129">
            <v>5014428</v>
          </cell>
          <cell r="AK129">
            <v>5603265</v>
          </cell>
          <cell r="AL129">
            <v>15952036</v>
          </cell>
          <cell r="AM129">
            <v>5408997</v>
          </cell>
          <cell r="AN129">
            <v>5402381</v>
          </cell>
          <cell r="AO129">
            <v>5682657</v>
          </cell>
          <cell r="AP129">
            <v>16494035</v>
          </cell>
          <cell r="AQ129">
            <v>5690817</v>
          </cell>
          <cell r="AR129">
            <v>5778073</v>
          </cell>
          <cell r="AS129">
            <v>5689962</v>
          </cell>
          <cell r="AT129">
            <v>17158852</v>
          </cell>
          <cell r="AU129">
            <v>5778800</v>
          </cell>
          <cell r="AV129">
            <v>5845883</v>
          </cell>
          <cell r="AW129">
            <v>6101963</v>
          </cell>
          <cell r="AX129">
            <v>17726646</v>
          </cell>
          <cell r="AY129">
            <v>5994682</v>
          </cell>
          <cell r="AZ129">
            <v>5522207</v>
          </cell>
          <cell r="BA129">
            <v>6178234</v>
          </cell>
          <cell r="BB129">
            <v>17695123</v>
          </cell>
          <cell r="BC129">
            <v>5994489</v>
          </cell>
          <cell r="BD129">
            <v>6186092</v>
          </cell>
          <cell r="BE129">
            <v>6182920</v>
          </cell>
          <cell r="BF129">
            <v>18363501</v>
          </cell>
        </row>
        <row r="130">
          <cell r="A130" t="str">
            <v>New Market-31150</v>
          </cell>
          <cell r="K130">
            <v>1304205</v>
          </cell>
          <cell r="L130">
            <v>1274585</v>
          </cell>
          <cell r="M130">
            <v>1221796</v>
          </cell>
          <cell r="N130">
            <v>3800586</v>
          </cell>
          <cell r="O130">
            <v>1346272</v>
          </cell>
          <cell r="P130">
            <v>1298529</v>
          </cell>
          <cell r="Q130">
            <v>1400585</v>
          </cell>
          <cell r="R130">
            <v>4045386</v>
          </cell>
          <cell r="S130">
            <v>1476324</v>
          </cell>
          <cell r="T130">
            <v>1362094</v>
          </cell>
          <cell r="U130">
            <v>1472487</v>
          </cell>
          <cell r="V130">
            <v>4310905</v>
          </cell>
          <cell r="W130">
            <v>1437587</v>
          </cell>
          <cell r="X130">
            <v>1488473</v>
          </cell>
          <cell r="Y130">
            <v>1473956</v>
          </cell>
          <cell r="Z130">
            <v>4400016</v>
          </cell>
          <cell r="AA130">
            <v>1523411</v>
          </cell>
          <cell r="AB130">
            <v>1454308</v>
          </cell>
          <cell r="AC130">
            <v>1499223</v>
          </cell>
          <cell r="AD130">
            <v>4476942</v>
          </cell>
          <cell r="AE130">
            <v>1612473</v>
          </cell>
          <cell r="AF130">
            <v>1483496</v>
          </cell>
          <cell r="AG130">
            <v>1673972</v>
          </cell>
          <cell r="AH130">
            <v>4769941</v>
          </cell>
          <cell r="AI130">
            <v>1677232</v>
          </cell>
          <cell r="AJ130">
            <v>1609736</v>
          </cell>
          <cell r="AK130">
            <v>1802025</v>
          </cell>
          <cell r="AL130">
            <v>5088993</v>
          </cell>
          <cell r="AM130">
            <v>1720040</v>
          </cell>
          <cell r="AN130">
            <v>1694980</v>
          </cell>
          <cell r="AO130">
            <v>1777241</v>
          </cell>
          <cell r="AP130">
            <v>5192261</v>
          </cell>
          <cell r="AQ130">
            <v>1742596</v>
          </cell>
          <cell r="AR130">
            <v>1754480</v>
          </cell>
          <cell r="AS130">
            <v>1747433</v>
          </cell>
          <cell r="AT130">
            <v>5244509</v>
          </cell>
          <cell r="AU130">
            <v>1774072</v>
          </cell>
          <cell r="AV130">
            <v>1815172</v>
          </cell>
          <cell r="AW130">
            <v>1880618</v>
          </cell>
          <cell r="AX130">
            <v>5469862</v>
          </cell>
          <cell r="AY130">
            <v>1942014</v>
          </cell>
          <cell r="AZ130">
            <v>1796000</v>
          </cell>
          <cell r="BA130">
            <v>1993491</v>
          </cell>
          <cell r="BB130">
            <v>5731505</v>
          </cell>
          <cell r="BC130">
            <v>1890770</v>
          </cell>
          <cell r="BD130">
            <v>1916936</v>
          </cell>
          <cell r="BE130">
            <v>1911263</v>
          </cell>
          <cell r="BF130">
            <v>5718969</v>
          </cell>
        </row>
        <row r="131">
          <cell r="A131" t="str">
            <v>TRx Market Growth</v>
          </cell>
          <cell r="B131">
            <v>0</v>
          </cell>
          <cell r="C131">
            <v>37257</v>
          </cell>
          <cell r="D131">
            <v>37288</v>
          </cell>
          <cell r="E131">
            <v>37316</v>
          </cell>
          <cell r="F131" t="str">
            <v>Q1:02</v>
          </cell>
          <cell r="G131">
            <v>37347</v>
          </cell>
          <cell r="H131">
            <v>37377</v>
          </cell>
          <cell r="I131">
            <v>37408</v>
          </cell>
          <cell r="J131" t="str">
            <v>Q2:02</v>
          </cell>
          <cell r="K131">
            <v>37438</v>
          </cell>
          <cell r="L131">
            <v>37469</v>
          </cell>
          <cell r="M131">
            <v>37500</v>
          </cell>
          <cell r="N131" t="str">
            <v>Q3:02</v>
          </cell>
          <cell r="O131">
            <v>37530</v>
          </cell>
          <cell r="P131">
            <v>37561</v>
          </cell>
          <cell r="Q131">
            <v>15</v>
          </cell>
          <cell r="R131">
            <v>15</v>
          </cell>
          <cell r="S131">
            <v>43</v>
          </cell>
          <cell r="T131">
            <v>55</v>
          </cell>
          <cell r="U131">
            <v>1125</v>
          </cell>
          <cell r="V131">
            <v>1223</v>
          </cell>
          <cell r="W131">
            <v>2018</v>
          </cell>
          <cell r="X131">
            <v>2547</v>
          </cell>
          <cell r="Y131">
            <v>2974</v>
          </cell>
          <cell r="Z131">
            <v>7539</v>
          </cell>
          <cell r="AA131">
            <v>0.18136617924684773</v>
          </cell>
          <cell r="AB131">
            <v>0.16673701616798242</v>
          </cell>
          <cell r="AC131">
            <v>0.21962246777163896</v>
          </cell>
          <cell r="AD131">
            <v>0.18893059073745921</v>
          </cell>
          <cell r="AE131">
            <v>0.19485883947331728</v>
          </cell>
          <cell r="AF131">
            <v>0.16003470963495459</v>
          </cell>
          <cell r="AG131">
            <v>0.19992280947221142</v>
          </cell>
          <cell r="AH131">
            <v>0.18545813857327631</v>
          </cell>
          <cell r="AI131">
            <v>0.17773881181434081</v>
          </cell>
          <cell r="AJ131">
            <v>0.19856356744678982</v>
          </cell>
          <cell r="AK131">
            <v>0.21370063062661071</v>
          </cell>
          <cell r="AL131">
            <v>0.19673015528874083</v>
          </cell>
          <cell r="AM131">
            <v>0.18361049761778836</v>
          </cell>
          <cell r="AN131">
            <v>0.13449447366696843</v>
          </cell>
          <cell r="AO131">
            <v>0.20395811083057791</v>
          </cell>
          <cell r="AP131">
            <v>0.17380061799823787</v>
          </cell>
          <cell r="AQ131">
            <v>0.15789226311429938</v>
          </cell>
          <cell r="AR131">
            <v>0.19654604718200197</v>
          </cell>
          <cell r="AS131">
            <v>0.16105395019106505</v>
          </cell>
          <cell r="AT131">
            <v>0.17169626126040627</v>
          </cell>
          <cell r="AU131">
            <v>0.12175707518556034</v>
          </cell>
          <cell r="AV131">
            <v>0.20266678077760147</v>
          </cell>
          <cell r="AW131">
            <v>0.11452783605857308</v>
          </cell>
          <cell r="AX131">
            <v>0.14459543809527564</v>
          </cell>
          <cell r="AY131">
            <v>0.12379012748149121</v>
          </cell>
          <cell r="AZ131">
            <v>0.10126359377380623</v>
          </cell>
          <cell r="BA131">
            <v>0.10261320854894418</v>
          </cell>
          <cell r="BB131">
            <v>0.10927050315082032</v>
          </cell>
          <cell r="BC131">
            <v>0.10824409775047017</v>
          </cell>
          <cell r="BD131">
            <v>0.14506770255559531</v>
          </cell>
          <cell r="BE131">
            <v>8.8033291469113761E-2</v>
          </cell>
          <cell r="BF131">
            <v>0.11334194452721857</v>
          </cell>
        </row>
        <row r="132">
          <cell r="A132" t="str">
            <v>NRx Market Growth</v>
          </cell>
          <cell r="AA132">
            <v>0.16807633769231067</v>
          </cell>
          <cell r="AB132">
            <v>0.14100511146765426</v>
          </cell>
          <cell r="AC132">
            <v>0.22706491099987236</v>
          </cell>
          <cell r="AD132">
            <v>0.17796097759661267</v>
          </cell>
          <cell r="AE132">
            <v>0.19773195906919261</v>
          </cell>
          <cell r="AF132">
            <v>0.14244348797755002</v>
          </cell>
          <cell r="AG132">
            <v>0.19519486500283811</v>
          </cell>
          <cell r="AH132">
            <v>0.17910651789470777</v>
          </cell>
          <cell r="AI132">
            <v>0.13608665848418089</v>
          </cell>
          <cell r="AJ132">
            <v>0.18180977230646334</v>
          </cell>
          <cell r="AK132">
            <v>0.223796882417298</v>
          </cell>
          <cell r="AL132">
            <v>0.18049295913503083</v>
          </cell>
          <cell r="AM132">
            <v>0.19647715233930185</v>
          </cell>
          <cell r="AN132">
            <v>0.13873748465709479</v>
          </cell>
          <cell r="AO132">
            <v>0.20576258721427232</v>
          </cell>
          <cell r="AP132">
            <v>0.18005502707262888</v>
          </cell>
          <cell r="AQ132">
            <v>0.14387778478690261</v>
          </cell>
          <cell r="AR132">
            <v>0.20640194511754051</v>
          </cell>
          <cell r="AS132">
            <v>0.16555909294347804</v>
          </cell>
          <cell r="AT132">
            <v>0.17144894885839479</v>
          </cell>
          <cell r="AU132">
            <v>0.1002181121792427</v>
          </cell>
          <cell r="AV132">
            <v>0.22357727961517937</v>
          </cell>
          <cell r="AW132">
            <v>0.12344650926060896</v>
          </cell>
          <cell r="AX132">
            <v>0.14673577723498044</v>
          </cell>
          <cell r="AY132">
            <v>0.15786844038272574</v>
          </cell>
          <cell r="AZ132">
            <v>0.11571089917849875</v>
          </cell>
          <cell r="BA132">
            <v>0.1062504682232488</v>
          </cell>
          <cell r="BB132">
            <v>0.12625523359926016</v>
          </cell>
          <cell r="BC132">
            <v>9.9259319550708103E-2</v>
          </cell>
          <cell r="BD132">
            <v>0.13094903774675815</v>
          </cell>
          <cell r="BE132">
            <v>7.5410144150399372E-2</v>
          </cell>
          <cell r="BF132">
            <v>0.10144097147658804</v>
          </cell>
        </row>
        <row r="133">
          <cell r="A133" t="str">
            <v>TRx Market Share</v>
          </cell>
          <cell r="K133">
            <v>4160274</v>
          </cell>
          <cell r="L133">
            <v>4138859</v>
          </cell>
          <cell r="M133">
            <v>4018200</v>
          </cell>
          <cell r="N133">
            <v>12317333</v>
          </cell>
          <cell r="O133">
            <v>4311439</v>
          </cell>
          <cell r="P133">
            <v>4190191</v>
          </cell>
          <cell r="Q133">
            <v>3.2875011835004262E-6</v>
          </cell>
          <cell r="R133">
            <v>1.1481613420812002E-6</v>
          </cell>
          <cell r="S133">
            <v>1.0156074580029758E-5</v>
          </cell>
          <cell r="T133">
            <v>1.36243103589217E-5</v>
          </cell>
          <cell r="U133">
            <v>2.6036037167850997E-4</v>
          </cell>
          <cell r="V133">
            <v>9.7901788376844612E-5</v>
          </cell>
          <cell r="W133">
            <v>5.4530578590883459E-4</v>
          </cell>
          <cell r="X133">
            <v>8.139560278945839E-4</v>
          </cell>
          <cell r="Y133">
            <v>1.0860217810291105E-3</v>
          </cell>
          <cell r="Z133">
            <v>8.1797233383291274E-4</v>
          </cell>
          <cell r="AA133">
            <v>1.2785853035531202E-3</v>
          </cell>
          <cell r="AB133">
            <v>1.4044431927371524E-3</v>
          </cell>
          <cell r="AC133">
            <v>1.5993675988693013E-3</v>
          </cell>
          <cell r="AD133">
            <v>1.4274345769395022E-3</v>
          </cell>
          <cell r="AE133">
            <v>1.7798488652274525E-3</v>
          </cell>
          <cell r="AF133">
            <v>1.9056663279684049E-3</v>
          </cell>
          <cell r="AG133">
            <v>2.0385645042832502E-3</v>
          </cell>
          <cell r="AH133">
            <v>1.9107964811591258E-3</v>
          </cell>
          <cell r="AI133">
            <v>2.1545296206111979E-3</v>
          </cell>
          <cell r="AJ133">
            <v>2.261274865248838E-3</v>
          </cell>
          <cell r="AK133">
            <v>2.3345317417612769E-3</v>
          </cell>
          <cell r="AL133">
            <v>2.2513113686553868E-3</v>
          </cell>
          <cell r="AM133">
            <v>2.3852851092355941E-3</v>
          </cell>
          <cell r="AN133">
            <v>2.4526222789544093E-3</v>
          </cell>
          <cell r="AO133">
            <v>2.5475758962752813E-3</v>
          </cell>
          <cell r="AP133">
            <v>2.4632541400572993E-3</v>
          </cell>
          <cell r="AQ133">
            <v>2.5319738800246082E-3</v>
          </cell>
          <cell r="AR133">
            <v>2.5897907485765582E-3</v>
          </cell>
          <cell r="AS133">
            <v>2.7682082938339484E-3</v>
          </cell>
          <cell r="AT133">
            <v>2.6297796612500652E-3</v>
          </cell>
          <cell r="AU133">
            <v>2.8267114279781269E-3</v>
          </cell>
          <cell r="AV133">
            <v>3.0154554923524811E-3</v>
          </cell>
          <cell r="AW133">
            <v>3.121126758716826E-3</v>
          </cell>
          <cell r="AX133">
            <v>2.9903005904218993E-3</v>
          </cell>
          <cell r="AY133">
            <v>3.1728121691859553E-3</v>
          </cell>
          <cell r="AZ133">
            <v>3.3430474446177047E-3</v>
          </cell>
          <cell r="BA133">
            <v>3.4110070936128351E-3</v>
          </cell>
          <cell r="BB133">
            <v>3.3091038700324379E-3</v>
          </cell>
          <cell r="BC133">
            <v>3.4368233889494168E-3</v>
          </cell>
          <cell r="BD133">
            <v>3.3772533612497196E-3</v>
          </cell>
          <cell r="BE133">
            <v>3.3736486967322881E-3</v>
          </cell>
          <cell r="BF133">
            <v>3.3954854251376141E-3</v>
          </cell>
        </row>
        <row r="134">
          <cell r="A134" t="str">
            <v>NRx Market Share</v>
          </cell>
          <cell r="K134">
            <v>1304205</v>
          </cell>
          <cell r="L134">
            <v>1274585</v>
          </cell>
          <cell r="M134">
            <v>1221796</v>
          </cell>
          <cell r="N134">
            <v>3800586</v>
          </cell>
          <cell r="O134">
            <v>1346272</v>
          </cell>
          <cell r="P134">
            <v>1298529</v>
          </cell>
          <cell r="Q134">
            <v>1.0709810543451487E-5</v>
          </cell>
          <cell r="R134">
            <v>3.7079279950046796E-6</v>
          </cell>
          <cell r="S134">
            <v>2.912639772841192E-5</v>
          </cell>
          <cell r="T134">
            <v>4.0379004679559563E-5</v>
          </cell>
          <cell r="U134">
            <v>7.6401353628249347E-4</v>
          </cell>
          <cell r="V134">
            <v>2.8369913046100528E-4</v>
          </cell>
          <cell r="W134">
            <v>1.403741130102039E-3</v>
          </cell>
          <cell r="X134">
            <v>1.7111496144034859E-3</v>
          </cell>
          <cell r="Y134">
            <v>2.0176993071706348E-3</v>
          </cell>
          <cell r="Z134">
            <v>1.713402860353235E-3</v>
          </cell>
          <cell r="AA134">
            <v>1.9397260489782469E-3</v>
          </cell>
          <cell r="AB134">
            <v>2.0360198802454499E-3</v>
          </cell>
          <cell r="AC134">
            <v>2.2258196412408295E-3</v>
          </cell>
          <cell r="AD134">
            <v>2.0668125698300312E-3</v>
          </cell>
          <cell r="AE134">
            <v>2.4260871344822517E-3</v>
          </cell>
          <cell r="AF134">
            <v>2.5520796820483506E-3</v>
          </cell>
          <cell r="AG134">
            <v>2.538871617924314E-3</v>
          </cell>
          <cell r="AH134">
            <v>2.5048527853908467E-3</v>
          </cell>
          <cell r="AI134">
            <v>2.5726911959705039E-3</v>
          </cell>
          <cell r="AJ134">
            <v>2.6290025196678214E-3</v>
          </cell>
          <cell r="AK134">
            <v>2.740805482720828E-3</v>
          </cell>
          <cell r="AL134">
            <v>2.650033120501443E-3</v>
          </cell>
          <cell r="AM134">
            <v>2.7755168484453851E-3</v>
          </cell>
          <cell r="AN134">
            <v>2.7628644585776822E-3</v>
          </cell>
          <cell r="AO134">
            <v>2.9303847930584543E-3</v>
          </cell>
          <cell r="AP134">
            <v>2.8243957690108415E-3</v>
          </cell>
          <cell r="AQ134">
            <v>2.9559347089055639E-3</v>
          </cell>
          <cell r="AR134">
            <v>3.1063335005243717E-3</v>
          </cell>
          <cell r="AS134">
            <v>3.2836738232596041E-3</v>
          </cell>
          <cell r="AT134">
            <v>3.1154489390713218E-3</v>
          </cell>
          <cell r="AU134">
            <v>3.5348058026957192E-3</v>
          </cell>
          <cell r="AV134">
            <v>3.7048830634231907E-3</v>
          </cell>
          <cell r="AW134">
            <v>3.687617581029215E-3</v>
          </cell>
          <cell r="AX134">
            <v>3.6437847974958052E-3</v>
          </cell>
          <cell r="AY134">
            <v>3.5586767139680763E-3</v>
          </cell>
          <cell r="AZ134">
            <v>3.7444320712694879E-3</v>
          </cell>
          <cell r="BA134">
            <v>3.7537164702524366E-3</v>
          </cell>
          <cell r="BB134">
            <v>3.6847215521926616E-3</v>
          </cell>
          <cell r="BC134">
            <v>3.766190493819978E-3</v>
          </cell>
          <cell r="BD134">
            <v>3.4518627643280735E-3</v>
          </cell>
          <cell r="BE134">
            <v>3.2988657238695041E-3</v>
          </cell>
          <cell r="BF134">
            <v>3.5046526742844733E-3</v>
          </cell>
        </row>
        <row r="135">
          <cell r="A135" t="str">
            <v>Sales (IMS)</v>
          </cell>
          <cell r="T135">
            <v>1.3908999999999999E-2</v>
          </cell>
          <cell r="U135">
            <v>1.0278750000000001</v>
          </cell>
          <cell r="V135">
            <v>1.041784</v>
          </cell>
          <cell r="W135">
            <v>0.53051000000000004</v>
          </cell>
          <cell r="X135">
            <v>0.232517</v>
          </cell>
          <cell r="Y135">
            <v>0.35616799999999998</v>
          </cell>
          <cell r="Z135">
            <v>1.1191949999999999</v>
          </cell>
          <cell r="AA135">
            <v>0.319353</v>
          </cell>
          <cell r="AB135">
            <v>0.33035500000000001</v>
          </cell>
          <cell r="AC135">
            <v>0.46946599999999999</v>
          </cell>
          <cell r="AD135">
            <v>1.1191740000000001</v>
          </cell>
          <cell r="AE135">
            <v>0.404864</v>
          </cell>
          <cell r="AF135">
            <v>0.42687999999999998</v>
          </cell>
          <cell r="AG135">
            <v>0.56945100000000004</v>
          </cell>
          <cell r="AH135">
            <v>1.401195</v>
          </cell>
          <cell r="AI135">
            <v>0.50116400000000005</v>
          </cell>
          <cell r="AJ135">
            <v>0.48894399999999999</v>
          </cell>
          <cell r="AK135">
            <v>0.66983199999999998</v>
          </cell>
          <cell r="AL135">
            <v>1.6599400000000002</v>
          </cell>
          <cell r="AM135">
            <v>0.56427499999999997</v>
          </cell>
          <cell r="AN135">
            <v>0.579766</v>
          </cell>
          <cell r="AO135">
            <v>0.76431400000000005</v>
          </cell>
          <cell r="AP135">
            <v>1.9083549999999998</v>
          </cell>
          <cell r="AQ135">
            <v>0.63958899999999996</v>
          </cell>
          <cell r="AR135">
            <v>0.66469199999999995</v>
          </cell>
          <cell r="AS135">
            <v>0.93244800000000005</v>
          </cell>
          <cell r="AT135">
            <v>2.236729</v>
          </cell>
          <cell r="AU135">
            <v>0.77160499999999999</v>
          </cell>
          <cell r="AV135">
            <v>0.79774599999999996</v>
          </cell>
          <cell r="AW135">
            <v>1.0356030000000001</v>
          </cell>
          <cell r="AX135">
            <v>2.6049540000000002</v>
          </cell>
          <cell r="AY135">
            <v>0.85769799999999996</v>
          </cell>
          <cell r="AZ135">
            <v>0.85263100000000003</v>
          </cell>
          <cell r="BA135">
            <v>1.265039</v>
          </cell>
          <cell r="BB135">
            <v>2.975368</v>
          </cell>
          <cell r="BC135">
            <v>1.0888960000000001</v>
          </cell>
          <cell r="BD135">
            <v>1.0469619999999999</v>
          </cell>
          <cell r="BE135">
            <v>1.347693</v>
          </cell>
          <cell r="BF135">
            <v>3.4835510000000003</v>
          </cell>
        </row>
        <row r="136">
          <cell r="A136" t="str">
            <v xml:space="preserve">  % Change</v>
          </cell>
          <cell r="U136">
            <v>57</v>
          </cell>
          <cell r="V136">
            <v>57</v>
          </cell>
          <cell r="W136">
            <v>7556</v>
          </cell>
          <cell r="X136">
            <v>44002</v>
          </cell>
          <cell r="Y136">
            <v>56509</v>
          </cell>
          <cell r="Z136">
            <v>108067</v>
          </cell>
          <cell r="AA136">
            <v>0.16807633769231067</v>
          </cell>
          <cell r="AB136">
            <v>0.14100511146765426</v>
          </cell>
          <cell r="AC136">
            <v>0.22706491099987236</v>
          </cell>
          <cell r="AD136">
            <v>0.17796097759661267</v>
          </cell>
          <cell r="AE136">
            <v>0.19773195906919261</v>
          </cell>
          <cell r="AF136">
            <v>0.14244348797755002</v>
          </cell>
          <cell r="AG136">
            <v>0.19519486500283811</v>
          </cell>
          <cell r="AH136">
            <v>0.17910651789470777</v>
          </cell>
          <cell r="AI136">
            <v>0.13608665848418089</v>
          </cell>
          <cell r="AJ136">
            <v>0.18180977230646334</v>
          </cell>
          <cell r="AK136">
            <v>0.223796882417298</v>
          </cell>
          <cell r="AL136">
            <v>0.59336292360028575</v>
          </cell>
          <cell r="AM136">
            <v>6.3646302614465133E-2</v>
          </cell>
          <cell r="AN136">
            <v>1.493434888631799</v>
          </cell>
          <cell r="AO136">
            <v>1.1459367489499339</v>
          </cell>
          <cell r="AP136">
            <v>0.70511394350403633</v>
          </cell>
          <cell r="AQ136">
            <v>1.002764965414447</v>
          </cell>
          <cell r="AR136">
            <v>1.0120536998077823</v>
          </cell>
          <cell r="AS136">
            <v>0.98618856317603409</v>
          </cell>
          <cell r="AT136">
            <v>0.99855339741630855</v>
          </cell>
          <cell r="AU136">
            <v>0.90583751580777738</v>
          </cell>
          <cell r="AV136">
            <v>0.86878279610194897</v>
          </cell>
          <cell r="AW136">
            <v>0.81859896637287499</v>
          </cell>
          <cell r="AX136">
            <v>0.85909455857321815</v>
          </cell>
          <cell r="AY136">
            <v>0.7114118332521886</v>
          </cell>
          <cell r="AZ136">
            <v>0.74382137831735351</v>
          </cell>
          <cell r="BA136">
            <v>0.8885914677113067</v>
          </cell>
          <cell r="BB136">
            <v>0.79245514898128833</v>
          </cell>
          <cell r="BC136">
            <v>0.92972575428647408</v>
          </cell>
          <cell r="BD136">
            <v>0.80583545775364529</v>
          </cell>
          <cell r="BE136">
            <v>0.76327137799386113</v>
          </cell>
          <cell r="BF136">
            <v>0.82542084675021199</v>
          </cell>
        </row>
        <row r="137">
          <cell r="A137" t="str">
            <v>Price Change (YoY)</v>
          </cell>
          <cell r="Q137">
            <v>3.2875011835004262E-6</v>
          </cell>
          <cell r="R137">
            <v>1.1481613420812002E-6</v>
          </cell>
          <cell r="S137">
            <v>1.0156074580029758E-5</v>
          </cell>
          <cell r="T137">
            <v>1.36243103589217E-5</v>
          </cell>
          <cell r="U137">
            <v>2.6036037167850997E-4</v>
          </cell>
          <cell r="V137">
            <v>9.7901788376844612E-5</v>
          </cell>
          <cell r="W137">
            <v>5.4530578590883459E-4</v>
          </cell>
          <cell r="X137">
            <v>8.139560278945839E-4</v>
          </cell>
          <cell r="Y137">
            <v>1.0860217810291105E-3</v>
          </cell>
          <cell r="Z137">
            <v>8.1797233383291274E-4</v>
          </cell>
          <cell r="AA137">
            <v>1.2785853035531202E-3</v>
          </cell>
          <cell r="AB137">
            <v>1.4044431927371524E-3</v>
          </cell>
          <cell r="AC137">
            <v>1.5993675988693013E-3</v>
          </cell>
          <cell r="AD137">
            <v>0</v>
          </cell>
          <cell r="AE137">
            <v>1.7798488652274525E-3</v>
          </cell>
          <cell r="AF137">
            <v>1.9056663279684049E-3</v>
          </cell>
          <cell r="AG137">
            <v>2.0385645042832502E-3</v>
          </cell>
          <cell r="AH137">
            <v>0</v>
          </cell>
          <cell r="AI137">
            <v>2.1545296206111979E-3</v>
          </cell>
          <cell r="AJ137">
            <v>2.261274865248838E-3</v>
          </cell>
          <cell r="AK137">
            <v>2.3345317417612769E-3</v>
          </cell>
          <cell r="AL137">
            <v>0</v>
          </cell>
          <cell r="AM137">
            <v>2.3852851092355941E-3</v>
          </cell>
          <cell r="AN137">
            <v>2.4526222789544093E-3</v>
          </cell>
          <cell r="AO137">
            <v>2.5475758962752813E-3</v>
          </cell>
          <cell r="AP137">
            <v>0</v>
          </cell>
          <cell r="AQ137">
            <v>2.5319738800246082E-3</v>
          </cell>
          <cell r="AR137">
            <v>2.5897907485765582E-3</v>
          </cell>
          <cell r="AS137">
            <v>2.7682082938339484E-3</v>
          </cell>
          <cell r="AT137">
            <v>0</v>
          </cell>
          <cell r="AU137">
            <v>2.8267114279781269E-3</v>
          </cell>
          <cell r="AV137">
            <v>3.0154554923524811E-3</v>
          </cell>
          <cell r="AW137">
            <v>3.121126758716826E-3</v>
          </cell>
          <cell r="AX137">
            <v>0</v>
          </cell>
          <cell r="AY137">
            <v>3.1728121691859553E-3</v>
          </cell>
          <cell r="AZ137">
            <v>3.3430474446177047E-3</v>
          </cell>
          <cell r="BA137">
            <v>3.4110070936128351E-3</v>
          </cell>
          <cell r="BB137">
            <v>0</v>
          </cell>
          <cell r="BC137">
            <v>3.4368233889494168E-3</v>
          </cell>
          <cell r="BD137">
            <v>3.3772533612497196E-3</v>
          </cell>
          <cell r="BE137">
            <v>3.3736486967322881E-3</v>
          </cell>
          <cell r="BF137">
            <v>0</v>
          </cell>
        </row>
        <row r="138">
          <cell r="A138" t="str">
            <v>NRx Market Share</v>
          </cell>
          <cell r="K138">
            <v>7866043</v>
          </cell>
          <cell r="L138">
            <v>7669370</v>
          </cell>
          <cell r="M138">
            <v>7301496</v>
          </cell>
          <cell r="N138">
            <v>22836909</v>
          </cell>
          <cell r="O138">
            <v>7674526</v>
          </cell>
          <cell r="P138">
            <v>7307768</v>
          </cell>
          <cell r="Q138">
            <v>1.0709810543451487E-5</v>
          </cell>
          <cell r="R138">
            <v>3.7079279950046796E-6</v>
          </cell>
          <cell r="S138">
            <v>2.912639772841192E-5</v>
          </cell>
          <cell r="T138">
            <v>4.0379004679559563E-5</v>
          </cell>
          <cell r="U138">
            <v>7.6401353628249347E-4</v>
          </cell>
          <cell r="V138">
            <v>2.8369913046100528E-4</v>
          </cell>
          <cell r="W138">
            <v>1.403741130102039E-3</v>
          </cell>
          <cell r="X138">
            <v>1.7111496144034859E-3</v>
          </cell>
          <cell r="Y138">
            <v>2.0176993071706348E-3</v>
          </cell>
          <cell r="Z138">
            <v>1.713402860353235E-3</v>
          </cell>
          <cell r="AA138">
            <v>1.9397260489782469E-3</v>
          </cell>
          <cell r="AB138">
            <v>2.0360198802454499E-3</v>
          </cell>
          <cell r="AC138">
            <v>2.2258196412408295E-3</v>
          </cell>
          <cell r="AD138">
            <v>2.0668125698300312E-3</v>
          </cell>
          <cell r="AE138">
            <v>2.4260871344822517E-3</v>
          </cell>
          <cell r="AF138">
            <v>2.5520796820483506E-3</v>
          </cell>
          <cell r="AG138">
            <v>2.538871617924314E-3</v>
          </cell>
          <cell r="AH138">
            <v>2.5048527853908467E-3</v>
          </cell>
          <cell r="AI138">
            <v>2.5726911959705039E-3</v>
          </cell>
          <cell r="AJ138">
            <v>2.6290025196678214E-3</v>
          </cell>
          <cell r="AK138">
            <v>2.740805482720828E-3</v>
          </cell>
          <cell r="AL138">
            <v>2.650033120501443E-3</v>
          </cell>
          <cell r="AM138">
            <v>2.7755168484453851E-3</v>
          </cell>
          <cell r="AN138">
            <v>2.7628644585776822E-3</v>
          </cell>
          <cell r="AO138">
            <v>2.9303847930584543E-3</v>
          </cell>
          <cell r="AP138">
            <v>2.8243957690108415E-3</v>
          </cell>
          <cell r="AQ138">
            <v>2.9559347089055639E-3</v>
          </cell>
          <cell r="AR138">
            <v>3.1063335005243717E-3</v>
          </cell>
          <cell r="AS138">
            <v>3.2836738232596041E-3</v>
          </cell>
          <cell r="AT138">
            <v>3.1154489390713218E-3</v>
          </cell>
          <cell r="AU138">
            <v>3.5348058026957192E-3</v>
          </cell>
          <cell r="AV138">
            <v>3.7048830634231907E-3</v>
          </cell>
          <cell r="AW138">
            <v>3.687617581029215E-3</v>
          </cell>
          <cell r="AX138">
            <v>3.6437847974958052E-3</v>
          </cell>
          <cell r="AY138">
            <v>3.5586767139680763E-3</v>
          </cell>
          <cell r="AZ138">
            <v>3.7444320712694879E-3</v>
          </cell>
          <cell r="BA138">
            <v>3.7537164702524366E-3</v>
          </cell>
          <cell r="BB138">
            <v>3.6847215521926616E-3</v>
          </cell>
          <cell r="BC138">
            <v>3.766190493819978E-3</v>
          </cell>
          <cell r="BD138">
            <v>3.4518627643280735E-3</v>
          </cell>
          <cell r="BE138">
            <v>3.2988657238695041E-3</v>
          </cell>
          <cell r="BF138">
            <v>3.5046526742844733E-3</v>
          </cell>
        </row>
        <row r="139">
          <cell r="A139" t="str">
            <v>TRx TEVETEN FRANCHISE</v>
          </cell>
          <cell r="K139">
            <v>13382</v>
          </cell>
          <cell r="L139">
            <v>13987</v>
          </cell>
          <cell r="M139">
            <v>14751</v>
          </cell>
          <cell r="N139">
            <v>42120</v>
          </cell>
          <cell r="O139">
            <v>17461</v>
          </cell>
          <cell r="P139">
            <v>19315</v>
          </cell>
          <cell r="Q139">
            <v>23350</v>
          </cell>
          <cell r="R139">
            <v>60126</v>
          </cell>
          <cell r="S139">
            <v>24451</v>
          </cell>
          <cell r="T139">
            <v>24737</v>
          </cell>
          <cell r="U139">
            <v>28716</v>
          </cell>
          <cell r="V139">
            <v>77904</v>
          </cell>
          <cell r="W139">
            <v>29929</v>
          </cell>
          <cell r="X139">
            <v>32581</v>
          </cell>
          <cell r="Y139">
            <v>33074</v>
          </cell>
          <cell r="Z139">
            <v>95584</v>
          </cell>
          <cell r="AA139">
            <v>34367</v>
          </cell>
          <cell r="AB139">
            <v>34185</v>
          </cell>
          <cell r="AC139">
            <v>35192</v>
          </cell>
          <cell r="AD139">
            <v>103744</v>
          </cell>
          <cell r="AE139">
            <v>37104</v>
          </cell>
          <cell r="AF139">
            <v>35528</v>
          </cell>
          <cell r="AG139">
            <v>39877</v>
          </cell>
          <cell r="AH139">
            <v>112509</v>
          </cell>
          <cell r="AI139">
            <v>39291</v>
          </cell>
          <cell r="AJ139">
            <v>37013</v>
          </cell>
          <cell r="AK139">
            <v>40652</v>
          </cell>
          <cell r="AL139">
            <v>116956</v>
          </cell>
          <cell r="AM139">
            <v>38803</v>
          </cell>
          <cell r="AN139">
            <v>38416</v>
          </cell>
          <cell r="AO139">
            <v>40842</v>
          </cell>
          <cell r="AP139">
            <v>118061</v>
          </cell>
          <cell r="AQ139">
            <v>40791</v>
          </cell>
          <cell r="AR139">
            <v>41748</v>
          </cell>
          <cell r="AS139">
            <v>42188</v>
          </cell>
          <cell r="AT139">
            <v>124727</v>
          </cell>
          <cell r="AU139">
            <v>43341</v>
          </cell>
          <cell r="AV139">
            <v>45259</v>
          </cell>
          <cell r="AW139">
            <v>47407</v>
          </cell>
          <cell r="AX139">
            <v>136007</v>
          </cell>
          <cell r="AY139">
            <v>47187</v>
          </cell>
          <cell r="AZ139">
            <v>44769</v>
          </cell>
          <cell r="BA139">
            <v>50318</v>
          </cell>
          <cell r="BB139">
            <v>142274</v>
          </cell>
          <cell r="BC139">
            <v>48798</v>
          </cell>
          <cell r="BD139">
            <v>49170</v>
          </cell>
          <cell r="BE139">
            <v>48480</v>
          </cell>
          <cell r="BF139">
            <v>146448</v>
          </cell>
        </row>
        <row r="140">
          <cell r="A140" t="str">
            <v xml:space="preserve">  % Change</v>
          </cell>
          <cell r="AA140">
            <v>1.5681512479450008</v>
          </cell>
          <cell r="AB140">
            <v>1.4440551941088153</v>
          </cell>
          <cell r="AC140">
            <v>1.3857365602332044</v>
          </cell>
          <cell r="AD140">
            <v>1.4630579297245965</v>
          </cell>
          <cell r="AE140">
            <v>1.1249642059446767</v>
          </cell>
          <cell r="AF140">
            <v>0.83939943049443433</v>
          </cell>
          <cell r="AG140">
            <v>0.70779443254817997</v>
          </cell>
          <cell r="AH140">
            <v>0.87122043708212749</v>
          </cell>
          <cell r="AI140">
            <v>0.60692814199828238</v>
          </cell>
          <cell r="AJ140">
            <v>0.49626066216598619</v>
          </cell>
          <cell r="AK140">
            <v>0.41565677670984824</v>
          </cell>
          <cell r="AL140">
            <v>0.50128363113575691</v>
          </cell>
          <cell r="AM140">
            <v>0.29650172073908254</v>
          </cell>
          <cell r="AN140">
            <v>0.1790921088978239</v>
          </cell>
          <cell r="AO140">
            <v>0.23486726733990437</v>
          </cell>
          <cell r="AP140">
            <v>0.23515441914964841</v>
          </cell>
          <cell r="AQ140">
            <v>0.18692350219687492</v>
          </cell>
          <cell r="AR140">
            <v>0.22123738481790256</v>
          </cell>
          <cell r="AS140">
            <v>0.1987951807228916</v>
          </cell>
          <cell r="AT140">
            <v>0.2022574799506478</v>
          </cell>
          <cell r="AU140">
            <v>0.16809508408796892</v>
          </cell>
          <cell r="AV140">
            <v>0.27389664489979726</v>
          </cell>
          <cell r="AW140">
            <v>0.18883065426185519</v>
          </cell>
          <cell r="AX140">
            <v>0.20885440275889033</v>
          </cell>
          <cell r="AY140">
            <v>0.20096205237840725</v>
          </cell>
          <cell r="AZ140">
            <v>0.20954799664982571</v>
          </cell>
          <cell r="BA140">
            <v>0.23777427924825356</v>
          </cell>
          <cell r="BB140">
            <v>0.21647457163377681</v>
          </cell>
          <cell r="BC140">
            <v>0.25758317655851348</v>
          </cell>
          <cell r="BD140">
            <v>0.27993544356518107</v>
          </cell>
          <cell r="BE140">
            <v>0.18701336859115614</v>
          </cell>
          <cell r="BF140">
            <v>0.24044349954684452</v>
          </cell>
        </row>
        <row r="141">
          <cell r="A141" t="str">
            <v>Price Change (YoY)</v>
          </cell>
          <cell r="AA141">
            <v>-2.4087718036135075E-2</v>
          </cell>
          <cell r="AB141">
            <v>-4.388397023515711E-2</v>
          </cell>
          <cell r="AC141">
            <v>2.3259479613564782E-2</v>
          </cell>
          <cell r="AD141">
            <v>0</v>
          </cell>
          <cell r="AE141">
            <v>1.9480852978004393E-4</v>
          </cell>
          <cell r="AF141">
            <v>-4.9318862314071565E-2</v>
          </cell>
          <cell r="AG141">
            <v>2.5575969683400146E-3</v>
          </cell>
          <cell r="AH141">
            <v>0</v>
          </cell>
          <cell r="AI141">
            <v>-3.8986468205443381E-2</v>
          </cell>
          <cell r="AJ141">
            <v>1.0551040659187993E-3</v>
          </cell>
          <cell r="AK141">
            <v>3.539643472313081E-2</v>
          </cell>
          <cell r="AL141">
            <v>0</v>
          </cell>
          <cell r="AM141">
            <v>3.1591116908111783E-3</v>
          </cell>
          <cell r="AN141">
            <v>-6.6236221977581611E-2</v>
          </cell>
          <cell r="AO141">
            <v>7.0832814186752024E-3</v>
          </cell>
          <cell r="AP141">
            <v>0</v>
          </cell>
          <cell r="AQ141">
            <v>-3.0067566960152003E-2</v>
          </cell>
          <cell r="AR141">
            <v>2.9652855373234921E-2</v>
          </cell>
          <cell r="AS141">
            <v>3.2208464384440028E-3</v>
          </cell>
          <cell r="AT141">
            <v>0</v>
          </cell>
          <cell r="AU141">
            <v>-3.3822797720121756E-2</v>
          </cell>
          <cell r="AV141">
            <v>0.1016133417346643</v>
          </cell>
          <cell r="AW141">
            <v>2.1173944799805167E-2</v>
          </cell>
          <cell r="AX141">
            <v>0</v>
          </cell>
          <cell r="AY141">
            <v>2.7755777444629981E-2</v>
          </cell>
          <cell r="AZ141">
            <v>1.7639959494734514E-2</v>
          </cell>
          <cell r="BA141">
            <v>2.0732471137894892E-2</v>
          </cell>
          <cell r="BB141">
            <v>0</v>
          </cell>
          <cell r="BC141">
            <v>2.9403554776435303E-2</v>
          </cell>
          <cell r="BD141">
            <v>6.8405812888325146E-2</v>
          </cell>
          <cell r="BE141">
            <v>1.7158990905761895E-2</v>
          </cell>
          <cell r="BF141">
            <v>0</v>
          </cell>
        </row>
        <row r="142">
          <cell r="A142" t="str">
            <v>Franchise Price Change (YoY)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7.5810181413764125E-6</v>
          </cell>
          <cell r="V142">
            <v>2.5831970734643121E-6</v>
          </cell>
          <cell r="W142">
            <v>1.049264476666877E-3</v>
          </cell>
          <cell r="X142">
            <v>6.1842748801770988E-3</v>
          </cell>
          <cell r="Y142">
            <v>9.6981076683074138E-3</v>
          </cell>
          <cell r="Z142">
            <v>5.6481107460590327E-3</v>
          </cell>
          <cell r="AA142">
            <v>1.1180914451450545E-2</v>
          </cell>
          <cell r="AB142">
            <v>1.2082003269741574E-2</v>
          </cell>
          <cell r="AC142">
            <v>1.2344151176635334E-2</v>
          </cell>
          <cell r="AD142">
            <v>0.05</v>
          </cell>
          <cell r="AE142">
            <v>1.2832341569393281E-2</v>
          </cell>
          <cell r="AF142">
            <v>1.3315460643118076E-2</v>
          </cell>
          <cell r="AG142">
            <v>7.2835621124722853E-3</v>
          </cell>
          <cell r="AH142">
            <v>0.05</v>
          </cell>
          <cell r="AI142">
            <v>7.3656680869602876E-3</v>
          </cell>
          <cell r="AJ142">
            <v>7.3813005192217337E-3</v>
          </cell>
          <cell r="AK142">
            <v>7.255055757669859E-3</v>
          </cell>
          <cell r="AL142">
            <v>0.05</v>
          </cell>
          <cell r="AM142">
            <v>7.1737884121584831E-3</v>
          </cell>
          <cell r="AN142">
            <v>7.1109386768537794E-3</v>
          </cell>
          <cell r="AO142">
            <v>7.1871309494836661E-3</v>
          </cell>
          <cell r="AP142">
            <v>0.05</v>
          </cell>
          <cell r="AQ142">
            <v>7.1678635949811772E-3</v>
          </cell>
          <cell r="AR142">
            <v>7.2252462023238541E-3</v>
          </cell>
          <cell r="AS142">
            <v>7.414460764412838E-3</v>
          </cell>
          <cell r="AT142">
            <v>0</v>
          </cell>
          <cell r="AU142">
            <v>7.4999999999999997E-3</v>
          </cell>
          <cell r="AV142">
            <v>7.7420297327195908E-3</v>
          </cell>
          <cell r="AW142">
            <v>7.7691392097919967E-3</v>
          </cell>
          <cell r="AX142">
            <v>0</v>
          </cell>
          <cell r="AY142">
            <v>7.8714767522280581E-3</v>
          </cell>
          <cell r="AZ142">
            <v>8.1070847217425933E-3</v>
          </cell>
          <cell r="BA142">
            <v>8.144398544956374E-3</v>
          </cell>
          <cell r="BB142">
            <v>0</v>
          </cell>
          <cell r="BC142">
            <v>8.1404770281503554E-3</v>
          </cell>
          <cell r="BD142">
            <v>7.9484753863990378E-3</v>
          </cell>
          <cell r="BE142">
            <v>1.9695397608621396E-2</v>
          </cell>
          <cell r="BF142">
            <v>0</v>
          </cell>
        </row>
        <row r="143">
          <cell r="A143" t="str">
            <v xml:space="preserve">TRx + Franchise Price Change </v>
          </cell>
          <cell r="K143">
            <v>13382</v>
          </cell>
          <cell r="L143">
            <v>13987</v>
          </cell>
          <cell r="M143">
            <v>14751</v>
          </cell>
          <cell r="N143">
            <v>42120</v>
          </cell>
          <cell r="O143">
            <v>17461</v>
          </cell>
          <cell r="P143">
            <v>19315</v>
          </cell>
          <cell r="Q143">
            <v>23350</v>
          </cell>
          <cell r="R143">
            <v>60126</v>
          </cell>
          <cell r="S143">
            <v>24451</v>
          </cell>
          <cell r="T143">
            <v>24737</v>
          </cell>
          <cell r="U143">
            <v>28716</v>
          </cell>
          <cell r="V143">
            <v>77904</v>
          </cell>
          <cell r="W143">
            <v>29929</v>
          </cell>
          <cell r="X143">
            <v>32581</v>
          </cell>
          <cell r="Y143">
            <v>33074</v>
          </cell>
          <cell r="Z143">
            <v>95584</v>
          </cell>
          <cell r="AA143">
            <v>34367</v>
          </cell>
          <cell r="AB143">
            <v>34185</v>
          </cell>
          <cell r="AC143">
            <v>35192</v>
          </cell>
          <cell r="AD143">
            <v>1.5130579297245965</v>
          </cell>
          <cell r="AE143">
            <v>37104</v>
          </cell>
          <cell r="AF143">
            <v>35528</v>
          </cell>
          <cell r="AG143">
            <v>39877</v>
          </cell>
          <cell r="AH143">
            <v>0.92122043708212753</v>
          </cell>
          <cell r="AI143">
            <v>39291</v>
          </cell>
          <cell r="AJ143">
            <v>37013</v>
          </cell>
          <cell r="AK143">
            <v>40652</v>
          </cell>
          <cell r="AL143">
            <v>0.55128363113575696</v>
          </cell>
          <cell r="AM143">
            <v>38803</v>
          </cell>
          <cell r="AN143">
            <v>38416</v>
          </cell>
          <cell r="AO143">
            <v>40842</v>
          </cell>
          <cell r="AP143">
            <v>0.2851544191496484</v>
          </cell>
          <cell r="AQ143">
            <v>40791</v>
          </cell>
          <cell r="AR143">
            <v>41748</v>
          </cell>
          <cell r="AS143">
            <v>42188</v>
          </cell>
          <cell r="AT143">
            <v>0.2022574799506478</v>
          </cell>
          <cell r="AU143">
            <v>43341</v>
          </cell>
          <cell r="AV143">
            <v>45259</v>
          </cell>
          <cell r="AW143">
            <v>47407</v>
          </cell>
          <cell r="AX143">
            <v>0.20885440275889033</v>
          </cell>
          <cell r="AY143">
            <v>47187</v>
          </cell>
          <cell r="AZ143">
            <v>44769</v>
          </cell>
          <cell r="BA143">
            <v>50318</v>
          </cell>
          <cell r="BB143">
            <v>0.21647457163377681</v>
          </cell>
          <cell r="BC143">
            <v>48798</v>
          </cell>
          <cell r="BD143">
            <v>49170</v>
          </cell>
          <cell r="BE143">
            <v>48480</v>
          </cell>
          <cell r="BF143">
            <v>0.24044349954684452</v>
          </cell>
        </row>
        <row r="144">
          <cell r="A144" t="str">
            <v xml:space="preserve">  % Change</v>
          </cell>
          <cell r="AA144">
            <v>1.5681512479450008</v>
          </cell>
          <cell r="AB144">
            <v>1.4440551941088153</v>
          </cell>
          <cell r="AC144">
            <v>1.3857365602332044</v>
          </cell>
          <cell r="AD144">
            <v>1.4630579297245965</v>
          </cell>
          <cell r="AE144">
            <v>1.1249642059446767</v>
          </cell>
          <cell r="AF144">
            <v>0.83939943049443433</v>
          </cell>
          <cell r="AG144">
            <v>0.70779443254817997</v>
          </cell>
          <cell r="AH144">
            <v>0.87122043708212749</v>
          </cell>
          <cell r="AI144">
            <v>0.60692814199828238</v>
          </cell>
          <cell r="AJ144">
            <v>0.49626066216598619</v>
          </cell>
          <cell r="AK144">
            <v>0.41565677670984824</v>
          </cell>
          <cell r="AL144">
            <v>0.50128363113575691</v>
          </cell>
          <cell r="AM144">
            <v>0.29650172073908254</v>
          </cell>
          <cell r="AN144">
            <v>0.1790921088978239</v>
          </cell>
          <cell r="AO144">
            <v>0.23486726733990437</v>
          </cell>
          <cell r="AP144">
            <v>0.23515441914964841</v>
          </cell>
          <cell r="AQ144">
            <v>0.18692350219687492</v>
          </cell>
          <cell r="AR144">
            <v>0.22123738481790256</v>
          </cell>
          <cell r="AS144">
            <v>0.1987951807228916</v>
          </cell>
          <cell r="AT144">
            <v>0.2022574799506478</v>
          </cell>
          <cell r="AU144">
            <v>0.16809508408796892</v>
          </cell>
          <cell r="AV144">
            <v>0.27389664489979726</v>
          </cell>
          <cell r="AW144">
            <v>0.18883065426185519</v>
          </cell>
          <cell r="AX144">
            <v>0.20885440275889033</v>
          </cell>
          <cell r="AY144">
            <v>0.20096205237840725</v>
          </cell>
          <cell r="AZ144">
            <v>0.20954799664982571</v>
          </cell>
          <cell r="BA144">
            <v>0.23777427924825356</v>
          </cell>
          <cell r="BB144">
            <v>0.21647457163377681</v>
          </cell>
          <cell r="BC144">
            <v>0.25758317655851348</v>
          </cell>
          <cell r="BD144">
            <v>0.27993544356518107</v>
          </cell>
          <cell r="BE144">
            <v>0.18701336859115614</v>
          </cell>
          <cell r="BF144">
            <v>0.24044349954684452</v>
          </cell>
        </row>
        <row r="145">
          <cell r="A145" t="str">
            <v>TOTAL TEVETEN FR. SALES (IMS)</v>
          </cell>
          <cell r="K145">
            <v>0.633328</v>
          </cell>
          <cell r="L145">
            <v>0.65240900000000002</v>
          </cell>
          <cell r="M145">
            <v>0.91699600000000003</v>
          </cell>
          <cell r="N145">
            <v>2.2027330000000003</v>
          </cell>
          <cell r="O145">
            <v>1.1638820000000001</v>
          </cell>
          <cell r="P145">
            <v>1.345566</v>
          </cell>
          <cell r="Q145">
            <v>1.2606740000000001</v>
          </cell>
          <cell r="R145">
            <v>3.7701220000000002</v>
          </cell>
          <cell r="S145">
            <v>1.0945769999999999</v>
          </cell>
          <cell r="T145">
            <v>1.1581379999999999</v>
          </cell>
          <cell r="U145">
            <v>2.5036329999999998</v>
          </cell>
          <cell r="V145">
            <v>4.756348</v>
          </cell>
          <cell r="W145">
            <v>1.6685430000000001</v>
          </cell>
          <cell r="X145">
            <v>1.384633</v>
          </cell>
          <cell r="Y145">
            <v>1.8567340000000001</v>
          </cell>
          <cell r="Z145">
            <v>4.90991</v>
          </cell>
          <cell r="AA145">
            <v>1.482294</v>
          </cell>
          <cell r="AB145">
            <v>1.551153</v>
          </cell>
          <cell r="AC145">
            <v>1.9764699999999999</v>
          </cell>
          <cell r="AD145">
            <v>5.0099169999999997</v>
          </cell>
          <cell r="AE145">
            <v>1.5924469999999999</v>
          </cell>
          <cell r="AF145">
            <v>1.618749</v>
          </cell>
          <cell r="AG145">
            <v>2.049496</v>
          </cell>
          <cell r="AH145">
            <v>5.2606920000000006</v>
          </cell>
          <cell r="AI145">
            <v>1.740335</v>
          </cell>
          <cell r="AJ145">
            <v>1.6908339999999999</v>
          </cell>
          <cell r="AK145">
            <v>2.2194069999999999</v>
          </cell>
          <cell r="AL145">
            <v>5.6505759999999992</v>
          </cell>
          <cell r="AM145">
            <v>1.810184</v>
          </cell>
          <cell r="AN145">
            <v>1.8414729999999999</v>
          </cell>
          <cell r="AO145">
            <v>2.280656</v>
          </cell>
          <cell r="AP145">
            <v>5.9323130000000006</v>
          </cell>
          <cell r="AQ145">
            <v>1.851631</v>
          </cell>
          <cell r="AR145">
            <v>1.9004789999999998</v>
          </cell>
          <cell r="AS145">
            <v>2.4827780000000002</v>
          </cell>
          <cell r="AT145">
            <v>6.2348879999999998</v>
          </cell>
          <cell r="AU145">
            <v>2.0342579999999999</v>
          </cell>
          <cell r="AV145">
            <v>2.0909610000000001</v>
          </cell>
          <cell r="AW145">
            <v>2.6696420000000001</v>
          </cell>
          <cell r="AX145">
            <v>6.794861</v>
          </cell>
          <cell r="AY145">
            <v>2.2379630000000001</v>
          </cell>
          <cell r="AZ145">
            <v>2.2191239999999999</v>
          </cell>
          <cell r="BA145">
            <v>3.0025140000000001</v>
          </cell>
          <cell r="BB145">
            <v>7.4596009999999993</v>
          </cell>
          <cell r="BC145">
            <v>2.5333740000000002</v>
          </cell>
          <cell r="BD145">
            <v>2.4977270000000003</v>
          </cell>
          <cell r="BE145">
            <v>3.2491279999999998</v>
          </cell>
          <cell r="BF145">
            <v>8.2802290000000003</v>
          </cell>
        </row>
        <row r="146">
          <cell r="A146" t="str">
            <v xml:space="preserve">  % Change</v>
          </cell>
          <cell r="AA146">
            <v>1.3404839198645884</v>
          </cell>
          <cell r="AB146">
            <v>1.3775775625412892</v>
          </cell>
          <cell r="AC146">
            <v>1.1553747235538649</v>
          </cell>
          <cell r="AD146">
            <v>1.2744095630292001</v>
          </cell>
          <cell r="AE146">
            <v>0.36822031786727516</v>
          </cell>
          <cell r="AF146">
            <v>0.20302460079996076</v>
          </cell>
          <cell r="AG146">
            <v>0.62571449875225471</v>
          </cell>
          <cell r="AH146">
            <v>0.39536386355667008</v>
          </cell>
          <cell r="AI146">
            <v>0.58996123616703078</v>
          </cell>
          <cell r="AJ146">
            <v>0.45995900315851834</v>
          </cell>
          <cell r="AK146">
            <v>-0.1135254248526042</v>
          </cell>
          <cell r="AL146">
            <v>0.18800726944285806</v>
          </cell>
          <cell r="AM146">
            <v>8.4889031927855463E-2</v>
          </cell>
          <cell r="AN146">
            <v>0.3299358024834016</v>
          </cell>
          <cell r="AO146">
            <v>0.22831595694375162</v>
          </cell>
          <cell r="AP146">
            <v>0.20823253379389861</v>
          </cell>
          <cell r="AQ146">
            <v>0.24916582000601761</v>
          </cell>
          <cell r="AR146">
            <v>0.22520409011876952</v>
          </cell>
          <cell r="AS146">
            <v>0.25616781433565916</v>
          </cell>
          <cell r="AT146">
            <v>0.24450924037264499</v>
          </cell>
          <cell r="AU146">
            <v>0.27744157262376712</v>
          </cell>
          <cell r="AV146">
            <v>0.29171415704349468</v>
          </cell>
          <cell r="AW146">
            <v>0.30258463544207936</v>
          </cell>
          <cell r="AX146">
            <v>0.29162874389909144</v>
          </cell>
          <cell r="AY146">
            <v>0.28593805215662504</v>
          </cell>
          <cell r="AZ146">
            <v>0.31244344506911981</v>
          </cell>
          <cell r="BA146">
            <v>0.35284515188066012</v>
          </cell>
          <cell r="BB146">
            <v>0.32014877775292305</v>
          </cell>
          <cell r="BC146">
            <v>0.39951187282618794</v>
          </cell>
          <cell r="BD146">
            <v>0.35637448933543991</v>
          </cell>
          <cell r="BE146">
            <v>0.42464624213384217</v>
          </cell>
          <cell r="BF146">
            <v>0.39578424132374668</v>
          </cell>
        </row>
        <row r="147">
          <cell r="A147" t="str">
            <v xml:space="preserve">TRx + Franchise Price Change </v>
          </cell>
          <cell r="AD147">
            <v>1.5130579297245965</v>
          </cell>
          <cell r="AH147">
            <v>0.92122043708212753</v>
          </cell>
          <cell r="AL147">
            <v>0.55128363113575696</v>
          </cell>
          <cell r="AP147">
            <v>0.2851544191496484</v>
          </cell>
          <cell r="AT147">
            <v>0.2022574799506478</v>
          </cell>
          <cell r="AX147">
            <v>0.20885440275889033</v>
          </cell>
          <cell r="BB147">
            <v>0.21647457163377681</v>
          </cell>
          <cell r="BF147">
            <v>0.24044349954684452</v>
          </cell>
        </row>
        <row r="148">
          <cell r="A148" t="str">
            <v>TOTAL TEVETEN FR. REPORTED SALES</v>
          </cell>
          <cell r="V148">
            <v>11.3</v>
          </cell>
          <cell r="Z148">
            <v>2.1</v>
          </cell>
          <cell r="AD148">
            <v>6.8</v>
          </cell>
          <cell r="AH148">
            <v>2.1</v>
          </cell>
          <cell r="AL148">
            <v>4.6790000000000003</v>
          </cell>
          <cell r="AP148">
            <v>2.4</v>
          </cell>
          <cell r="AT148">
            <v>5.3</v>
          </cell>
          <cell r="AX148">
            <v>5.2</v>
          </cell>
          <cell r="BB148">
            <v>5.4809999999999999</v>
          </cell>
          <cell r="BF148">
            <v>7.2</v>
          </cell>
        </row>
        <row r="149">
          <cell r="A149" t="str">
            <v xml:space="preserve">  % Change</v>
          </cell>
          <cell r="K149">
            <v>0.633328</v>
          </cell>
          <cell r="L149">
            <v>0.65240900000000002</v>
          </cell>
          <cell r="M149">
            <v>0.91699600000000003</v>
          </cell>
          <cell r="N149">
            <v>2.2027330000000003</v>
          </cell>
          <cell r="O149">
            <v>1.1638820000000001</v>
          </cell>
          <cell r="P149">
            <v>1.345566</v>
          </cell>
          <cell r="Q149">
            <v>1.2606740000000001</v>
          </cell>
          <cell r="R149">
            <v>3.7701220000000002</v>
          </cell>
          <cell r="S149">
            <v>1.0945769999999999</v>
          </cell>
          <cell r="T149">
            <v>1.1581379999999999</v>
          </cell>
          <cell r="U149">
            <v>2.5036329999999998</v>
          </cell>
          <cell r="V149">
            <v>4.756348</v>
          </cell>
          <cell r="W149">
            <v>1.6685430000000001</v>
          </cell>
          <cell r="X149">
            <v>1.384633</v>
          </cell>
          <cell r="Y149">
            <v>1.8567340000000001</v>
          </cell>
          <cell r="Z149">
            <v>4.90991</v>
          </cell>
          <cell r="AA149">
            <v>1.482294</v>
          </cell>
          <cell r="AB149">
            <v>1.551153</v>
          </cell>
          <cell r="AC149">
            <v>1.9764699999999999</v>
          </cell>
          <cell r="AD149">
            <v>5.0099169999999997</v>
          </cell>
          <cell r="AE149">
            <v>1.5924469999999999</v>
          </cell>
          <cell r="AF149">
            <v>1.618749</v>
          </cell>
          <cell r="AG149">
            <v>2.049496</v>
          </cell>
          <cell r="AH149">
            <v>5.2606920000000006</v>
          </cell>
          <cell r="AI149">
            <v>1.740335</v>
          </cell>
          <cell r="AJ149">
            <v>1.6908339999999999</v>
          </cell>
          <cell r="AK149">
            <v>2.2194069999999999</v>
          </cell>
          <cell r="AL149">
            <v>-0.58592920353982303</v>
          </cell>
          <cell r="AM149">
            <v>1.810184</v>
          </cell>
          <cell r="AN149">
            <v>1.8414729999999999</v>
          </cell>
          <cell r="AO149">
            <v>2.280656</v>
          </cell>
          <cell r="AP149">
            <v>0.14285714285714279</v>
          </cell>
          <cell r="AQ149">
            <v>1.851631</v>
          </cell>
          <cell r="AR149">
            <v>1.9004789999999998</v>
          </cell>
          <cell r="AS149">
            <v>2.4827780000000002</v>
          </cell>
          <cell r="AT149">
            <v>-0.22058823529411764</v>
          </cell>
          <cell r="AU149">
            <v>2.0342579999999999</v>
          </cell>
          <cell r="AV149">
            <v>2.0909610000000001</v>
          </cell>
          <cell r="AW149">
            <v>2.6696420000000001</v>
          </cell>
          <cell r="AX149">
            <v>1.4761904761904763</v>
          </cell>
          <cell r="AY149">
            <v>2.2379630000000001</v>
          </cell>
          <cell r="AZ149">
            <v>2.2191239999999999</v>
          </cell>
          <cell r="BA149">
            <v>3.0025140000000001</v>
          </cell>
          <cell r="BB149">
            <v>0.17140414618508215</v>
          </cell>
          <cell r="BC149">
            <v>2.5333740000000002</v>
          </cell>
          <cell r="BD149">
            <v>2.4977270000000003</v>
          </cell>
          <cell r="BE149">
            <v>3.2491279999999998</v>
          </cell>
          <cell r="BF149">
            <v>2</v>
          </cell>
        </row>
        <row r="150">
          <cell r="A150" t="str">
            <v xml:space="preserve">  % Change</v>
          </cell>
          <cell r="AA150">
            <v>1.3404839198645884</v>
          </cell>
          <cell r="AB150">
            <v>1.3775775625412892</v>
          </cell>
          <cell r="AC150">
            <v>1.1553747235538649</v>
          </cell>
          <cell r="AD150">
            <v>1.2744095630292001</v>
          </cell>
          <cell r="AE150">
            <v>0.36822031786727516</v>
          </cell>
          <cell r="AF150">
            <v>0.20302460079996076</v>
          </cell>
          <cell r="AG150">
            <v>0.62571449875225471</v>
          </cell>
          <cell r="AH150">
            <v>0.39536386355667008</v>
          </cell>
          <cell r="AI150">
            <v>0.58996123616703078</v>
          </cell>
          <cell r="AJ150">
            <v>0.45995900315851834</v>
          </cell>
          <cell r="AK150">
            <v>-0.1135254248526042</v>
          </cell>
          <cell r="AL150">
            <v>0.18800726944285806</v>
          </cell>
          <cell r="AM150">
            <v>8.4889031927855463E-2</v>
          </cell>
          <cell r="AN150">
            <v>0.3299358024834016</v>
          </cell>
          <cell r="AO150">
            <v>0.22831595694375162</v>
          </cell>
          <cell r="AP150">
            <v>0.20823253379389861</v>
          </cell>
          <cell r="AQ150">
            <v>0.24916582000601761</v>
          </cell>
          <cell r="AR150">
            <v>0.22520409011876952</v>
          </cell>
          <cell r="AS150">
            <v>0.25616781433565916</v>
          </cell>
          <cell r="AT150">
            <v>0.24450924037264499</v>
          </cell>
          <cell r="AU150">
            <v>0.27744157262376712</v>
          </cell>
          <cell r="AV150">
            <v>0.29171415704349468</v>
          </cell>
          <cell r="AW150">
            <v>0.30258463544207936</v>
          </cell>
          <cell r="AX150">
            <v>0.29162874389909144</v>
          </cell>
          <cell r="AY150">
            <v>0.28593805215662504</v>
          </cell>
          <cell r="AZ150">
            <v>0.31244344506911981</v>
          </cell>
          <cell r="BA150">
            <v>0.35284515188066012</v>
          </cell>
          <cell r="BB150">
            <v>0.32014877775292305</v>
          </cell>
          <cell r="BC150">
            <v>0.39951187282618794</v>
          </cell>
          <cell r="BD150">
            <v>0.35637448933543991</v>
          </cell>
          <cell r="BE150">
            <v>0.42464624213384217</v>
          </cell>
          <cell r="BF150">
            <v>0.39578424132374668</v>
          </cell>
        </row>
        <row r="151">
          <cell r="A151" t="str">
            <v>REPORTED SALES/TRx TEVETEN FR.</v>
          </cell>
          <cell r="Z151">
            <v>21.970204218279211</v>
          </cell>
          <cell r="AD151">
            <v>65.545959284392353</v>
          </cell>
          <cell r="AH151">
            <v>18.665173452790444</v>
          </cell>
          <cell r="AL151">
            <v>40.006498170252058</v>
          </cell>
          <cell r="AP151">
            <v>20.328474263304564</v>
          </cell>
          <cell r="AT151">
            <v>42.492804284557472</v>
          </cell>
          <cell r="AX151">
            <v>38.233326225856025</v>
          </cell>
          <cell r="BB151">
            <v>38.524256013045253</v>
          </cell>
          <cell r="BF151">
            <v>49.164208456243855</v>
          </cell>
        </row>
        <row r="152">
          <cell r="A152" t="str">
            <v>IMS SALES/REPORTED SALES</v>
          </cell>
          <cell r="V152">
            <v>11.3</v>
          </cell>
          <cell r="Z152">
            <v>2.338052380952381</v>
          </cell>
          <cell r="AD152">
            <v>0.73675250000000003</v>
          </cell>
          <cell r="AH152">
            <v>2.5050914285714287</v>
          </cell>
          <cell r="AL152">
            <v>1.2076460782218421</v>
          </cell>
          <cell r="AP152">
            <v>2.4717970833333336</v>
          </cell>
          <cell r="AT152">
            <v>1.1763939622641508</v>
          </cell>
          <cell r="AX152">
            <v>1.3067040384615385</v>
          </cell>
          <cell r="BB152">
            <v>1.3609927020616674</v>
          </cell>
          <cell r="BF152">
            <v>1.1500318055555556</v>
          </cell>
        </row>
        <row r="153">
          <cell r="A153" t="str">
            <v xml:space="preserve">  % Change</v>
          </cell>
          <cell r="AL153">
            <v>-0.58592920353982303</v>
          </cell>
          <cell r="AP153">
            <v>0.14285714285714279</v>
          </cell>
          <cell r="AT153">
            <v>-0.22058823529411764</v>
          </cell>
          <cell r="AX153">
            <v>1.4761904761904763</v>
          </cell>
          <cell r="BB153">
            <v>0.17140414618508215</v>
          </cell>
          <cell r="BF153">
            <v>1.1356999999999999</v>
          </cell>
        </row>
        <row r="154">
          <cell r="A154" t="str">
            <v>Price change</v>
          </cell>
          <cell r="AX154">
            <v>0.05</v>
          </cell>
          <cell r="BB154">
            <v>0.05</v>
          </cell>
          <cell r="BF154">
            <v>0.05</v>
          </cell>
        </row>
        <row r="155">
          <cell r="A155" t="str">
            <v>TRx KOSP PRODUCTS (2)</v>
          </cell>
          <cell r="C155">
            <v>239822</v>
          </cell>
          <cell r="D155">
            <v>230449</v>
          </cell>
          <cell r="E155">
            <v>263604</v>
          </cell>
          <cell r="F155">
            <v>733875</v>
          </cell>
          <cell r="G155">
            <v>282223</v>
          </cell>
          <cell r="H155">
            <v>299025</v>
          </cell>
          <cell r="I155">
            <v>291482</v>
          </cell>
          <cell r="J155">
            <v>872730</v>
          </cell>
          <cell r="K155">
            <v>320190</v>
          </cell>
          <cell r="L155">
            <v>327676</v>
          </cell>
          <cell r="M155">
            <v>321739</v>
          </cell>
          <cell r="N155">
            <v>969605</v>
          </cell>
          <cell r="O155">
            <v>350399</v>
          </cell>
          <cell r="P155">
            <v>339763</v>
          </cell>
          <cell r="Q155">
            <v>361178</v>
          </cell>
          <cell r="R155">
            <v>1051340</v>
          </cell>
          <cell r="S155">
            <v>353381</v>
          </cell>
          <cell r="T155">
            <v>326615</v>
          </cell>
          <cell r="U155">
            <v>357775</v>
          </cell>
          <cell r="V155">
            <v>1037771</v>
          </cell>
          <cell r="W155">
            <v>355859</v>
          </cell>
          <cell r="X155">
            <v>372438</v>
          </cell>
          <cell r="Y155">
            <v>372078</v>
          </cell>
          <cell r="Z155">
            <v>1100375</v>
          </cell>
          <cell r="AA155">
            <v>388185</v>
          </cell>
          <cell r="AB155">
            <v>386278</v>
          </cell>
          <cell r="AC155">
            <v>396219</v>
          </cell>
          <cell r="AD155">
            <v>1170682</v>
          </cell>
          <cell r="AE155">
            <v>419492</v>
          </cell>
          <cell r="AF155">
            <v>395717</v>
          </cell>
          <cell r="AG155">
            <v>441743</v>
          </cell>
          <cell r="AH155">
            <v>1256952</v>
          </cell>
          <cell r="AI155">
            <v>425866</v>
          </cell>
          <cell r="AJ155">
            <v>406145</v>
          </cell>
          <cell r="AK155">
            <v>461863</v>
          </cell>
          <cell r="AL155">
            <v>1293874</v>
          </cell>
          <cell r="AM155">
            <v>556647</v>
          </cell>
          <cell r="AN155">
            <v>553387</v>
          </cell>
          <cell r="AO155">
            <v>576454</v>
          </cell>
          <cell r="AP155">
            <v>1686488</v>
          </cell>
          <cell r="AQ155">
            <v>570106</v>
          </cell>
          <cell r="AR155">
            <v>584902</v>
          </cell>
          <cell r="AS155">
            <v>579730</v>
          </cell>
          <cell r="AT155">
            <v>1734738</v>
          </cell>
          <cell r="AU155">
            <v>592764</v>
          </cell>
          <cell r="AV155">
            <v>602927</v>
          </cell>
          <cell r="AW155">
            <v>627275</v>
          </cell>
          <cell r="AX155">
            <v>1822966</v>
          </cell>
          <cell r="AY155">
            <v>609363</v>
          </cell>
          <cell r="AZ155">
            <v>566156</v>
          </cell>
          <cell r="BA155">
            <v>634744</v>
          </cell>
          <cell r="BB155">
            <v>1810263</v>
          </cell>
          <cell r="BC155">
            <v>612358</v>
          </cell>
          <cell r="BD155">
            <v>822799</v>
          </cell>
          <cell r="BE155">
            <v>821363</v>
          </cell>
          <cell r="BF155">
            <v>2256520</v>
          </cell>
        </row>
        <row r="156">
          <cell r="A156" t="str">
            <v xml:space="preserve">  % Change</v>
          </cell>
          <cell r="S156">
            <v>0.4735136893195786</v>
          </cell>
          <cell r="T156">
            <v>0.41729840441919896</v>
          </cell>
          <cell r="U156">
            <v>0.35724419963278242</v>
          </cell>
          <cell r="V156">
            <v>0.41409776869357851</v>
          </cell>
          <cell r="W156">
            <v>0.26091424157492482</v>
          </cell>
          <cell r="X156">
            <v>0.24550790067720096</v>
          </cell>
          <cell r="Y156">
            <v>0.27650420952237198</v>
          </cell>
          <cell r="Z156">
            <v>0.26084241403412278</v>
          </cell>
          <cell r="AA156">
            <v>0.21235828726693518</v>
          </cell>
          <cell r="AB156">
            <v>0.17884129444939512</v>
          </cell>
          <cell r="AC156">
            <v>0.23149198573999419</v>
          </cell>
          <cell r="AD156">
            <v>0.20738032497769709</v>
          </cell>
          <cell r="AE156">
            <v>0.19718378191718577</v>
          </cell>
          <cell r="AF156">
            <v>0.16468538363506324</v>
          </cell>
          <cell r="AG156">
            <v>0.22306175902186731</v>
          </cell>
          <cell r="AH156">
            <v>0.1955713660661631</v>
          </cell>
          <cell r="AI156">
            <v>0.2051185547610086</v>
          </cell>
          <cell r="AJ156">
            <v>0.24349769606417349</v>
          </cell>
          <cell r="AK156">
            <v>0.29093145133114384</v>
          </cell>
          <cell r="AL156">
            <v>0.2467818044636052</v>
          </cell>
          <cell r="AM156">
            <v>0.564234710938883</v>
          </cell>
          <cell r="AN156">
            <v>0.48584999382447558</v>
          </cell>
          <cell r="AO156">
            <v>0.54928267728809543</v>
          </cell>
          <cell r="AP156">
            <v>0.53264841531296159</v>
          </cell>
          <cell r="AQ156">
            <v>0.46864510478251353</v>
          </cell>
          <cell r="AR156">
            <v>0.51419961789177737</v>
          </cell>
          <cell r="AS156">
            <v>0.46315547714773908</v>
          </cell>
          <cell r="AT156">
            <v>0.48181829053491887</v>
          </cell>
          <cell r="AU156">
            <v>0.41305197715331876</v>
          </cell>
          <cell r="AV156">
            <v>0.52363178736319127</v>
          </cell>
          <cell r="AW156">
            <v>0.41999986417441826</v>
          </cell>
          <cell r="AX156">
            <v>0.45030677384657491</v>
          </cell>
          <cell r="AY156">
            <v>0.43087966637392983</v>
          </cell>
          <cell r="AZ156">
            <v>0.39397505816888057</v>
          </cell>
          <cell r="BA156">
            <v>0.37431229607047967</v>
          </cell>
          <cell r="BB156">
            <v>0.39910300384736064</v>
          </cell>
          <cell r="BC156">
            <v>0.10008317659126886</v>
          </cell>
          <cell r="BD156">
            <v>0.48684193882400573</v>
          </cell>
          <cell r="BE156">
            <v>0.42485436825835188</v>
          </cell>
          <cell r="BF156">
            <v>0.33799944025691264</v>
          </cell>
        </row>
        <row r="157">
          <cell r="A157" t="str">
            <v>TOTAL KOSP REPORTED SALES (3)</v>
          </cell>
          <cell r="F157">
            <v>33.886000000000003</v>
          </cell>
          <cell r="J157">
            <v>38.253999999999998</v>
          </cell>
          <cell r="N157">
            <v>45.536000000000001</v>
          </cell>
          <cell r="R157">
            <v>55</v>
          </cell>
          <cell r="V157">
            <v>57.872000000000007</v>
          </cell>
          <cell r="Z157">
            <v>64.900000000000006</v>
          </cell>
          <cell r="AD157">
            <v>73.5</v>
          </cell>
          <cell r="AH157">
            <v>87.275999999999996</v>
          </cell>
          <cell r="AL157">
            <v>94.268000000000001</v>
          </cell>
          <cell r="AP157">
            <v>119.8</v>
          </cell>
          <cell r="AT157">
            <v>131.5</v>
          </cell>
          <cell r="AX157">
            <v>150</v>
          </cell>
          <cell r="BB157">
            <v>152.69999999999999</v>
          </cell>
          <cell r="BF157">
            <v>176.9</v>
          </cell>
        </row>
        <row r="158">
          <cell r="A158" t="str">
            <v xml:space="preserve">  % Change</v>
          </cell>
          <cell r="V158">
            <v>0.70784394735288925</v>
          </cell>
          <cell r="Z158">
            <v>0.69655460866837449</v>
          </cell>
          <cell r="AD158">
            <v>0.61410751932536889</v>
          </cell>
          <cell r="AH158">
            <v>0.5868363636363636</v>
          </cell>
          <cell r="AL158">
            <v>0.6289051700304118</v>
          </cell>
          <cell r="AP158">
            <v>0.84591679506933759</v>
          </cell>
          <cell r="AT158">
            <v>0.78911564625850339</v>
          </cell>
          <cell r="AX158">
            <v>0.7186855492919022</v>
          </cell>
          <cell r="BB158">
            <v>0.61984978996053797</v>
          </cell>
          <cell r="BF158">
            <v>0.47662771285475802</v>
          </cell>
        </row>
        <row r="159">
          <cell r="A159" t="str">
            <v>TOTAL KOSP SALES (IMS) (2)</v>
          </cell>
          <cell r="C159">
            <v>12.056334999999999</v>
          </cell>
          <cell r="D159">
            <v>13.624492999999999</v>
          </cell>
          <cell r="E159">
            <v>18.127157999999998</v>
          </cell>
          <cell r="F159">
            <v>43.807985999999993</v>
          </cell>
          <cell r="G159">
            <v>14.940994999999999</v>
          </cell>
          <cell r="H159">
            <v>16.452639999999999</v>
          </cell>
          <cell r="I159">
            <v>20.506918000000002</v>
          </cell>
          <cell r="J159">
            <v>51.900553000000002</v>
          </cell>
          <cell r="K159">
            <v>17.382525000000001</v>
          </cell>
          <cell r="L159">
            <v>17.134838999999999</v>
          </cell>
          <cell r="M159">
            <v>22.871970000000001</v>
          </cell>
          <cell r="N159">
            <v>57.389334000000005</v>
          </cell>
          <cell r="O159">
            <v>20.033485000000002</v>
          </cell>
          <cell r="P159">
            <v>20.551318000000002</v>
          </cell>
          <cell r="Q159">
            <v>26.530011999999999</v>
          </cell>
          <cell r="R159">
            <v>67.114815000000007</v>
          </cell>
          <cell r="S159">
            <v>22.180093999999997</v>
          </cell>
          <cell r="T159">
            <v>23.494841999999998</v>
          </cell>
          <cell r="U159">
            <v>30.032063999999998</v>
          </cell>
          <cell r="V159">
            <v>75.706999999999994</v>
          </cell>
          <cell r="W159">
            <v>25.386917999999998</v>
          </cell>
          <cell r="X159">
            <v>25.052417999999999</v>
          </cell>
          <cell r="Y159">
            <v>32.543942000000001</v>
          </cell>
          <cell r="Z159">
            <v>82.983277999999999</v>
          </cell>
          <cell r="AA159">
            <v>26.623985999999999</v>
          </cell>
          <cell r="AB159">
            <v>27.724118999999998</v>
          </cell>
          <cell r="AC159">
            <v>33.512473999999997</v>
          </cell>
          <cell r="AD159">
            <v>87.860579000000001</v>
          </cell>
          <cell r="AE159">
            <v>29.235408999999997</v>
          </cell>
          <cell r="AF159">
            <v>29.265874</v>
          </cell>
          <cell r="AG159">
            <v>36.608328999999998</v>
          </cell>
          <cell r="AH159">
            <v>95.109611999999998</v>
          </cell>
          <cell r="AI159">
            <v>29.912807999999998</v>
          </cell>
          <cell r="AJ159">
            <v>33.750163999999998</v>
          </cell>
          <cell r="AK159">
            <v>44.396256999999999</v>
          </cell>
          <cell r="AL159">
            <v>108.059229</v>
          </cell>
          <cell r="AM159">
            <v>45.536391999999999</v>
          </cell>
          <cell r="AN159">
            <v>47.448915</v>
          </cell>
          <cell r="AO159">
            <v>58.083659999999995</v>
          </cell>
          <cell r="AP159">
            <v>151.06896699999999</v>
          </cell>
          <cell r="AQ159">
            <v>47.620370999999999</v>
          </cell>
          <cell r="AR159">
            <v>48.523768999999994</v>
          </cell>
          <cell r="AS159">
            <v>60.460484000000001</v>
          </cell>
          <cell r="AT159">
            <v>156.604624</v>
          </cell>
          <cell r="AU159">
            <v>51.447113999999999</v>
          </cell>
          <cell r="AV159">
            <v>52.385159000000002</v>
          </cell>
          <cell r="AW159">
            <v>65.569232</v>
          </cell>
          <cell r="AX159">
            <v>169.40150499999999</v>
          </cell>
          <cell r="AY159">
            <v>53.846355000000003</v>
          </cell>
          <cell r="AZ159">
            <v>57.175816000000005</v>
          </cell>
          <cell r="BA159">
            <v>69.830241000000001</v>
          </cell>
          <cell r="BB159">
            <v>180.85241200000002</v>
          </cell>
          <cell r="BC159">
            <v>55.796681999999997</v>
          </cell>
          <cell r="BD159">
            <v>68.163961999999998</v>
          </cell>
          <cell r="BE159">
            <v>88.47793999999999</v>
          </cell>
          <cell r="BF159">
            <v>212.43858399999999</v>
          </cell>
        </row>
        <row r="160">
          <cell r="A160" t="str">
            <v xml:space="preserve">  % Change</v>
          </cell>
          <cell r="S160">
            <v>0.4735136893195786</v>
          </cell>
          <cell r="T160">
            <v>0.41729840441919896</v>
          </cell>
          <cell r="U160">
            <v>0.35724419963278242</v>
          </cell>
          <cell r="V160">
            <v>0.72815522722272608</v>
          </cell>
          <cell r="W160">
            <v>0.26091424157492482</v>
          </cell>
          <cell r="X160">
            <v>0.24550790067720096</v>
          </cell>
          <cell r="Y160">
            <v>0.27650420952237198</v>
          </cell>
          <cell r="Z160">
            <v>0.59889005421579977</v>
          </cell>
          <cell r="AA160">
            <v>0.53165239227327432</v>
          </cell>
          <cell r="AB160">
            <v>0.61799705267146066</v>
          </cell>
          <cell r="AC160">
            <v>0.46522026742777278</v>
          </cell>
          <cell r="AD160">
            <v>0.53095658855354544</v>
          </cell>
          <cell r="AE160">
            <v>0.45932717148314395</v>
          </cell>
          <cell r="AF160">
            <v>0.42403878914238002</v>
          </cell>
          <cell r="AG160">
            <v>0.37988362010541121</v>
          </cell>
          <cell r="AH160">
            <v>0.41711799399283134</v>
          </cell>
          <cell r="AI160">
            <v>0.3486330580925403</v>
          </cell>
          <cell r="AJ160">
            <v>0.43649248630827131</v>
          </cell>
          <cell r="AK160">
            <v>0.47829523139002372</v>
          </cell>
          <cell r="AL160">
            <v>0.42733471145336632</v>
          </cell>
          <cell r="AM160">
            <v>0.79369516220913483</v>
          </cell>
          <cell r="AN160">
            <v>0.89398544284228376</v>
          </cell>
          <cell r="AO160">
            <v>0.78477641092157779</v>
          </cell>
          <cell r="AP160">
            <v>0.82047480698460706</v>
          </cell>
          <cell r="AQ160">
            <v>0.78862665417567457</v>
          </cell>
          <cell r="AR160">
            <v>0.75023664412925073</v>
          </cell>
          <cell r="AS160">
            <v>0.80411878872326792</v>
          </cell>
          <cell r="AT160">
            <v>0.78242194374794627</v>
          </cell>
          <cell r="AU160">
            <v>0.75975352354400116</v>
          </cell>
          <cell r="AV160">
            <v>0.78997418631680039</v>
          </cell>
          <cell r="AW160">
            <v>0.79110147311012202</v>
          </cell>
          <cell r="AX160">
            <v>0.78111866337968006</v>
          </cell>
          <cell r="AY160">
            <v>0.80011034069419384</v>
          </cell>
          <cell r="AZ160">
            <v>0.69409001982923724</v>
          </cell>
          <cell r="BA160">
            <v>0.57288577278034958</v>
          </cell>
          <cell r="BB160">
            <v>0.67364151746816558</v>
          </cell>
          <cell r="BC160">
            <v>0.22532066220793245</v>
          </cell>
          <cell r="BD160">
            <v>0.43657577839240358</v>
          </cell>
          <cell r="BE160">
            <v>0.52328451753901173</v>
          </cell>
          <cell r="BF160">
            <v>0.40623576250441973</v>
          </cell>
        </row>
        <row r="161">
          <cell r="A161" t="str">
            <v>TOTAL KOSP REPORTED SALES (2)</v>
          </cell>
          <cell r="F161">
            <v>33.886000000000003</v>
          </cell>
          <cell r="J161">
            <v>38.253999999999998</v>
          </cell>
          <cell r="N161">
            <v>45.536000000000001</v>
          </cell>
          <cell r="R161">
            <v>55</v>
          </cell>
          <cell r="V161">
            <v>57.872000000000007</v>
          </cell>
          <cell r="Z161">
            <v>64.900000000000006</v>
          </cell>
          <cell r="AD161">
            <v>73.5</v>
          </cell>
          <cell r="AH161">
            <v>87.275999999999996</v>
          </cell>
          <cell r="AL161">
            <v>94.268000000000001</v>
          </cell>
          <cell r="AP161">
            <v>119.8</v>
          </cell>
          <cell r="AT161">
            <v>131.5</v>
          </cell>
          <cell r="AX161">
            <v>150</v>
          </cell>
          <cell r="BB161">
            <v>152.69999999999999</v>
          </cell>
          <cell r="BF161">
            <v>169.89729999999997</v>
          </cell>
        </row>
        <row r="162">
          <cell r="A162" t="str">
            <v>REPORTED SALES/TRx KOSP PRODUCTS</v>
          </cell>
          <cell r="F162">
            <v>46.174075966615568</v>
          </cell>
          <cell r="J162">
            <v>43.832571356547845</v>
          </cell>
          <cell r="N162">
            <v>46.963454190108344</v>
          </cell>
          <cell r="R162">
            <v>52.314189510529417</v>
          </cell>
          <cell r="V162">
            <v>55.765674700873319</v>
          </cell>
          <cell r="Z162">
            <v>58.979893218221051</v>
          </cell>
          <cell r="AD162">
            <v>62.783915700420778</v>
          </cell>
          <cell r="AH162">
            <v>69.434632348729309</v>
          </cell>
          <cell r="AL162">
            <v>72.857171563846251</v>
          </cell>
          <cell r="AP162">
            <v>71.035192660724533</v>
          </cell>
          <cell r="AQ162">
            <v>0.05</v>
          </cell>
          <cell r="AR162">
            <v>0</v>
          </cell>
          <cell r="AS162">
            <v>0</v>
          </cell>
          <cell r="AT162">
            <v>75.803954257069364</v>
          </cell>
          <cell r="AU162">
            <v>0</v>
          </cell>
          <cell r="AV162">
            <v>0</v>
          </cell>
          <cell r="AW162">
            <v>0</v>
          </cell>
          <cell r="AX162">
            <v>82.283487459447983</v>
          </cell>
          <cell r="AY162">
            <v>0</v>
          </cell>
          <cell r="AZ162">
            <v>0</v>
          </cell>
          <cell r="BA162">
            <v>0</v>
          </cell>
          <cell r="BB162">
            <v>84.35238415633529</v>
          </cell>
          <cell r="BC162">
            <v>0</v>
          </cell>
          <cell r="BD162">
            <v>0</v>
          </cell>
          <cell r="BE162">
            <v>0</v>
          </cell>
          <cell r="BF162">
            <v>78.395050786166308</v>
          </cell>
        </row>
        <row r="163">
          <cell r="A163" t="str">
            <v>IMS SALES/REPORTED SALES</v>
          </cell>
          <cell r="C163">
            <v>12.056334999999999</v>
          </cell>
          <cell r="D163">
            <v>13.624492999999999</v>
          </cell>
          <cell r="E163">
            <v>18.127157999999998</v>
          </cell>
          <cell r="F163">
            <v>1.2928048751696863</v>
          </cell>
          <cell r="G163">
            <v>14.940994999999999</v>
          </cell>
          <cell r="H163">
            <v>16.452639999999999</v>
          </cell>
          <cell r="I163">
            <v>20.506918000000002</v>
          </cell>
          <cell r="J163">
            <v>1.3567353217964135</v>
          </cell>
          <cell r="K163">
            <v>17.382525000000001</v>
          </cell>
          <cell r="L163">
            <v>17.134838999999999</v>
          </cell>
          <cell r="M163">
            <v>22.871970000000001</v>
          </cell>
          <cell r="N163">
            <v>1.2603068780744906</v>
          </cell>
          <cell r="O163">
            <v>20.033485000000002</v>
          </cell>
          <cell r="P163">
            <v>20.551318000000002</v>
          </cell>
          <cell r="Q163">
            <v>26.530011999999999</v>
          </cell>
          <cell r="R163">
            <v>1.2202693636363637</v>
          </cell>
          <cell r="S163">
            <v>22.180093999999997</v>
          </cell>
          <cell r="T163">
            <v>23.494841999999998</v>
          </cell>
          <cell r="U163">
            <v>30.032063999999998</v>
          </cell>
          <cell r="V163">
            <v>1.3081801216477742</v>
          </cell>
          <cell r="W163">
            <v>25.386917999999998</v>
          </cell>
          <cell r="X163">
            <v>25.052417999999999</v>
          </cell>
          <cell r="Y163">
            <v>32.543942000000001</v>
          </cell>
          <cell r="Z163">
            <v>1.2786329429892143</v>
          </cell>
          <cell r="AA163">
            <v>26.623985999999999</v>
          </cell>
          <cell r="AB163">
            <v>27.724118999999998</v>
          </cell>
          <cell r="AC163">
            <v>33.512473999999997</v>
          </cell>
          <cell r="AD163">
            <v>1.1953820272108844</v>
          </cell>
          <cell r="AE163">
            <v>29.235408999999997</v>
          </cell>
          <cell r="AF163">
            <v>29.265874</v>
          </cell>
          <cell r="AG163">
            <v>36.608328999999998</v>
          </cell>
          <cell r="AH163">
            <v>1.0897567716210643</v>
          </cell>
          <cell r="AI163">
            <v>29.912807999999998</v>
          </cell>
          <cell r="AJ163">
            <v>33.750163999999998</v>
          </cell>
          <cell r="AK163">
            <v>44.396256999999999</v>
          </cell>
          <cell r="AL163">
            <v>1.1462980969151779</v>
          </cell>
          <cell r="AM163">
            <v>45.536391999999999</v>
          </cell>
          <cell r="AN163">
            <v>47.448915</v>
          </cell>
          <cell r="AO163">
            <v>58.083659999999995</v>
          </cell>
          <cell r="AP163">
            <v>1.2610097412353922</v>
          </cell>
          <cell r="AQ163">
            <v>47.620370999999999</v>
          </cell>
          <cell r="AR163">
            <v>48.523768999999994</v>
          </cell>
          <cell r="AS163">
            <v>60.460484000000001</v>
          </cell>
          <cell r="AT163">
            <v>1.1909096882129278</v>
          </cell>
          <cell r="AU163">
            <v>51.447113999999999</v>
          </cell>
          <cell r="AV163">
            <v>52.385159000000002</v>
          </cell>
          <cell r="AW163">
            <v>65.569232</v>
          </cell>
          <cell r="AX163">
            <v>1.1293433666666661</v>
          </cell>
          <cell r="AY163">
            <v>53.846355000000003</v>
          </cell>
          <cell r="AZ163">
            <v>57.175816000000005</v>
          </cell>
          <cell r="BA163">
            <v>69.830241000000001</v>
          </cell>
          <cell r="BB163">
            <v>1.1843641912246237</v>
          </cell>
          <cell r="BC163">
            <v>55.796681999999997</v>
          </cell>
          <cell r="BD163">
            <v>58.146639999999998</v>
          </cell>
          <cell r="BE163">
            <v>75.382233999999997</v>
          </cell>
          <cell r="BF163">
            <v>1.2008964612775579</v>
          </cell>
        </row>
        <row r="164">
          <cell r="A164" t="str">
            <v>(1)  Market defined as the IMS categories ANTIHYPERLIPIDEMIC AGT, OTH (includes Niaspan) + CHOLESTEROL RED COMB (includes Advicor) + HMG-COA REDUCTASE INHIB</v>
          </cell>
          <cell r="V164">
            <v>0.72815522722272608</v>
          </cell>
          <cell r="Z164">
            <v>0.59889005421579977</v>
          </cell>
          <cell r="AA164">
            <v>0.53165239227327432</v>
          </cell>
          <cell r="AB164">
            <v>0.61799705267146066</v>
          </cell>
          <cell r="AC164">
            <v>0.46522026742777278</v>
          </cell>
          <cell r="AD164">
            <v>0.53095658855354544</v>
          </cell>
          <cell r="AE164">
            <v>0.45932717148314395</v>
          </cell>
          <cell r="AF164">
            <v>0.42403878914238002</v>
          </cell>
          <cell r="AG164">
            <v>0.37988362010541121</v>
          </cell>
          <cell r="AH164">
            <v>0.41711799399283134</v>
          </cell>
          <cell r="AI164">
            <v>0.3486330580925403</v>
          </cell>
          <cell r="AJ164">
            <v>0.43649248630827131</v>
          </cell>
          <cell r="AK164">
            <v>0.47829523139002372</v>
          </cell>
          <cell r="AL164">
            <v>0.42733471145336632</v>
          </cell>
          <cell r="AM164">
            <v>0.79369516220913483</v>
          </cell>
          <cell r="AN164">
            <v>0.89398544284228376</v>
          </cell>
          <cell r="AO164">
            <v>0.78477641092157779</v>
          </cell>
          <cell r="AP164">
            <v>0.82047480698460706</v>
          </cell>
          <cell r="AQ164">
            <v>0.78862665417567457</v>
          </cell>
          <cell r="AR164">
            <v>0.75023664412925073</v>
          </cell>
          <cell r="AS164">
            <v>0.80411878872326792</v>
          </cell>
          <cell r="AT164">
            <v>0.78242194374794627</v>
          </cell>
          <cell r="AU164">
            <v>0.75975352354400116</v>
          </cell>
          <cell r="AV164">
            <v>0.78997418631680039</v>
          </cell>
          <cell r="AW164">
            <v>0.79110147311012202</v>
          </cell>
          <cell r="AX164">
            <v>0.78111866337968006</v>
          </cell>
          <cell r="AY164">
            <v>0.80011034069419384</v>
          </cell>
          <cell r="AZ164">
            <v>0.69409001982923724</v>
          </cell>
          <cell r="BA164">
            <v>0.57288577278034958</v>
          </cell>
          <cell r="BB164">
            <v>0.67364151746816558</v>
          </cell>
          <cell r="BC164">
            <v>0.22532066220793245</v>
          </cell>
          <cell r="BD164">
            <v>0.2254577370209625</v>
          </cell>
          <cell r="BE164">
            <v>0.29782169374312861</v>
          </cell>
          <cell r="BF164">
            <v>0.25323923079450217</v>
          </cell>
        </row>
        <row r="165">
          <cell r="A165" t="str">
            <v>(2)  Includes Cardizem LA, Teveten, and Teveten HCT beginning in May-05</v>
          </cell>
          <cell r="AT165">
            <v>5.0124421304601041E-2</v>
          </cell>
          <cell r="AX165">
            <v>5.0434982248132476E-2</v>
          </cell>
          <cell r="BB165">
            <v>4.4586683319022713E-2</v>
          </cell>
          <cell r="BF165">
            <v>7.9329258268446168E-2</v>
          </cell>
        </row>
        <row r="166">
          <cell r="A166" t="str">
            <v>(3)  Includes two-thirds of sales for Cardizem LA, Teveten, and Teveten HCT in Q2:05 (deal closed in early May)</v>
          </cell>
          <cell r="F166">
            <v>46.174075966615568</v>
          </cell>
          <cell r="J166">
            <v>43.832571356547845</v>
          </cell>
          <cell r="N166">
            <v>46.963454190108344</v>
          </cell>
          <cell r="R166">
            <v>52.314189510529417</v>
          </cell>
          <cell r="V166">
            <v>55.765674700873319</v>
          </cell>
          <cell r="Z166">
            <v>58.979893218221051</v>
          </cell>
          <cell r="AD166">
            <v>62.783915700420778</v>
          </cell>
          <cell r="AH166">
            <v>69.434632348729309</v>
          </cell>
          <cell r="AL166">
            <v>72.857171563846251</v>
          </cell>
          <cell r="AP166">
            <v>71.035192660724533</v>
          </cell>
          <cell r="AT166">
            <v>75.803954257069364</v>
          </cell>
          <cell r="AX166">
            <v>82.283487459447983</v>
          </cell>
          <cell r="BB166">
            <v>84.35238415633529</v>
          </cell>
          <cell r="BF166">
            <v>91.059517639511114</v>
          </cell>
        </row>
        <row r="167">
          <cell r="A167" t="str">
            <v>IMS SALES/REPORTED SALES</v>
          </cell>
          <cell r="F167">
            <v>1.2928048751696863</v>
          </cell>
          <cell r="J167">
            <v>1.3567353217964135</v>
          </cell>
          <cell r="N167">
            <v>1.2603068780744906</v>
          </cell>
          <cell r="R167">
            <v>1.2202693636363637</v>
          </cell>
          <cell r="U167">
            <v>1.1311999999999999E-2</v>
          </cell>
          <cell r="V167">
            <v>1.3081801216477742</v>
          </cell>
          <cell r="W167">
            <v>1.8216410000000001</v>
          </cell>
          <cell r="X167">
            <v>2.0458970000000001</v>
          </cell>
          <cell r="Y167">
            <v>4.0580939999999996</v>
          </cell>
          <cell r="Z167">
            <v>1.2786329429892143</v>
          </cell>
          <cell r="AA167">
            <v>4.2990510000000004</v>
          </cell>
          <cell r="AB167">
            <v>4.06982</v>
          </cell>
          <cell r="AC167">
            <v>4.9215239999999998</v>
          </cell>
          <cell r="AD167">
            <v>1.1953820272108844</v>
          </cell>
          <cell r="AE167">
            <v>3.8048989999999998</v>
          </cell>
          <cell r="AF167">
            <v>4.3845720000000004</v>
          </cell>
          <cell r="AG167">
            <v>5.4855600000000004</v>
          </cell>
          <cell r="AH167">
            <v>1.0897567716210643</v>
          </cell>
          <cell r="AI167">
            <v>4.5866119999999997</v>
          </cell>
          <cell r="AJ167">
            <v>5.1143799999999997</v>
          </cell>
          <cell r="AK167">
            <v>6.4744469999999996</v>
          </cell>
          <cell r="AL167">
            <v>1.1462980969151779</v>
          </cell>
          <cell r="AM167">
            <v>5.3116640000000004</v>
          </cell>
          <cell r="AN167">
            <v>5.5960270000000003</v>
          </cell>
          <cell r="AO167">
            <v>6.8871789999999997</v>
          </cell>
          <cell r="AP167">
            <v>1.2610097412353922</v>
          </cell>
          <cell r="AQ167">
            <v>5.7715339999999999</v>
          </cell>
          <cell r="AR167">
            <v>5.9132699999999998</v>
          </cell>
          <cell r="AS167">
            <v>7.6378899999999996</v>
          </cell>
          <cell r="AT167">
            <v>1.1909096882129278</v>
          </cell>
          <cell r="AU167">
            <v>6.24275</v>
          </cell>
          <cell r="AV167">
            <v>6.2382179999999998</v>
          </cell>
          <cell r="AW167">
            <v>7.9150530000000003</v>
          </cell>
          <cell r="AX167">
            <v>1.1293433666666661</v>
          </cell>
          <cell r="AY167">
            <v>6.5299680000000002</v>
          </cell>
          <cell r="AZ167">
            <v>6.8555830000000002</v>
          </cell>
          <cell r="BA167">
            <v>8.6075009999999992</v>
          </cell>
          <cell r="BB167">
            <v>1.1843641912246237</v>
          </cell>
          <cell r="BC167">
            <v>7.2392390000000004</v>
          </cell>
          <cell r="BD167">
            <v>7.5195949999999998</v>
          </cell>
          <cell r="BE167">
            <v>9.8465779999999992</v>
          </cell>
          <cell r="BF167">
            <v>1.0702405652911249</v>
          </cell>
        </row>
        <row r="168">
          <cell r="A168" t="str">
            <v>(1)  Market defined as the IMS categories ANTIHYPERLIPIDEMIC AGT, OTH (includes Niaspan) + CHOLESTEROL RED COMB (includes Advicor) + HMG-COA REDUCTASE INHIB</v>
          </cell>
          <cell r="AM168">
            <v>1.9158676160670516</v>
          </cell>
          <cell r="AN168">
            <v>1.7352437586056384</v>
          </cell>
          <cell r="AO168">
            <v>0.69714624648911538</v>
          </cell>
          <cell r="AP168">
            <v>1.2452304119091071</v>
          </cell>
          <cell r="AQ168">
            <v>0.3425134989094103</v>
          </cell>
          <cell r="AR168">
            <v>0.45295615039485781</v>
          </cell>
          <cell r="AS168">
            <v>0.55193594504466503</v>
          </cell>
          <cell r="AT168">
            <v>0.4538841020150266</v>
          </cell>
          <cell r="AU168">
            <v>0.64071372196738996</v>
          </cell>
          <cell r="AV168">
            <v>0.42276555157493112</v>
          </cell>
          <cell r="AW168">
            <v>0.44288878437206036</v>
          </cell>
          <cell r="AX168">
            <v>0.49147895898736893</v>
          </cell>
          <cell r="AY168">
            <v>0.42370185226044854</v>
          </cell>
          <cell r="AZ168">
            <v>0.34045241065388199</v>
          </cell>
          <cell r="BA168">
            <v>0.32945732662573346</v>
          </cell>
          <cell r="BB168">
            <v>0.35965719384803108</v>
          </cell>
          <cell r="BC168">
            <v>0.36289475388503489</v>
          </cell>
          <cell r="BD168">
            <v>0.34373815565936328</v>
          </cell>
          <cell r="BE168">
            <v>0.4296968323314958</v>
          </cell>
          <cell r="BF168">
            <v>0.38272502131232211</v>
          </cell>
        </row>
        <row r="169">
          <cell r="A169" t="str">
            <v>(1)  Market defined as the IMS categories ANTIHYPERLIPIDEMIC AGT, OTH (includes Niaspan) + CHOLESTEROL RED COMB (includes Advicor) + HMG-COA REDUCTASE INHIB</v>
          </cell>
        </row>
        <row r="170">
          <cell r="A170" t="str">
            <v>(2)  Includes two-thirds of Cardizem LA, Teveten, and Teveten HCT sales starting in Q2:05E (deal closed in May 2005)</v>
          </cell>
          <cell r="AP170">
            <v>67.73570446567723</v>
          </cell>
          <cell r="AT170">
            <v>14.212426580517496</v>
          </cell>
          <cell r="AX170">
            <v>26.799885515052168</v>
          </cell>
          <cell r="BB170">
            <v>28.346111501347561</v>
          </cell>
          <cell r="BF170">
            <v>51.23305501322367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MKTD"/>
      <sheetName val="PPLN"/>
      <sheetName val="IMS"/>
      <sheetName val="-----"/>
      <sheetName val="VAR"/>
      <sheetName val="NPV"/>
      <sheetName val="Charts"/>
      <sheetName val="Restylane"/>
      <sheetName val="iQ_Measure_Validations_Errors"/>
      <sheetName val="iQ_US_CoreIndustrials"/>
      <sheetName val="NPV_Bad"/>
      <sheetName val="QTR-GAAP"/>
      <sheetName val="------"/>
      <sheetName val="Financial Analysis Table"/>
      <sheetName val="Compare"/>
      <sheetName val="Vanos Analysis"/>
      <sheetName val="Dynacin Analysis"/>
      <sheetName val="Q-Med"/>
      <sheetName val="Loprox Analysis"/>
      <sheetName val="Sheet1"/>
      <sheetName val="Mee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3">
          <cell r="A3" t="str">
            <v>Product</v>
          </cell>
          <cell r="B3">
            <v>37257</v>
          </cell>
          <cell r="C3">
            <v>37288</v>
          </cell>
          <cell r="D3">
            <v>37316</v>
          </cell>
          <cell r="E3" t="str">
            <v>Q3:F02</v>
          </cell>
          <cell r="F3">
            <v>37347</v>
          </cell>
          <cell r="G3">
            <v>37377</v>
          </cell>
          <cell r="H3">
            <v>37408</v>
          </cell>
          <cell r="I3" t="str">
            <v>Q4:F02</v>
          </cell>
          <cell r="J3">
            <v>37438</v>
          </cell>
          <cell r="K3">
            <v>37469</v>
          </cell>
          <cell r="L3">
            <v>37500</v>
          </cell>
          <cell r="M3" t="str">
            <v>Q1:F03</v>
          </cell>
          <cell r="N3">
            <v>37530</v>
          </cell>
          <cell r="O3">
            <v>37561</v>
          </cell>
          <cell r="P3">
            <v>37591</v>
          </cell>
          <cell r="Q3" t="str">
            <v>Q2:F03</v>
          </cell>
          <cell r="R3">
            <v>37622</v>
          </cell>
          <cell r="S3">
            <v>37653</v>
          </cell>
          <cell r="T3">
            <v>37681</v>
          </cell>
          <cell r="U3" t="str">
            <v>Q3:F03</v>
          </cell>
          <cell r="V3" t="str">
            <v>Apr-03</v>
          </cell>
          <cell r="W3">
            <v>37744</v>
          </cell>
          <cell r="X3">
            <v>37775</v>
          </cell>
          <cell r="Y3" t="str">
            <v>Q4:F03</v>
          </cell>
          <cell r="Z3">
            <v>37805</v>
          </cell>
          <cell r="AA3">
            <v>37836</v>
          </cell>
          <cell r="AB3">
            <v>37867</v>
          </cell>
          <cell r="AC3" t="str">
            <v>Q1:F04</v>
          </cell>
          <cell r="AD3">
            <v>37897</v>
          </cell>
          <cell r="AE3">
            <v>37928</v>
          </cell>
          <cell r="AF3">
            <v>37958</v>
          </cell>
          <cell r="AG3" t="str">
            <v>Q2:F04</v>
          </cell>
          <cell r="AH3">
            <v>37987</v>
          </cell>
          <cell r="AI3">
            <v>38018</v>
          </cell>
          <cell r="AJ3">
            <v>38047</v>
          </cell>
          <cell r="AK3" t="str">
            <v>Q3:F04</v>
          </cell>
          <cell r="AL3">
            <v>38078</v>
          </cell>
          <cell r="AM3">
            <v>38108</v>
          </cell>
          <cell r="AN3">
            <v>38139</v>
          </cell>
          <cell r="AO3" t="str">
            <v>Q4:F04</v>
          </cell>
          <cell r="AP3">
            <v>38169</v>
          </cell>
          <cell r="AQ3">
            <v>38200</v>
          </cell>
          <cell r="AR3">
            <v>38231</v>
          </cell>
          <cell r="AS3" t="str">
            <v>Q1:F05</v>
          </cell>
          <cell r="AT3">
            <v>38261</v>
          </cell>
          <cell r="AU3">
            <v>38292</v>
          </cell>
          <cell r="AV3">
            <v>38322</v>
          </cell>
          <cell r="AW3" t="str">
            <v>Q2:F05</v>
          </cell>
          <cell r="AX3">
            <v>38353</v>
          </cell>
          <cell r="AY3">
            <v>38384</v>
          </cell>
          <cell r="AZ3">
            <v>38412</v>
          </cell>
          <cell r="BA3" t="str">
            <v>Q3:F05</v>
          </cell>
          <cell r="BB3">
            <v>38443</v>
          </cell>
          <cell r="BC3">
            <v>38473</v>
          </cell>
          <cell r="BD3">
            <v>38504</v>
          </cell>
          <cell r="BE3" t="str">
            <v>Q4:F05</v>
          </cell>
        </row>
        <row r="5">
          <cell r="A5" t="str">
            <v>Acne &amp; Related Derm Products</v>
          </cell>
        </row>
        <row r="6">
          <cell r="A6" t="str">
            <v>Dynacin tablets</v>
          </cell>
        </row>
        <row r="7">
          <cell r="A7" t="str">
            <v>TRx</v>
          </cell>
          <cell r="W7">
            <v>1056</v>
          </cell>
          <cell r="X7">
            <v>5101</v>
          </cell>
          <cell r="Y7">
            <v>6157</v>
          </cell>
          <cell r="Z7">
            <v>7633</v>
          </cell>
          <cell r="AA7">
            <v>10574</v>
          </cell>
          <cell r="AB7">
            <v>12301</v>
          </cell>
          <cell r="AC7">
            <v>30508</v>
          </cell>
          <cell r="AD7">
            <v>14826</v>
          </cell>
          <cell r="AE7">
            <v>15635</v>
          </cell>
          <cell r="AF7">
            <v>19258</v>
          </cell>
          <cell r="AG7">
            <v>49719</v>
          </cell>
          <cell r="AH7">
            <v>21573</v>
          </cell>
          <cell r="AI7">
            <v>22597</v>
          </cell>
          <cell r="AJ7">
            <v>27814</v>
          </cell>
          <cell r="AK7">
            <v>71984</v>
          </cell>
          <cell r="AL7">
            <v>26492</v>
          </cell>
          <cell r="AM7">
            <v>28536</v>
          </cell>
          <cell r="AN7">
            <v>28844</v>
          </cell>
          <cell r="AO7">
            <v>83872</v>
          </cell>
          <cell r="AP7">
            <v>27950</v>
          </cell>
          <cell r="AQ7">
            <v>30265</v>
          </cell>
          <cell r="AR7">
            <v>28100</v>
          </cell>
          <cell r="AS7">
            <v>86315</v>
          </cell>
          <cell r="AT7">
            <v>28501</v>
          </cell>
          <cell r="AU7">
            <v>29090</v>
          </cell>
          <cell r="AV7">
            <v>29550</v>
          </cell>
          <cell r="AW7">
            <v>87141</v>
          </cell>
          <cell r="AX7">
            <v>27583</v>
          </cell>
          <cell r="AY7">
            <v>22973</v>
          </cell>
          <cell r="AZ7">
            <v>22923</v>
          </cell>
          <cell r="BA7">
            <v>73479</v>
          </cell>
          <cell r="BB7">
            <v>19353</v>
          </cell>
          <cell r="BC7">
            <v>20057</v>
          </cell>
          <cell r="BD7">
            <v>19334</v>
          </cell>
          <cell r="BE7">
            <v>58744</v>
          </cell>
        </row>
        <row r="8">
          <cell r="A8" t="str">
            <v xml:space="preserve">  % Change</v>
          </cell>
          <cell r="AM8">
            <v>26.022727272727273</v>
          </cell>
          <cell r="AN8">
            <v>4.6545775338168989</v>
          </cell>
          <cell r="AO8">
            <v>12.622218612960857</v>
          </cell>
          <cell r="AP8">
            <v>2.6617319533604089</v>
          </cell>
          <cell r="AQ8">
            <v>1.8622091923586153</v>
          </cell>
          <cell r="AR8">
            <v>1.2843671246240143</v>
          </cell>
          <cell r="AS8">
            <v>1.8292578995673265</v>
          </cell>
          <cell r="AT8">
            <v>0.92236611358424381</v>
          </cell>
          <cell r="AU8">
            <v>0.860569235689159</v>
          </cell>
          <cell r="AV8">
            <v>0.53442725101256627</v>
          </cell>
          <cell r="AW8">
            <v>0.75267000543051954</v>
          </cell>
          <cell r="AX8">
            <v>0.27858897696194318</v>
          </cell>
          <cell r="AY8">
            <v>1.6639376908439196E-2</v>
          </cell>
          <cell r="AZ8">
            <v>-0.1758466959085353</v>
          </cell>
          <cell r="BA8">
            <v>2.076850411202491E-2</v>
          </cell>
          <cell r="BB8">
            <v>-0.26947757813679596</v>
          </cell>
          <cell r="BC8">
            <v>-0.29713344547238574</v>
          </cell>
          <cell r="BD8">
            <v>-0.32970461794480654</v>
          </cell>
          <cell r="BE8">
            <v>-0.29959938954597487</v>
          </cell>
        </row>
        <row r="9">
          <cell r="A9" t="str">
            <v>NRx</v>
          </cell>
          <cell r="W9">
            <v>1043</v>
          </cell>
          <cell r="X9">
            <v>4849</v>
          </cell>
          <cell r="Y9">
            <v>5892</v>
          </cell>
          <cell r="Z9">
            <v>6243</v>
          </cell>
          <cell r="AA9">
            <v>8016</v>
          </cell>
          <cell r="AB9">
            <v>8513</v>
          </cell>
          <cell r="AC9">
            <v>22772</v>
          </cell>
          <cell r="AD9">
            <v>9854</v>
          </cell>
          <cell r="AE9">
            <v>10025</v>
          </cell>
          <cell r="AF9">
            <v>11640</v>
          </cell>
          <cell r="AG9">
            <v>31519</v>
          </cell>
          <cell r="AH9">
            <v>12999</v>
          </cell>
          <cell r="AI9">
            <v>13549</v>
          </cell>
          <cell r="AJ9">
            <v>16062</v>
          </cell>
          <cell r="AK9">
            <v>42610</v>
          </cell>
          <cell r="AL9">
            <v>14791</v>
          </cell>
          <cell r="AM9">
            <v>16128</v>
          </cell>
          <cell r="AN9">
            <v>16028</v>
          </cell>
          <cell r="AO9">
            <v>46947</v>
          </cell>
          <cell r="AP9">
            <v>15504</v>
          </cell>
          <cell r="AQ9">
            <v>17042</v>
          </cell>
          <cell r="AR9">
            <v>15082</v>
          </cell>
          <cell r="AS9">
            <v>47628</v>
          </cell>
          <cell r="AT9">
            <v>15406</v>
          </cell>
          <cell r="AU9">
            <v>15846</v>
          </cell>
          <cell r="AV9">
            <v>16366</v>
          </cell>
          <cell r="AW9">
            <v>47618</v>
          </cell>
          <cell r="AX9">
            <v>15175</v>
          </cell>
          <cell r="AY9">
            <v>12385</v>
          </cell>
          <cell r="AZ9">
            <v>13336</v>
          </cell>
          <cell r="BA9">
            <v>40896</v>
          </cell>
          <cell r="BB9">
            <v>10879</v>
          </cell>
          <cell r="BC9">
            <v>11198</v>
          </cell>
          <cell r="BD9">
            <v>10712</v>
          </cell>
          <cell r="BE9">
            <v>32789</v>
          </cell>
        </row>
        <row r="10">
          <cell r="A10" t="str">
            <v xml:space="preserve">  % Change</v>
          </cell>
          <cell r="AM10">
            <v>14.463087248322148</v>
          </cell>
          <cell r="AN10">
            <v>2.3054237987213857</v>
          </cell>
          <cell r="AO10">
            <v>6.9679226069246436</v>
          </cell>
          <cell r="AP10">
            <v>1.4834214320038441</v>
          </cell>
          <cell r="AQ10">
            <v>1.1259980039920161</v>
          </cell>
          <cell r="AR10">
            <v>0.7716433689651121</v>
          </cell>
          <cell r="AS10">
            <v>1.0915158967152645</v>
          </cell>
          <cell r="AT10">
            <v>0.56342601989039975</v>
          </cell>
          <cell r="AU10">
            <v>0.5806483790523691</v>
          </cell>
          <cell r="AV10">
            <v>0.40601374570446724</v>
          </cell>
          <cell r="AW10">
            <v>0.51077128081474665</v>
          </cell>
          <cell r="AX10">
            <v>0.16739749211477806</v>
          </cell>
          <cell r="AY10">
            <v>-8.5910399291460604E-2</v>
          </cell>
          <cell r="AZ10">
            <v>-0.16971734528701288</v>
          </cell>
          <cell r="BA10">
            <v>-4.0225299225533862E-2</v>
          </cell>
          <cell r="BB10">
            <v>-0.26448515989453047</v>
          </cell>
          <cell r="BC10">
            <v>-0.30567956349206349</v>
          </cell>
          <cell r="BD10">
            <v>-0.33166957823808341</v>
          </cell>
          <cell r="BE10">
            <v>-0.30157411549193769</v>
          </cell>
        </row>
        <row r="11">
          <cell r="A11" t="str">
            <v>Sales (IMS)</v>
          </cell>
          <cell r="W11">
            <v>0.38524799999999998</v>
          </cell>
          <cell r="X11">
            <v>2.2982710000000002</v>
          </cell>
          <cell r="Y11">
            <v>2.683519</v>
          </cell>
          <cell r="Z11">
            <v>1.845243</v>
          </cell>
          <cell r="AA11">
            <v>2.251544</v>
          </cell>
          <cell r="AB11">
            <v>3.097575</v>
          </cell>
          <cell r="AC11">
            <v>7.1943619999999999</v>
          </cell>
          <cell r="AD11">
            <v>3.1861869999999999</v>
          </cell>
          <cell r="AE11">
            <v>3.2646440000000001</v>
          </cell>
          <cell r="AF11">
            <v>4.4097099999999996</v>
          </cell>
          <cell r="AG11">
            <v>10.860541</v>
          </cell>
          <cell r="AH11">
            <v>3.934164</v>
          </cell>
          <cell r="AI11">
            <v>4.1375979999999997</v>
          </cell>
          <cell r="AJ11">
            <v>5.5529010000000003</v>
          </cell>
          <cell r="AK11">
            <v>13.624663</v>
          </cell>
          <cell r="AL11">
            <v>4.5314800000000002</v>
          </cell>
          <cell r="AM11">
            <v>4.9666920000000001</v>
          </cell>
          <cell r="AN11">
            <v>6.2433139999999998</v>
          </cell>
          <cell r="AO11">
            <v>15.741486</v>
          </cell>
          <cell r="AP11">
            <v>4.9954099999999997</v>
          </cell>
          <cell r="AQ11">
            <v>5.7707699999999997</v>
          </cell>
          <cell r="AR11">
            <v>6.7323339999999998</v>
          </cell>
          <cell r="AS11">
            <v>17.498514</v>
          </cell>
          <cell r="AT11">
            <v>5.6763479999999999</v>
          </cell>
          <cell r="AU11">
            <v>5.5400619999999998</v>
          </cell>
          <cell r="AV11">
            <v>6.9112390000000001</v>
          </cell>
          <cell r="AW11">
            <v>18.127648999999998</v>
          </cell>
          <cell r="AX11">
            <v>5.4650230000000004</v>
          </cell>
          <cell r="AY11">
            <v>5.3032380000000003</v>
          </cell>
          <cell r="AZ11">
            <v>5.8888939999999996</v>
          </cell>
          <cell r="BA11">
            <v>16.657154999999999</v>
          </cell>
          <cell r="BB11">
            <v>4.3402760000000002</v>
          </cell>
          <cell r="BC11">
            <v>4.817736</v>
          </cell>
          <cell r="BD11">
            <v>5.8003150000000003</v>
          </cell>
          <cell r="BE11">
            <v>14.958327000000001</v>
          </cell>
        </row>
        <row r="12">
          <cell r="A12" t="str">
            <v xml:space="preserve">  % Change</v>
          </cell>
          <cell r="AM12">
            <v>11.892194119112885</v>
          </cell>
          <cell r="AN12">
            <v>1.7165264670702451</v>
          </cell>
          <cell r="AO12">
            <v>4.8659864155983241</v>
          </cell>
          <cell r="AP12">
            <v>1.7071827396174921</v>
          </cell>
          <cell r="AQ12">
            <v>1.5630278599929648</v>
          </cell>
          <cell r="AR12">
            <v>1.1734208211262036</v>
          </cell>
          <cell r="AS12">
            <v>1.4322537564832016</v>
          </cell>
          <cell r="AT12">
            <v>0.78154891724810893</v>
          </cell>
          <cell r="AU12">
            <v>0.69698809426081354</v>
          </cell>
          <cell r="AV12">
            <v>0.56727744001306224</v>
          </cell>
          <cell r="AW12">
            <v>0.66912946601831336</v>
          </cell>
          <cell r="AX12">
            <v>0.38911926396561003</v>
          </cell>
          <cell r="AY12">
            <v>0.28171900701808172</v>
          </cell>
          <cell r="AZ12">
            <v>6.0507651766166681E-2</v>
          </cell>
          <cell r="BA12">
            <v>0.22257372530975617</v>
          </cell>
          <cell r="BB12">
            <v>-4.2194603087732929E-2</v>
          </cell>
          <cell r="BC12">
            <v>-2.9990987965430538E-2</v>
          </cell>
          <cell r="BD12">
            <v>-7.0955745618432653E-2</v>
          </cell>
          <cell r="BE12">
            <v>-4.9751275070218925E-2</v>
          </cell>
        </row>
        <row r="13">
          <cell r="A13" t="str">
            <v>Price Change</v>
          </cell>
          <cell r="AD13">
            <v>2.997853199754652E-2</v>
          </cell>
          <cell r="AG13">
            <v>2.997853199754652E-2</v>
          </cell>
          <cell r="AH13">
            <v>3.9999007468797254E-2</v>
          </cell>
          <cell r="AK13">
            <v>6.9977539466343774E-2</v>
          </cell>
          <cell r="AL13">
            <v>8.0404647722662759E-3</v>
          </cell>
          <cell r="AM13">
            <v>8.0000000000000071E-2</v>
          </cell>
          <cell r="AO13">
            <v>0.15801800423861012</v>
          </cell>
          <cell r="AS13">
            <v>0.15801800423861012</v>
          </cell>
          <cell r="AW13">
            <v>0.1280394722410636</v>
          </cell>
          <cell r="AX13">
            <v>0.12272100505592132</v>
          </cell>
          <cell r="BA13">
            <v>0.21076146982818766</v>
          </cell>
          <cell r="BB13">
            <v>6.9978165938864745E-2</v>
          </cell>
          <cell r="BE13">
            <v>0.19269917099478606</v>
          </cell>
        </row>
        <row r="15">
          <cell r="A15" t="str">
            <v>Dynacin capsules</v>
          </cell>
        </row>
        <row r="16">
          <cell r="A16" t="str">
            <v>TRx</v>
          </cell>
          <cell r="B16">
            <v>43776</v>
          </cell>
          <cell r="C16">
            <v>37193</v>
          </cell>
          <cell r="D16">
            <v>39528</v>
          </cell>
          <cell r="E16">
            <v>120497</v>
          </cell>
          <cell r="F16">
            <v>39377</v>
          </cell>
          <cell r="G16">
            <v>38352</v>
          </cell>
          <cell r="H16">
            <v>34677</v>
          </cell>
          <cell r="I16">
            <v>112406</v>
          </cell>
          <cell r="J16">
            <v>34384</v>
          </cell>
          <cell r="K16">
            <v>34582</v>
          </cell>
          <cell r="L16">
            <v>31108</v>
          </cell>
          <cell r="M16">
            <v>100074</v>
          </cell>
          <cell r="N16">
            <v>33527</v>
          </cell>
          <cell r="O16">
            <v>31465</v>
          </cell>
          <cell r="P16">
            <v>31533</v>
          </cell>
          <cell r="Q16">
            <v>96525</v>
          </cell>
          <cell r="R16">
            <v>30264</v>
          </cell>
          <cell r="S16">
            <v>25799</v>
          </cell>
          <cell r="T16">
            <v>27542</v>
          </cell>
          <cell r="U16">
            <v>83605</v>
          </cell>
          <cell r="V16">
            <v>25866</v>
          </cell>
          <cell r="W16">
            <v>25053</v>
          </cell>
          <cell r="X16">
            <v>22914</v>
          </cell>
          <cell r="Y16">
            <v>73833</v>
          </cell>
          <cell r="Z16">
            <v>21156</v>
          </cell>
          <cell r="AA16">
            <v>20477</v>
          </cell>
          <cell r="AB16">
            <v>18847</v>
          </cell>
          <cell r="AC16">
            <v>60480</v>
          </cell>
          <cell r="AD16">
            <v>18003</v>
          </cell>
          <cell r="AE16">
            <v>15724</v>
          </cell>
          <cell r="AF16">
            <v>15595</v>
          </cell>
          <cell r="AG16">
            <v>49322</v>
          </cell>
          <cell r="AH16">
            <v>13856</v>
          </cell>
          <cell r="AI16">
            <v>11552</v>
          </cell>
          <cell r="AJ16">
            <v>11984</v>
          </cell>
          <cell r="AK16">
            <v>37392</v>
          </cell>
          <cell r="AL16">
            <v>10322</v>
          </cell>
          <cell r="AM16">
            <v>9700</v>
          </cell>
          <cell r="AN16">
            <v>8937</v>
          </cell>
          <cell r="AO16">
            <v>28959</v>
          </cell>
          <cell r="AP16">
            <v>8001</v>
          </cell>
          <cell r="AQ16">
            <v>8055</v>
          </cell>
          <cell r="AR16">
            <v>7005</v>
          </cell>
          <cell r="AS16">
            <v>23061</v>
          </cell>
          <cell r="AT16">
            <v>6579</v>
          </cell>
          <cell r="AU16">
            <v>6439</v>
          </cell>
          <cell r="AV16">
            <v>6775</v>
          </cell>
          <cell r="AW16">
            <v>19793</v>
          </cell>
          <cell r="AX16">
            <v>6812</v>
          </cell>
          <cell r="AY16">
            <v>5179</v>
          </cell>
          <cell r="AZ16">
            <v>5487</v>
          </cell>
          <cell r="BA16">
            <v>17478</v>
          </cell>
          <cell r="BB16">
            <v>4970</v>
          </cell>
          <cell r="BC16">
            <v>4490</v>
          </cell>
          <cell r="BD16">
            <v>4522</v>
          </cell>
          <cell r="BE16">
            <v>13982</v>
          </cell>
        </row>
        <row r="17">
          <cell r="A17" t="str">
            <v xml:space="preserve">  % Change</v>
          </cell>
          <cell r="R17">
            <v>-0.30866228070175439</v>
          </cell>
          <cell r="S17">
            <v>-0.30634796870378833</v>
          </cell>
          <cell r="T17">
            <v>-0.30322809147945762</v>
          </cell>
          <cell r="U17">
            <v>-0.30616529872112996</v>
          </cell>
          <cell r="V17">
            <v>-0.3431190796657948</v>
          </cell>
          <cell r="W17">
            <v>-0.34676157697121401</v>
          </cell>
          <cell r="X17">
            <v>-0.33921619517259283</v>
          </cell>
          <cell r="Y17">
            <v>-0.34315783854954363</v>
          </cell>
          <cell r="Z17">
            <v>-0.38471382038157287</v>
          </cell>
          <cell r="AA17">
            <v>-0.40787114683939618</v>
          </cell>
          <cell r="AB17">
            <v>-0.39414298572714412</v>
          </cell>
          <cell r="AC17">
            <v>-0.39564722105641825</v>
          </cell>
          <cell r="AD17">
            <v>-0.46302979688012647</v>
          </cell>
          <cell r="AE17">
            <v>-0.50027014142698234</v>
          </cell>
          <cell r="AF17">
            <v>-0.50543874670979605</v>
          </cell>
          <cell r="AG17">
            <v>-0.48902356902356903</v>
          </cell>
          <cell r="AH17">
            <v>-0.54216230504890306</v>
          </cell>
          <cell r="AI17">
            <v>-0.5522307066165355</v>
          </cell>
          <cell r="AJ17">
            <v>-0.56488272456611721</v>
          </cell>
          <cell r="AK17">
            <v>-0.55275402188864309</v>
          </cell>
          <cell r="AL17">
            <v>-0.60094332328152789</v>
          </cell>
          <cell r="AM17">
            <v>-0.61282081986189274</v>
          </cell>
          <cell r="AN17">
            <v>-0.60997643362136689</v>
          </cell>
          <cell r="AO17">
            <v>-0.60777701027995612</v>
          </cell>
          <cell r="AP17">
            <v>-0.62180941576857629</v>
          </cell>
          <cell r="AQ17">
            <v>-0.60663183083459493</v>
          </cell>
          <cell r="AR17">
            <v>-0.62832280999628587</v>
          </cell>
          <cell r="AS17">
            <v>-0.61870039682539679</v>
          </cell>
          <cell r="AT17">
            <v>-0.63456090651558072</v>
          </cell>
          <cell r="AU17">
            <v>-0.59049860086491979</v>
          </cell>
          <cell r="AV17">
            <v>-0.56556588650208406</v>
          </cell>
          <cell r="AW17">
            <v>-0.59869834962085888</v>
          </cell>
          <cell r="AX17">
            <v>-0.50837182448036944</v>
          </cell>
          <cell r="AY17">
            <v>-0.55167936288088648</v>
          </cell>
          <cell r="AZ17">
            <v>-0.54213951935914551</v>
          </cell>
          <cell r="BA17">
            <v>-0.53257381258023107</v>
          </cell>
          <cell r="BB17">
            <v>-0.51850416585932957</v>
          </cell>
          <cell r="BC17">
            <v>-0.53711340206185565</v>
          </cell>
          <cell r="BD17">
            <v>-0.49401365111334905</v>
          </cell>
          <cell r="BE17">
            <v>-0.51717946061673392</v>
          </cell>
        </row>
        <row r="18">
          <cell r="A18" t="str">
            <v>NRx</v>
          </cell>
          <cell r="B18">
            <v>23382</v>
          </cell>
          <cell r="C18">
            <v>19257</v>
          </cell>
          <cell r="D18">
            <v>21156</v>
          </cell>
          <cell r="E18">
            <v>63795</v>
          </cell>
          <cell r="F18">
            <v>20866</v>
          </cell>
          <cell r="G18">
            <v>20201</v>
          </cell>
          <cell r="H18">
            <v>18372</v>
          </cell>
          <cell r="I18">
            <v>59439</v>
          </cell>
          <cell r="J18">
            <v>17910</v>
          </cell>
          <cell r="K18">
            <v>18449</v>
          </cell>
          <cell r="L18">
            <v>16245</v>
          </cell>
          <cell r="M18">
            <v>52604</v>
          </cell>
          <cell r="N18">
            <v>17890</v>
          </cell>
          <cell r="O18">
            <v>16324</v>
          </cell>
          <cell r="P18">
            <v>16251</v>
          </cell>
          <cell r="Q18">
            <v>50465</v>
          </cell>
          <cell r="R18">
            <v>15970</v>
          </cell>
          <cell r="S18">
            <v>13250</v>
          </cell>
          <cell r="T18">
            <v>14007</v>
          </cell>
          <cell r="U18">
            <v>43227</v>
          </cell>
          <cell r="V18">
            <v>13335</v>
          </cell>
          <cell r="W18">
            <v>12617</v>
          </cell>
          <cell r="X18">
            <v>11979</v>
          </cell>
          <cell r="Y18">
            <v>37931</v>
          </cell>
          <cell r="Z18">
            <v>10682</v>
          </cell>
          <cell r="AA18">
            <v>10499</v>
          </cell>
          <cell r="AB18">
            <v>9220</v>
          </cell>
          <cell r="AC18">
            <v>30401</v>
          </cell>
          <cell r="AD18">
            <v>9151</v>
          </cell>
          <cell r="AE18">
            <v>7730</v>
          </cell>
          <cell r="AF18">
            <v>7672</v>
          </cell>
          <cell r="AG18">
            <v>24553</v>
          </cell>
          <cell r="AH18">
            <v>6961</v>
          </cell>
          <cell r="AI18">
            <v>5614</v>
          </cell>
          <cell r="AJ18">
            <v>6023</v>
          </cell>
          <cell r="AK18">
            <v>18598</v>
          </cell>
          <cell r="AL18">
            <v>5197</v>
          </cell>
          <cell r="AM18">
            <v>4934</v>
          </cell>
          <cell r="AN18">
            <v>4579</v>
          </cell>
          <cell r="AO18">
            <v>14710</v>
          </cell>
          <cell r="AP18">
            <v>3968</v>
          </cell>
          <cell r="AQ18">
            <v>4221</v>
          </cell>
          <cell r="AR18">
            <v>3669</v>
          </cell>
          <cell r="AS18">
            <v>11858</v>
          </cell>
          <cell r="AT18">
            <v>3418</v>
          </cell>
          <cell r="AU18">
            <v>3470</v>
          </cell>
          <cell r="AV18">
            <v>3906</v>
          </cell>
          <cell r="AW18">
            <v>10794</v>
          </cell>
          <cell r="AX18">
            <v>4068</v>
          </cell>
          <cell r="AY18">
            <v>2754</v>
          </cell>
          <cell r="AZ18">
            <v>3093</v>
          </cell>
          <cell r="BA18">
            <v>9915</v>
          </cell>
          <cell r="BB18">
            <v>2850</v>
          </cell>
          <cell r="BC18">
            <v>2558</v>
          </cell>
          <cell r="BD18">
            <v>2596</v>
          </cell>
          <cell r="BE18">
            <v>8004</v>
          </cell>
        </row>
        <row r="19">
          <cell r="A19" t="str">
            <v xml:space="preserve">  % Change</v>
          </cell>
          <cell r="R19">
            <v>-0.31699597981353178</v>
          </cell>
          <cell r="S19">
            <v>-0.31193851586436105</v>
          </cell>
          <cell r="T19">
            <v>-0.33791832104367558</v>
          </cell>
          <cell r="U19">
            <v>-0.32240771220315068</v>
          </cell>
          <cell r="V19">
            <v>-0.36092207418767375</v>
          </cell>
          <cell r="W19">
            <v>-0.37542695906143264</v>
          </cell>
          <cell r="X19">
            <v>-0.34797517962116264</v>
          </cell>
          <cell r="Y19">
            <v>-0.3618499638284628</v>
          </cell>
          <cell r="Z19">
            <v>-0.40357342266890006</v>
          </cell>
          <cell r="AA19">
            <v>-0.43091766491408745</v>
          </cell>
          <cell r="AB19">
            <v>-0.43244075100030777</v>
          </cell>
          <cell r="AC19">
            <v>-0.42207816896053529</v>
          </cell>
          <cell r="AD19">
            <v>-0.48848518725544998</v>
          </cell>
          <cell r="AE19">
            <v>-0.52646410193580007</v>
          </cell>
          <cell r="AF19">
            <v>-0.52790597501692205</v>
          </cell>
          <cell r="AG19">
            <v>-0.51346477756861186</v>
          </cell>
          <cell r="AH19">
            <v>-0.56412022542266749</v>
          </cell>
          <cell r="AI19">
            <v>-0.57630188679245276</v>
          </cell>
          <cell r="AJ19">
            <v>-0.57000071392874996</v>
          </cell>
          <cell r="AK19">
            <v>-0.56975964096513754</v>
          </cell>
          <cell r="AL19">
            <v>-0.6102737157855268</v>
          </cell>
          <cell r="AM19">
            <v>-0.60894031861773801</v>
          </cell>
          <cell r="AN19">
            <v>-0.61774772518574173</v>
          </cell>
          <cell r="AO19">
            <v>-0.6121905565368696</v>
          </cell>
          <cell r="AP19">
            <v>-0.62853398240029956</v>
          </cell>
          <cell r="AQ19">
            <v>-0.59796171063910841</v>
          </cell>
          <cell r="AR19">
            <v>-0.60206073752711498</v>
          </cell>
          <cell r="AS19">
            <v>-0.6099470412157495</v>
          </cell>
          <cell r="AT19">
            <v>-0.62648890831603099</v>
          </cell>
          <cell r="AU19">
            <v>-0.55109961190168177</v>
          </cell>
          <cell r="AV19">
            <v>-0.49087591240875916</v>
          </cell>
          <cell r="AW19">
            <v>-0.56037958701584323</v>
          </cell>
          <cell r="AX19">
            <v>-0.41560120672317191</v>
          </cell>
          <cell r="AY19">
            <v>-0.509440684004275</v>
          </cell>
          <cell r="AZ19">
            <v>-0.48646853727378381</v>
          </cell>
          <cell r="BA19">
            <v>-0.46687815894182172</v>
          </cell>
          <cell r="BB19">
            <v>-0.45160669617086779</v>
          </cell>
          <cell r="BC19">
            <v>-0.48155654641264689</v>
          </cell>
          <cell r="BD19">
            <v>-0.43306398777025557</v>
          </cell>
          <cell r="BE19">
            <v>-0.45588035350101974</v>
          </cell>
        </row>
        <row r="20">
          <cell r="A20" t="str">
            <v>Sales (IMS)</v>
          </cell>
          <cell r="B20">
            <v>5.2432809999999996</v>
          </cell>
          <cell r="C20">
            <v>4.954529</v>
          </cell>
          <cell r="D20">
            <v>6.1367130000000003</v>
          </cell>
          <cell r="E20">
            <v>16.334523000000001</v>
          </cell>
          <cell r="F20">
            <v>4.6353470000000003</v>
          </cell>
          <cell r="G20">
            <v>4.8249329999999997</v>
          </cell>
          <cell r="H20">
            <v>5.8397810000000003</v>
          </cell>
          <cell r="I20">
            <v>15.300061000000001</v>
          </cell>
          <cell r="J20">
            <v>4.4037559999999996</v>
          </cell>
          <cell r="K20">
            <v>4.4176630000000001</v>
          </cell>
          <cell r="L20">
            <v>5.3184950000000004</v>
          </cell>
          <cell r="M20">
            <v>14.139913999999999</v>
          </cell>
          <cell r="N20">
            <v>4.4267729999999998</v>
          </cell>
          <cell r="O20">
            <v>4.744332</v>
          </cell>
          <cell r="P20">
            <v>5.9055140000000002</v>
          </cell>
          <cell r="Q20">
            <v>15.076619000000001</v>
          </cell>
          <cell r="R20">
            <v>4.6288289999999996</v>
          </cell>
          <cell r="S20">
            <v>4.8172930000000003</v>
          </cell>
          <cell r="T20">
            <v>5.9064819999999996</v>
          </cell>
          <cell r="U20">
            <v>15.352603999999999</v>
          </cell>
          <cell r="V20">
            <v>4.4998089999999999</v>
          </cell>
          <cell r="W20">
            <v>4.0561100000000003</v>
          </cell>
          <cell r="X20">
            <v>4.7529940000000002</v>
          </cell>
          <cell r="Y20">
            <v>13.308913</v>
          </cell>
          <cell r="Z20">
            <v>3.3033779999999999</v>
          </cell>
          <cell r="AA20">
            <v>3.4159470000000001</v>
          </cell>
          <cell r="AB20">
            <v>3.853361</v>
          </cell>
          <cell r="AC20">
            <v>10.572685999999999</v>
          </cell>
          <cell r="AD20">
            <v>2.9631810000000001</v>
          </cell>
          <cell r="AE20">
            <v>2.8500220000000001</v>
          </cell>
          <cell r="AF20">
            <v>3.13374</v>
          </cell>
          <cell r="AG20">
            <v>8.9469429999999992</v>
          </cell>
          <cell r="AH20">
            <v>2.6137980000000001</v>
          </cell>
          <cell r="AI20">
            <v>2.182194</v>
          </cell>
          <cell r="AJ20">
            <v>2.6595979999999999</v>
          </cell>
          <cell r="AK20">
            <v>7.4555899999999999</v>
          </cell>
          <cell r="AL20">
            <v>1.9959549999999999</v>
          </cell>
          <cell r="AM20">
            <v>1.932566</v>
          </cell>
          <cell r="AN20">
            <v>2.2891849999999998</v>
          </cell>
          <cell r="AO20">
            <v>6.2177059999999997</v>
          </cell>
          <cell r="AP20">
            <v>1.686709</v>
          </cell>
          <cell r="AQ20">
            <v>1.7824139999999999</v>
          </cell>
          <cell r="AR20">
            <v>1.9995320000000001</v>
          </cell>
          <cell r="AS20">
            <v>5.468655</v>
          </cell>
          <cell r="AT20">
            <v>1.599526</v>
          </cell>
          <cell r="AU20">
            <v>1.457797</v>
          </cell>
          <cell r="AV20">
            <v>1.856582</v>
          </cell>
          <cell r="AW20">
            <v>4.9139049999999997</v>
          </cell>
          <cell r="AX20">
            <v>1.5930420000000001</v>
          </cell>
          <cell r="AY20">
            <v>1.476453</v>
          </cell>
          <cell r="AZ20">
            <v>1.6951499999999999</v>
          </cell>
          <cell r="BA20">
            <v>4.7646449999999998</v>
          </cell>
          <cell r="BB20">
            <v>1.1593249999999999</v>
          </cell>
          <cell r="BC20">
            <v>1.232569</v>
          </cell>
          <cell r="BD20">
            <v>1.5637589999999999</v>
          </cell>
          <cell r="BE20">
            <v>3.9556529999999999</v>
          </cell>
        </row>
        <row r="21">
          <cell r="A21" t="str">
            <v xml:space="preserve">  % Change</v>
          </cell>
          <cell r="R21">
            <v>-0.11718845509138265</v>
          </cell>
          <cell r="S21">
            <v>-2.7699101165822193E-2</v>
          </cell>
          <cell r="T21">
            <v>-3.7516989958631064E-2</v>
          </cell>
          <cell r="U21">
            <v>-6.0113111353175208E-2</v>
          </cell>
          <cell r="V21">
            <v>-2.9240097882639704E-2</v>
          </cell>
          <cell r="W21">
            <v>-0.15934376705334552</v>
          </cell>
          <cell r="X21">
            <v>-0.18610064315768005</v>
          </cell>
          <cell r="Y21">
            <v>-0.13013987329854437</v>
          </cell>
          <cell r="Z21">
            <v>-0.24987260874580697</v>
          </cell>
          <cell r="AA21">
            <v>-0.22675247070679683</v>
          </cell>
          <cell r="AB21">
            <v>-0.27547905939556216</v>
          </cell>
          <cell r="AC21">
            <v>-0.2522807423015444</v>
          </cell>
          <cell r="AD21">
            <v>-0.33062278097386055</v>
          </cell>
          <cell r="AE21">
            <v>-0.39927854964618836</v>
          </cell>
          <cell r="AF21">
            <v>-0.46935355669294831</v>
          </cell>
          <cell r="AG21">
            <v>-0.40656834267682973</v>
          </cell>
          <cell r="AH21">
            <v>-0.43532197884173296</v>
          </cell>
          <cell r="AI21">
            <v>-0.54700824716287766</v>
          </cell>
          <cell r="AJ21">
            <v>-0.54971538049214397</v>
          </cell>
          <cell r="AK21">
            <v>-0.51437619312007266</v>
          </cell>
          <cell r="AL21">
            <v>-0.55643561760065818</v>
          </cell>
          <cell r="AM21">
            <v>-0.52354201439310089</v>
          </cell>
          <cell r="AN21">
            <v>-0.51836989484943596</v>
          </cell>
          <cell r="AO21">
            <v>-0.53281639154151805</v>
          </cell>
          <cell r="AP21">
            <v>-0.48939873063270389</v>
          </cell>
          <cell r="AQ21">
            <v>-0.47820794643476616</v>
          </cell>
          <cell r="AR21">
            <v>-0.48109403712758803</v>
          </cell>
          <cell r="AS21">
            <v>-0.48275632133594049</v>
          </cell>
          <cell r="AT21">
            <v>-0.4601996975547562</v>
          </cell>
          <cell r="AU21">
            <v>-0.48849622915191537</v>
          </cell>
          <cell r="AV21">
            <v>-0.40755072214031796</v>
          </cell>
          <cell r="AW21">
            <v>-0.45077273880028068</v>
          </cell>
          <cell r="AX21">
            <v>-0.39052597025477864</v>
          </cell>
          <cell r="AY21">
            <v>-0.32340891781390657</v>
          </cell>
          <cell r="AZ21">
            <v>-0.36262923945648928</v>
          </cell>
          <cell r="BA21">
            <v>-0.36092985263406385</v>
          </cell>
          <cell r="BB21">
            <v>-0.41916275667537595</v>
          </cell>
          <cell r="BC21">
            <v>-0.36221117415912318</v>
          </cell>
          <cell r="BD21">
            <v>-0.31689269325109148</v>
          </cell>
          <cell r="BE21">
            <v>-0.36380829199708054</v>
          </cell>
        </row>
        <row r="22">
          <cell r="A22" t="str">
            <v>Price Change</v>
          </cell>
          <cell r="R22">
            <v>0.26498647301722911</v>
          </cell>
          <cell r="U22">
            <v>0.26498647301722911</v>
          </cell>
          <cell r="V22">
            <v>3.001650907999398E-2</v>
          </cell>
          <cell r="Y22">
            <v>0.29500298209722309</v>
          </cell>
          <cell r="AC22">
            <v>0.29500298209722309</v>
          </cell>
          <cell r="AG22">
            <v>0.29500298209722309</v>
          </cell>
          <cell r="AK22">
            <v>3.001650907999398E-2</v>
          </cell>
          <cell r="AL22">
            <v>4.8302491621739829E-2</v>
          </cell>
          <cell r="AM22">
            <v>8.0026409062478487E-2</v>
          </cell>
          <cell r="AO22">
            <v>0.12832890068421832</v>
          </cell>
          <cell r="AP22">
            <v>4.9998391300151379E-2</v>
          </cell>
          <cell r="AS22">
            <v>0.1783272919843697</v>
          </cell>
          <cell r="AW22">
            <v>0.1783272919843697</v>
          </cell>
          <cell r="AX22">
            <v>9.0026045656503628E-2</v>
          </cell>
          <cell r="BA22">
            <v>0.26835333764087332</v>
          </cell>
          <cell r="BB22">
            <v>7.0013013571295746E-2</v>
          </cell>
          <cell r="BE22">
            <v>0.21003745052795075</v>
          </cell>
        </row>
        <row r="24">
          <cell r="A24" t="str">
            <v>Plexion cleanser</v>
          </cell>
        </row>
        <row r="25">
          <cell r="A25" t="str">
            <v>TRx</v>
          </cell>
          <cell r="B25">
            <v>38315</v>
          </cell>
          <cell r="C25">
            <v>35300</v>
          </cell>
          <cell r="D25">
            <v>39176</v>
          </cell>
          <cell r="E25">
            <v>112791</v>
          </cell>
          <cell r="F25">
            <v>40257</v>
          </cell>
          <cell r="G25">
            <v>41450</v>
          </cell>
          <cell r="H25">
            <v>40361</v>
          </cell>
          <cell r="I25">
            <v>122068</v>
          </cell>
          <cell r="J25">
            <v>41227</v>
          </cell>
          <cell r="K25">
            <v>44188</v>
          </cell>
          <cell r="L25">
            <v>39716</v>
          </cell>
          <cell r="M25">
            <v>125131</v>
          </cell>
          <cell r="N25">
            <v>42692</v>
          </cell>
          <cell r="O25">
            <v>39969</v>
          </cell>
          <cell r="P25">
            <v>42869</v>
          </cell>
          <cell r="Q25">
            <v>125530</v>
          </cell>
          <cell r="R25">
            <v>42555</v>
          </cell>
          <cell r="S25">
            <v>36713</v>
          </cell>
          <cell r="T25">
            <v>40976</v>
          </cell>
          <cell r="U25">
            <v>120244</v>
          </cell>
          <cell r="V25">
            <v>39587</v>
          </cell>
          <cell r="W25">
            <v>41609</v>
          </cell>
          <cell r="X25">
            <v>39995</v>
          </cell>
          <cell r="Y25">
            <v>121191</v>
          </cell>
          <cell r="Z25">
            <v>39196</v>
          </cell>
          <cell r="AA25">
            <v>39328</v>
          </cell>
          <cell r="AB25">
            <v>34556</v>
          </cell>
          <cell r="AC25">
            <v>113080</v>
          </cell>
          <cell r="AD25">
            <v>29767</v>
          </cell>
          <cell r="AE25">
            <v>25868</v>
          </cell>
          <cell r="AF25">
            <v>27478</v>
          </cell>
          <cell r="AG25">
            <v>83113</v>
          </cell>
          <cell r="AH25">
            <v>24198</v>
          </cell>
          <cell r="AI25">
            <v>20788</v>
          </cell>
          <cell r="AJ25">
            <v>23506</v>
          </cell>
          <cell r="AK25">
            <v>68492</v>
          </cell>
          <cell r="AL25">
            <v>20737</v>
          </cell>
          <cell r="AM25">
            <v>20164</v>
          </cell>
          <cell r="AN25">
            <v>20682</v>
          </cell>
          <cell r="AO25">
            <v>61583</v>
          </cell>
          <cell r="AP25">
            <v>19417</v>
          </cell>
          <cell r="AQ25">
            <v>19590</v>
          </cell>
          <cell r="AR25">
            <v>17393</v>
          </cell>
          <cell r="AS25">
            <v>56400</v>
          </cell>
          <cell r="AT25">
            <v>16117</v>
          </cell>
          <cell r="AU25">
            <v>14551</v>
          </cell>
          <cell r="AV25">
            <v>14887</v>
          </cell>
          <cell r="AW25">
            <v>45555</v>
          </cell>
          <cell r="AX25">
            <v>12976</v>
          </cell>
          <cell r="AY25">
            <v>10594</v>
          </cell>
          <cell r="AZ25">
            <v>12123</v>
          </cell>
          <cell r="BA25">
            <v>35693</v>
          </cell>
          <cell r="BB25">
            <v>11018</v>
          </cell>
          <cell r="BC25">
            <v>11059</v>
          </cell>
          <cell r="BD25">
            <v>11026</v>
          </cell>
          <cell r="BE25">
            <v>33103</v>
          </cell>
        </row>
        <row r="26">
          <cell r="A26" t="str">
            <v xml:space="preserve">  % Change</v>
          </cell>
          <cell r="R26">
            <v>0.1106616207751534</v>
          </cell>
          <cell r="S26">
            <v>4.002832861189809E-2</v>
          </cell>
          <cell r="T26">
            <v>4.594649785583016E-2</v>
          </cell>
          <cell r="U26">
            <v>6.6077967213696187E-2</v>
          </cell>
          <cell r="V26">
            <v>-1.664306828626072E-2</v>
          </cell>
          <cell r="W26">
            <v>3.8359469240047961E-3</v>
          </cell>
          <cell r="X26">
            <v>-9.0681598572879274E-3</v>
          </cell>
          <cell r="Y26">
            <v>-7.1845201035488637E-3</v>
          </cell>
          <cell r="Z26">
            <v>-4.9263831954786896E-2</v>
          </cell>
          <cell r="AA26">
            <v>-0.10998461120666247</v>
          </cell>
          <cell r="AB26">
            <v>-0.12992244939067377</v>
          </cell>
          <cell r="AC26">
            <v>-9.630707019044038E-2</v>
          </cell>
          <cell r="AD26">
            <v>-0.30274992972922332</v>
          </cell>
          <cell r="AE26">
            <v>-0.35279841877455032</v>
          </cell>
          <cell r="AF26">
            <v>-0.3590240033590707</v>
          </cell>
          <cell r="AG26">
            <v>-0.33790329005018716</v>
          </cell>
          <cell r="AH26">
            <v>-0.4313711667254142</v>
          </cell>
          <cell r="AI26">
            <v>-0.43377005420423287</v>
          </cell>
          <cell r="AJ26">
            <v>-0.42634713002733304</v>
          </cell>
          <cell r="AK26">
            <v>-0.43039153720767775</v>
          </cell>
          <cell r="AL26">
            <v>-0.47616641826862349</v>
          </cell>
          <cell r="AM26">
            <v>-0.51539330433319708</v>
          </cell>
          <cell r="AN26">
            <v>-0.48288536067008381</v>
          </cell>
          <cell r="AO26">
            <v>-0.49185170515962406</v>
          </cell>
          <cell r="AP26">
            <v>-0.50461781814470863</v>
          </cell>
          <cell r="AQ26">
            <v>-0.50188161106590723</v>
          </cell>
          <cell r="AR26">
            <v>-0.49667206852644985</v>
          </cell>
          <cell r="AS26">
            <v>-0.50123806154934558</v>
          </cell>
          <cell r="AT26">
            <v>-0.45856149427218063</v>
          </cell>
          <cell r="AU26">
            <v>-0.43749033554971395</v>
          </cell>
          <cell r="AV26">
            <v>-0.4582211223524274</v>
          </cell>
          <cell r="AW26">
            <v>-0.45189079927327858</v>
          </cell>
          <cell r="AX26">
            <v>-0.46375733531696839</v>
          </cell>
          <cell r="AY26">
            <v>-0.49037906484510296</v>
          </cell>
          <cell r="AZ26">
            <v>-0.48425933804135113</v>
          </cell>
          <cell r="BA26">
            <v>-0.47887344507387719</v>
          </cell>
          <cell r="BB26">
            <v>-0.46867917249361046</v>
          </cell>
          <cell r="BC26">
            <v>-0.45154731204126164</v>
          </cell>
          <cell r="BD26">
            <v>-0.46687941204912486</v>
          </cell>
          <cell r="BE26">
            <v>-0.46246529074582277</v>
          </cell>
        </row>
        <row r="27">
          <cell r="A27" t="str">
            <v>NRx</v>
          </cell>
          <cell r="B27">
            <v>24969</v>
          </cell>
          <cell r="C27">
            <v>23263</v>
          </cell>
          <cell r="D27">
            <v>25211</v>
          </cell>
          <cell r="E27">
            <v>73443</v>
          </cell>
          <cell r="F27">
            <v>25551</v>
          </cell>
          <cell r="G27">
            <v>25751</v>
          </cell>
          <cell r="H27">
            <v>24521</v>
          </cell>
          <cell r="I27">
            <v>75823</v>
          </cell>
          <cell r="J27">
            <v>24820</v>
          </cell>
          <cell r="K27">
            <v>26390</v>
          </cell>
          <cell r="L27">
            <v>23148</v>
          </cell>
          <cell r="M27">
            <v>74358</v>
          </cell>
          <cell r="N27">
            <v>25614</v>
          </cell>
          <cell r="O27">
            <v>23598</v>
          </cell>
          <cell r="P27">
            <v>24141</v>
          </cell>
          <cell r="Q27">
            <v>73353</v>
          </cell>
          <cell r="R27">
            <v>25645</v>
          </cell>
          <cell r="S27">
            <v>22074</v>
          </cell>
          <cell r="T27">
            <v>23993</v>
          </cell>
          <cell r="U27">
            <v>71712</v>
          </cell>
          <cell r="V27">
            <v>23015</v>
          </cell>
          <cell r="W27">
            <v>24130</v>
          </cell>
          <cell r="X27">
            <v>22397</v>
          </cell>
          <cell r="Y27">
            <v>69542</v>
          </cell>
          <cell r="Z27">
            <v>21896</v>
          </cell>
          <cell r="AA27">
            <v>21596</v>
          </cell>
          <cell r="AB27">
            <v>19408</v>
          </cell>
          <cell r="AC27">
            <v>62900</v>
          </cell>
          <cell r="AD27">
            <v>16942</v>
          </cell>
          <cell r="AE27">
            <v>13601</v>
          </cell>
          <cell r="AF27">
            <v>14247</v>
          </cell>
          <cell r="AG27">
            <v>44790</v>
          </cell>
          <cell r="AH27">
            <v>13154</v>
          </cell>
          <cell r="AI27">
            <v>11205</v>
          </cell>
          <cell r="AJ27">
            <v>12787</v>
          </cell>
          <cell r="AK27">
            <v>37146</v>
          </cell>
          <cell r="AL27">
            <v>11083</v>
          </cell>
          <cell r="AM27">
            <v>10819</v>
          </cell>
          <cell r="AN27">
            <v>11019</v>
          </cell>
          <cell r="AO27">
            <v>32921</v>
          </cell>
          <cell r="AP27">
            <v>10444</v>
          </cell>
          <cell r="AQ27">
            <v>10613</v>
          </cell>
          <cell r="AR27">
            <v>9439</v>
          </cell>
          <cell r="AS27">
            <v>30496</v>
          </cell>
          <cell r="AT27">
            <v>8408</v>
          </cell>
          <cell r="AU27">
            <v>7566</v>
          </cell>
          <cell r="AV27">
            <v>7335</v>
          </cell>
          <cell r="AW27">
            <v>23309</v>
          </cell>
          <cell r="AX27">
            <v>6581</v>
          </cell>
          <cell r="AY27">
            <v>5296</v>
          </cell>
          <cell r="AZ27">
            <v>6337</v>
          </cell>
          <cell r="BA27">
            <v>18214</v>
          </cell>
          <cell r="BB27">
            <v>5675</v>
          </cell>
          <cell r="BC27">
            <v>5640</v>
          </cell>
          <cell r="BD27">
            <v>5640</v>
          </cell>
          <cell r="BE27">
            <v>16955</v>
          </cell>
        </row>
        <row r="28">
          <cell r="A28" t="str">
            <v xml:space="preserve">  % Change</v>
          </cell>
          <cell r="R28">
            <v>2.7073571228323212E-2</v>
          </cell>
          <cell r="S28">
            <v>-5.1111206637149076E-2</v>
          </cell>
          <cell r="T28">
            <v>-4.8312244655110859E-2</v>
          </cell>
          <cell r="U28">
            <v>-2.3569298639761427E-2</v>
          </cell>
          <cell r="V28">
            <v>-9.9252475441274357E-2</v>
          </cell>
          <cell r="W28">
            <v>-6.2949011688866463E-2</v>
          </cell>
          <cell r="X28">
            <v>-8.6619632152032944E-2</v>
          </cell>
          <cell r="Y28">
            <v>-8.2837661395618767E-2</v>
          </cell>
          <cell r="Z28">
            <v>-0.11780821917808215</v>
          </cell>
          <cell r="AA28">
            <v>-0.18165971959075411</v>
          </cell>
          <cell r="AB28">
            <v>-0.16156903404181788</v>
          </cell>
          <cell r="AC28">
            <v>-0.15409236396890713</v>
          </cell>
          <cell r="AD28">
            <v>-0.33856484734910597</v>
          </cell>
          <cell r="AE28">
            <v>-0.42363759640647514</v>
          </cell>
          <cell r="AF28">
            <v>-0.40984217720889771</v>
          </cell>
          <cell r="AG28">
            <v>-0.3893910269518629</v>
          </cell>
          <cell r="AH28">
            <v>-0.48707350360694091</v>
          </cell>
          <cell r="AI28">
            <v>-0.49238923620549058</v>
          </cell>
          <cell r="AJ28">
            <v>-0.46705289042637432</v>
          </cell>
          <cell r="AK28">
            <v>-0.48201137884872824</v>
          </cell>
          <cell r="AL28">
            <v>-0.51844449272213766</v>
          </cell>
          <cell r="AM28">
            <v>-0.55163696643182758</v>
          </cell>
          <cell r="AN28">
            <v>-0.50801446622315494</v>
          </cell>
          <cell r="AO28">
            <v>-0.52660262862730434</v>
          </cell>
          <cell r="AP28">
            <v>-0.5230179028132993</v>
          </cell>
          <cell r="AQ28">
            <v>-0.50856640118540475</v>
          </cell>
          <cell r="AR28">
            <v>-0.51365416323165702</v>
          </cell>
          <cell r="AS28">
            <v>-0.51516693163751981</v>
          </cell>
          <cell r="AT28">
            <v>-0.50371856923621761</v>
          </cell>
          <cell r="AU28">
            <v>-0.4437173737225204</v>
          </cell>
          <cell r="AV28">
            <v>-0.48515476942514213</v>
          </cell>
          <cell r="AW28">
            <v>-0.4795936592989507</v>
          </cell>
          <cell r="AX28">
            <v>-0.49969590998935687</v>
          </cell>
          <cell r="AY28">
            <v>-0.52735385988398042</v>
          </cell>
          <cell r="AZ28">
            <v>-0.50441855008993508</v>
          </cell>
          <cell r="BA28">
            <v>-0.50966456684434391</v>
          </cell>
          <cell r="BB28">
            <v>-0.48795452494811875</v>
          </cell>
          <cell r="BC28">
            <v>-0.47869488862186893</v>
          </cell>
          <cell r="BD28">
            <v>-0.488156820038116</v>
          </cell>
          <cell r="BE28">
            <v>-0.48497919261261813</v>
          </cell>
        </row>
        <row r="29">
          <cell r="A29" t="str">
            <v>Sales (IMS)</v>
          </cell>
          <cell r="B29">
            <v>1.395683</v>
          </cell>
          <cell r="C29">
            <v>1.4326810000000001</v>
          </cell>
          <cell r="D29">
            <v>1.791239</v>
          </cell>
          <cell r="E29">
            <v>4.6196029999999997</v>
          </cell>
          <cell r="F29">
            <v>1.4335640000000001</v>
          </cell>
          <cell r="G29">
            <v>1.520006</v>
          </cell>
          <cell r="H29">
            <v>2.0213410000000001</v>
          </cell>
          <cell r="I29">
            <v>4.9749110000000005</v>
          </cell>
          <cell r="J29">
            <v>1.705463</v>
          </cell>
          <cell r="K29">
            <v>1.6793750000000001</v>
          </cell>
          <cell r="L29">
            <v>1.969584</v>
          </cell>
          <cell r="M29">
            <v>5.3544220000000005</v>
          </cell>
          <cell r="N29">
            <v>1.667764</v>
          </cell>
          <cell r="O29">
            <v>1.6917180000000001</v>
          </cell>
          <cell r="P29">
            <v>2.1753079999999998</v>
          </cell>
          <cell r="Q29">
            <v>5.5347899999999992</v>
          </cell>
          <cell r="R29">
            <v>1.8292710000000001</v>
          </cell>
          <cell r="S29">
            <v>1.706677</v>
          </cell>
          <cell r="T29">
            <v>2.2301380000000002</v>
          </cell>
          <cell r="U29">
            <v>5.7660860000000005</v>
          </cell>
          <cell r="V29">
            <v>1.7292080000000001</v>
          </cell>
          <cell r="W29">
            <v>1.8212410000000001</v>
          </cell>
          <cell r="X29">
            <v>2.3402379999999998</v>
          </cell>
          <cell r="Y29">
            <v>5.8906869999999998</v>
          </cell>
          <cell r="Z29">
            <v>1.737017</v>
          </cell>
          <cell r="AA29">
            <v>1.8867210000000001</v>
          </cell>
          <cell r="AB29">
            <v>1.975409</v>
          </cell>
          <cell r="AC29">
            <v>5.5991470000000003</v>
          </cell>
          <cell r="AD29">
            <v>1.2839179999999999</v>
          </cell>
          <cell r="AE29">
            <v>1.1827099999999999</v>
          </cell>
          <cell r="AF29">
            <v>1.4969049999999999</v>
          </cell>
          <cell r="AG29">
            <v>3.963533</v>
          </cell>
          <cell r="AH29">
            <v>1.1575310000000001</v>
          </cell>
          <cell r="AI29">
            <v>1.0809869999999999</v>
          </cell>
          <cell r="AJ29">
            <v>1.4090009999999999</v>
          </cell>
          <cell r="AK29">
            <v>3.647519</v>
          </cell>
          <cell r="AL29">
            <v>1.097399</v>
          </cell>
          <cell r="AM29">
            <v>1.166423</v>
          </cell>
          <cell r="AN29">
            <v>1.4379299999999999</v>
          </cell>
          <cell r="AO29">
            <v>3.7017519999999999</v>
          </cell>
          <cell r="AP29">
            <v>1.117917</v>
          </cell>
          <cell r="AQ29">
            <v>1.1319060000000001</v>
          </cell>
          <cell r="AR29">
            <v>1.3153410000000001</v>
          </cell>
          <cell r="AS29">
            <v>3.5651640000000002</v>
          </cell>
          <cell r="AT29">
            <v>1.0063740000000001</v>
          </cell>
          <cell r="AU29">
            <v>0.918991</v>
          </cell>
          <cell r="AV29">
            <v>1.128001</v>
          </cell>
          <cell r="AW29">
            <v>3.0533660000000005</v>
          </cell>
          <cell r="AX29">
            <v>0.87504599999999999</v>
          </cell>
          <cell r="AY29">
            <v>0.82460500000000003</v>
          </cell>
          <cell r="AZ29">
            <v>1.0079640000000001</v>
          </cell>
          <cell r="BA29">
            <v>2.7076150000000001</v>
          </cell>
          <cell r="BB29">
            <v>0.76220200000000005</v>
          </cell>
          <cell r="BC29">
            <v>0.80175200000000002</v>
          </cell>
          <cell r="BD29">
            <v>0.99508099999999999</v>
          </cell>
          <cell r="BE29">
            <v>2.5590350000000002</v>
          </cell>
        </row>
        <row r="30">
          <cell r="A30" t="str">
            <v xml:space="preserve">  % Change</v>
          </cell>
          <cell r="R30">
            <v>0.31066366789593336</v>
          </cell>
          <cell r="S30">
            <v>0.19124703964106438</v>
          </cell>
          <cell r="T30">
            <v>0.24502537070709174</v>
          </cell>
          <cell r="U30">
            <v>0.2481778196091744</v>
          </cell>
          <cell r="V30">
            <v>0.20623006716128467</v>
          </cell>
          <cell r="W30">
            <v>0.19818013876261031</v>
          </cell>
          <cell r="X30">
            <v>0.15776506784357491</v>
          </cell>
          <cell r="Y30">
            <v>0.18407887095869646</v>
          </cell>
          <cell r="Z30">
            <v>1.8501720647120523E-2</v>
          </cell>
          <cell r="AA30">
            <v>0.12346617045031638</v>
          </cell>
          <cell r="AB30">
            <v>2.957477315006507E-3</v>
          </cell>
          <cell r="AC30">
            <v>4.5705213373170794E-2</v>
          </cell>
          <cell r="AD30">
            <v>-0.23015606524664167</v>
          </cell>
          <cell r="AE30">
            <v>-0.3008822983499615</v>
          </cell>
          <cell r="AF30">
            <v>-0.31186526229848832</v>
          </cell>
          <cell r="AG30">
            <v>-0.28388737422738708</v>
          </cell>
          <cell r="AH30">
            <v>-0.36721732318502831</v>
          </cell>
          <cell r="AI30">
            <v>-0.36661301464776297</v>
          </cell>
          <cell r="AJ30">
            <v>-0.36820008447907715</v>
          </cell>
          <cell r="AK30">
            <v>-0.36741855740618512</v>
          </cell>
          <cell r="AL30">
            <v>-0.3653747842943128</v>
          </cell>
          <cell r="AM30">
            <v>-0.35954494764833433</v>
          </cell>
          <cell r="AN30">
            <v>-0.38556249407111587</v>
          </cell>
          <cell r="AO30">
            <v>-0.37159248148815238</v>
          </cell>
          <cell r="AP30">
            <v>-0.3564156251781071</v>
          </cell>
          <cell r="AQ30">
            <v>-0.40006710054109751</v>
          </cell>
          <cell r="AR30">
            <v>-0.33414244847522712</v>
          </cell>
          <cell r="AS30">
            <v>-0.36326658328491823</v>
          </cell>
          <cell r="AT30">
            <v>-0.21616956846153712</v>
          </cell>
          <cell r="AU30">
            <v>-0.22297858308461072</v>
          </cell>
          <cell r="AV30">
            <v>-0.24644449714577743</v>
          </cell>
          <cell r="AW30">
            <v>-0.22963527741537648</v>
          </cell>
          <cell r="AX30">
            <v>-0.24404098032795674</v>
          </cell>
          <cell r="AY30">
            <v>-0.23717399006648543</v>
          </cell>
          <cell r="AZ30">
            <v>-0.28462506414118927</v>
          </cell>
          <cell r="BA30">
            <v>-0.25768309911476805</v>
          </cell>
          <cell r="BB30">
            <v>-0.30544678826935323</v>
          </cell>
          <cell r="BC30">
            <v>-0.31264044004619251</v>
          </cell>
          <cell r="BD30">
            <v>-0.30797674434777766</v>
          </cell>
          <cell r="BE30">
            <v>-0.30869626058147592</v>
          </cell>
        </row>
        <row r="31">
          <cell r="A31" t="str">
            <v>Price Change</v>
          </cell>
          <cell r="U31">
            <v>0</v>
          </cell>
          <cell r="Y31">
            <v>0</v>
          </cell>
          <cell r="Z31">
            <v>8.1716779825412145E-2</v>
          </cell>
          <cell r="AC31">
            <v>8.1716779825412145E-2</v>
          </cell>
          <cell r="AG31">
            <v>8.1716779825412145E-2</v>
          </cell>
          <cell r="AH31">
            <v>6.0076216095045876E-2</v>
          </cell>
          <cell r="AK31">
            <v>0.14179299592045802</v>
          </cell>
          <cell r="AL31">
            <v>1.7551279340241033E-2</v>
          </cell>
          <cell r="AO31">
            <v>0.15934427526069905</v>
          </cell>
          <cell r="AP31">
            <v>5.0083125519534644E-2</v>
          </cell>
          <cell r="AS31">
            <v>0.12771062095482155</v>
          </cell>
          <cell r="AW31">
            <v>0.12771062095482155</v>
          </cell>
          <cell r="AX31">
            <v>0.13417771620819319</v>
          </cell>
          <cell r="BA31">
            <v>0.20181212106796886</v>
          </cell>
          <cell r="BE31">
            <v>0.18426084172772783</v>
          </cell>
        </row>
        <row r="33">
          <cell r="A33" t="str">
            <v>Plexion cleanser cloth</v>
          </cell>
        </row>
        <row r="34">
          <cell r="A34" t="str">
            <v>TRx</v>
          </cell>
          <cell r="AR34">
            <v>16</v>
          </cell>
          <cell r="AS34">
            <v>16</v>
          </cell>
          <cell r="AT34">
            <v>3879</v>
          </cell>
          <cell r="AU34">
            <v>8162</v>
          </cell>
          <cell r="AV34">
            <v>10919</v>
          </cell>
          <cell r="AW34">
            <v>22960</v>
          </cell>
          <cell r="AX34">
            <v>12537</v>
          </cell>
          <cell r="AY34">
            <v>12585</v>
          </cell>
          <cell r="AZ34">
            <v>15788</v>
          </cell>
          <cell r="BA34">
            <v>40910</v>
          </cell>
          <cell r="BB34">
            <v>13494</v>
          </cell>
          <cell r="BC34">
            <v>15414</v>
          </cell>
          <cell r="BD34">
            <v>16630</v>
          </cell>
          <cell r="BE34">
            <v>45538</v>
          </cell>
        </row>
        <row r="35">
          <cell r="A35" t="str">
            <v>NRx</v>
          </cell>
          <cell r="AR35">
            <v>16</v>
          </cell>
          <cell r="AS35">
            <v>16</v>
          </cell>
          <cell r="AT35">
            <v>3842</v>
          </cell>
          <cell r="AU35">
            <v>7554</v>
          </cell>
          <cell r="AV35">
            <v>8978</v>
          </cell>
          <cell r="AW35">
            <v>20374</v>
          </cell>
          <cell r="AX35">
            <v>9487</v>
          </cell>
          <cell r="AY35">
            <v>9192</v>
          </cell>
          <cell r="AZ35">
            <v>10938</v>
          </cell>
          <cell r="BA35">
            <v>29617</v>
          </cell>
          <cell r="BB35">
            <v>8411</v>
          </cell>
          <cell r="BC35">
            <v>9562</v>
          </cell>
          <cell r="BD35">
            <v>10263</v>
          </cell>
          <cell r="BE35">
            <v>28236</v>
          </cell>
        </row>
        <row r="36">
          <cell r="A36" t="str">
            <v>Sales (IMS)</v>
          </cell>
          <cell r="AR36">
            <v>2.8909999999999999E-3</v>
          </cell>
          <cell r="AS36">
            <v>2.8909999999999999E-3</v>
          </cell>
          <cell r="AT36">
            <v>1.0456350000000001</v>
          </cell>
          <cell r="AU36">
            <v>1.0787249999999999</v>
          </cell>
          <cell r="AV36">
            <v>1.418442</v>
          </cell>
          <cell r="AW36">
            <v>3.542802</v>
          </cell>
          <cell r="AX36">
            <v>1.3373330000000001</v>
          </cell>
          <cell r="AY36">
            <v>1.565706</v>
          </cell>
          <cell r="AZ36">
            <v>2.2236359999999999</v>
          </cell>
          <cell r="BA36">
            <v>5.1266750000000005</v>
          </cell>
          <cell r="BB36">
            <v>1.5868930000000001</v>
          </cell>
          <cell r="BC36">
            <v>1.8084830000000001</v>
          </cell>
          <cell r="BD36">
            <v>2.4236</v>
          </cell>
          <cell r="BE36">
            <v>5.8189760000000001</v>
          </cell>
        </row>
        <row r="37">
          <cell r="A37" t="str">
            <v>Price Change</v>
          </cell>
          <cell r="AX37">
            <v>6.0024154589372047E-2</v>
          </cell>
          <cell r="BA37">
            <v>6.0024154589372047E-2</v>
          </cell>
          <cell r="BE37">
            <v>6.0024154589372047E-2</v>
          </cell>
        </row>
        <row r="39">
          <cell r="A39" t="str">
            <v>Plexion cream</v>
          </cell>
        </row>
        <row r="40">
          <cell r="A40" t="str">
            <v>TRx</v>
          </cell>
          <cell r="C40">
            <v>4</v>
          </cell>
          <cell r="D40">
            <v>39</v>
          </cell>
          <cell r="E40">
            <v>43</v>
          </cell>
          <cell r="F40">
            <v>394</v>
          </cell>
          <cell r="G40">
            <v>2168</v>
          </cell>
          <cell r="H40">
            <v>3347</v>
          </cell>
          <cell r="I40">
            <v>5909</v>
          </cell>
          <cell r="J40">
            <v>4296</v>
          </cell>
          <cell r="K40">
            <v>5492</v>
          </cell>
          <cell r="L40">
            <v>4973</v>
          </cell>
          <cell r="M40">
            <v>14761</v>
          </cell>
          <cell r="N40">
            <v>5766</v>
          </cell>
          <cell r="O40">
            <v>5183</v>
          </cell>
          <cell r="P40">
            <v>5322</v>
          </cell>
          <cell r="Q40">
            <v>16271</v>
          </cell>
          <cell r="R40">
            <v>5315</v>
          </cell>
          <cell r="S40">
            <v>4741</v>
          </cell>
          <cell r="T40">
            <v>5362</v>
          </cell>
          <cell r="U40">
            <v>15418</v>
          </cell>
          <cell r="V40">
            <v>5292</v>
          </cell>
          <cell r="W40">
            <v>5441</v>
          </cell>
          <cell r="X40">
            <v>5464</v>
          </cell>
          <cell r="Y40">
            <v>16197</v>
          </cell>
          <cell r="Z40">
            <v>5576</v>
          </cell>
          <cell r="AA40">
            <v>5977</v>
          </cell>
          <cell r="AB40">
            <v>5717</v>
          </cell>
          <cell r="AC40">
            <v>17270</v>
          </cell>
          <cell r="AD40">
            <v>5491</v>
          </cell>
          <cell r="AE40">
            <v>4901</v>
          </cell>
          <cell r="AF40">
            <v>5126</v>
          </cell>
          <cell r="AG40">
            <v>15518</v>
          </cell>
          <cell r="AH40">
            <v>4891</v>
          </cell>
          <cell r="AI40">
            <v>5295</v>
          </cell>
          <cell r="AJ40">
            <v>7364</v>
          </cell>
          <cell r="AK40">
            <v>17550</v>
          </cell>
          <cell r="AL40">
            <v>6675</v>
          </cell>
          <cell r="AM40">
            <v>7279</v>
          </cell>
          <cell r="AN40">
            <v>7910</v>
          </cell>
          <cell r="AO40">
            <v>21864</v>
          </cell>
          <cell r="AP40">
            <v>7752</v>
          </cell>
          <cell r="AQ40">
            <v>8567</v>
          </cell>
          <cell r="AR40">
            <v>7688</v>
          </cell>
          <cell r="AS40">
            <v>24007</v>
          </cell>
          <cell r="AT40">
            <v>7779</v>
          </cell>
          <cell r="AU40">
            <v>7187</v>
          </cell>
          <cell r="AV40">
            <v>7116</v>
          </cell>
          <cell r="AW40">
            <v>22082</v>
          </cell>
          <cell r="AX40">
            <v>6857</v>
          </cell>
          <cell r="AY40">
            <v>5605</v>
          </cell>
          <cell r="AZ40">
            <v>6626</v>
          </cell>
          <cell r="BA40">
            <v>19088</v>
          </cell>
          <cell r="BB40">
            <v>5588</v>
          </cell>
          <cell r="BC40">
            <v>5719</v>
          </cell>
          <cell r="BD40">
            <v>5742</v>
          </cell>
          <cell r="BE40">
            <v>17049</v>
          </cell>
        </row>
        <row r="41">
          <cell r="A41" t="str">
            <v xml:space="preserve">  % Change</v>
          </cell>
          <cell r="V41">
            <v>12.431472081218274</v>
          </cell>
          <cell r="W41">
            <v>1.5096863468634685</v>
          </cell>
          <cell r="X41">
            <v>0.6325067224380041</v>
          </cell>
          <cell r="Y41">
            <v>1.7410729395836859</v>
          </cell>
          <cell r="Z41">
            <v>0.29795158286778389</v>
          </cell>
          <cell r="AA41">
            <v>8.8310269482884118E-2</v>
          </cell>
          <cell r="AB41">
            <v>0.14960788256585555</v>
          </cell>
          <cell r="AC41">
            <v>0.16997493394756447</v>
          </cell>
          <cell r="AD41">
            <v>-4.7693374956642387E-2</v>
          </cell>
          <cell r="AE41">
            <v>-5.4408643642677945E-2</v>
          </cell>
          <cell r="AF41">
            <v>-3.682826005261175E-2</v>
          </cell>
          <cell r="AG41">
            <v>-4.6278655276258407E-2</v>
          </cell>
          <cell r="AH41">
            <v>-7.9774223894637841E-2</v>
          </cell>
          <cell r="AI41">
            <v>0.11685298460240445</v>
          </cell>
          <cell r="AJ41">
            <v>0.37336814621409919</v>
          </cell>
          <cell r="AK41">
            <v>0.13827993254637438</v>
          </cell>
          <cell r="AL41">
            <v>0.26133786848072571</v>
          </cell>
          <cell r="AM41">
            <v>0.33780555045028482</v>
          </cell>
          <cell r="AN41">
            <v>0.44765739385065895</v>
          </cell>
          <cell r="AO41">
            <v>0.3498796073346917</v>
          </cell>
          <cell r="AP41">
            <v>0.39024390243902429</v>
          </cell>
          <cell r="AQ41">
            <v>0.43332775639953147</v>
          </cell>
          <cell r="AR41">
            <v>0.34476123841175443</v>
          </cell>
          <cell r="AS41">
            <v>0.39009843659525179</v>
          </cell>
          <cell r="AT41">
            <v>0.4166818430158441</v>
          </cell>
          <cell r="AU41">
            <v>0.4664354213425832</v>
          </cell>
          <cell r="AV41">
            <v>0.38821693328131102</v>
          </cell>
          <cell r="AW41">
            <v>0.42299265369248618</v>
          </cell>
          <cell r="AX41">
            <v>0.40196278879574732</v>
          </cell>
          <cell r="AY41">
            <v>5.8545797922568532E-2</v>
          </cell>
          <cell r="AZ41">
            <v>-0.10021727322107554</v>
          </cell>
          <cell r="BA41">
            <v>8.7635327635327664E-2</v>
          </cell>
          <cell r="BB41">
            <v>-0.16284644194756559</v>
          </cell>
          <cell r="BC41">
            <v>-0.21431515318038197</v>
          </cell>
          <cell r="BD41">
            <v>-0.27408343868520857</v>
          </cell>
          <cell r="BE41">
            <v>-0.22022502744237105</v>
          </cell>
        </row>
        <row r="42">
          <cell r="A42" t="str">
            <v>NRx</v>
          </cell>
          <cell r="C42">
            <v>4</v>
          </cell>
          <cell r="D42">
            <v>34</v>
          </cell>
          <cell r="E42">
            <v>38</v>
          </cell>
          <cell r="F42">
            <v>387</v>
          </cell>
          <cell r="G42">
            <v>2090</v>
          </cell>
          <cell r="H42">
            <v>3084</v>
          </cell>
          <cell r="I42">
            <v>5561</v>
          </cell>
          <cell r="J42">
            <v>3740</v>
          </cell>
          <cell r="K42">
            <v>4545</v>
          </cell>
          <cell r="L42">
            <v>3936</v>
          </cell>
          <cell r="M42">
            <v>12221</v>
          </cell>
          <cell r="N42">
            <v>4540</v>
          </cell>
          <cell r="O42">
            <v>3843</v>
          </cell>
          <cell r="P42">
            <v>3768</v>
          </cell>
          <cell r="Q42">
            <v>12151</v>
          </cell>
          <cell r="R42">
            <v>3793</v>
          </cell>
          <cell r="S42">
            <v>3445</v>
          </cell>
          <cell r="T42">
            <v>3783</v>
          </cell>
          <cell r="U42">
            <v>11021</v>
          </cell>
          <cell r="V42">
            <v>3636</v>
          </cell>
          <cell r="W42">
            <v>3762</v>
          </cell>
          <cell r="X42">
            <v>3604</v>
          </cell>
          <cell r="Y42">
            <v>11002</v>
          </cell>
          <cell r="Z42">
            <v>3807</v>
          </cell>
          <cell r="AA42">
            <v>4129</v>
          </cell>
          <cell r="AB42">
            <v>3858</v>
          </cell>
          <cell r="AC42">
            <v>11794</v>
          </cell>
          <cell r="AD42">
            <v>3728</v>
          </cell>
          <cell r="AE42">
            <v>3249</v>
          </cell>
          <cell r="AF42">
            <v>3259</v>
          </cell>
          <cell r="AG42">
            <v>10236</v>
          </cell>
          <cell r="AH42">
            <v>3354</v>
          </cell>
          <cell r="AI42">
            <v>3892</v>
          </cell>
          <cell r="AJ42">
            <v>5692</v>
          </cell>
          <cell r="AK42">
            <v>12938</v>
          </cell>
          <cell r="AL42">
            <v>5041</v>
          </cell>
          <cell r="AM42">
            <v>5354</v>
          </cell>
          <cell r="AN42">
            <v>5638</v>
          </cell>
          <cell r="AO42">
            <v>16033</v>
          </cell>
          <cell r="AP42">
            <v>5430</v>
          </cell>
          <cell r="AQ42">
            <v>6061</v>
          </cell>
          <cell r="AR42">
            <v>5270</v>
          </cell>
          <cell r="AS42">
            <v>16761</v>
          </cell>
          <cell r="AT42">
            <v>5236</v>
          </cell>
          <cell r="AU42">
            <v>4757</v>
          </cell>
          <cell r="AV42">
            <v>4575</v>
          </cell>
          <cell r="AW42">
            <v>14568</v>
          </cell>
          <cell r="AX42">
            <v>4416</v>
          </cell>
          <cell r="AY42">
            <v>3515</v>
          </cell>
          <cell r="AZ42">
            <v>4355</v>
          </cell>
          <cell r="BA42">
            <v>12286</v>
          </cell>
          <cell r="BB42">
            <v>3547</v>
          </cell>
          <cell r="BC42">
            <v>3599</v>
          </cell>
          <cell r="BD42">
            <v>3715</v>
          </cell>
          <cell r="BE42">
            <v>10861</v>
          </cell>
        </row>
        <row r="43">
          <cell r="A43" t="str">
            <v xml:space="preserve">  % Change</v>
          </cell>
          <cell r="V43">
            <v>8.395348837209303</v>
          </cell>
          <cell r="W43">
            <v>0.8</v>
          </cell>
          <cell r="X43">
            <v>0.16861219195849553</v>
          </cell>
          <cell r="Y43">
            <v>0.97842114727566987</v>
          </cell>
          <cell r="Z43">
            <v>1.7914438502673713E-2</v>
          </cell>
          <cell r="AA43">
            <v>-9.1529152915291512E-2</v>
          </cell>
          <cell r="AB43">
            <v>-1.9817073170731669E-2</v>
          </cell>
          <cell r="AC43">
            <v>-3.4939857622125814E-2</v>
          </cell>
          <cell r="AD43">
            <v>-0.17885462555066078</v>
          </cell>
          <cell r="AE43">
            <v>-0.15456674473067911</v>
          </cell>
          <cell r="AF43">
            <v>-0.13508492569002128</v>
          </cell>
          <cell r="AG43">
            <v>-0.15760019751460785</v>
          </cell>
          <cell r="AH43">
            <v>-0.1157395201687319</v>
          </cell>
          <cell r="AI43">
            <v>0.12975326560232214</v>
          </cell>
          <cell r="AJ43">
            <v>0.50462595823420564</v>
          </cell>
          <cell r="AK43">
            <v>0.17394065874240083</v>
          </cell>
          <cell r="AL43">
            <v>0.38641364136413636</v>
          </cell>
          <cell r="AM43">
            <v>0.42317916002126532</v>
          </cell>
          <cell r="AN43">
            <v>0.5643729189789124</v>
          </cell>
          <cell r="AO43">
            <v>0.45728049445555352</v>
          </cell>
          <cell r="AP43">
            <v>0.42631993695823489</v>
          </cell>
          <cell r="AQ43">
            <v>0.46790990554613709</v>
          </cell>
          <cell r="AR43">
            <v>0.36599274235355117</v>
          </cell>
          <cell r="AS43">
            <v>0.42114634559945729</v>
          </cell>
          <cell r="AT43">
            <v>0.40450643776824036</v>
          </cell>
          <cell r="AU43">
            <v>0.4641428131732841</v>
          </cell>
          <cell r="AV43">
            <v>0.40380484811291817</v>
          </cell>
          <cell r="AW43">
            <v>0.42321219226260265</v>
          </cell>
          <cell r="AX43">
            <v>0.31663685152057242</v>
          </cell>
          <cell r="AY43">
            <v>-9.686536485097641E-2</v>
          </cell>
          <cell r="AZ43">
            <v>-0.2348910751932537</v>
          </cell>
          <cell r="BA43">
            <v>-5.0394187664244861E-2</v>
          </cell>
          <cell r="BB43">
            <v>-0.2963697679031938</v>
          </cell>
          <cell r="BC43">
            <v>-0.32779230481882704</v>
          </cell>
          <cell r="BD43">
            <v>-0.34107839659453709</v>
          </cell>
          <cell r="BE43">
            <v>-0.3225846691199401</v>
          </cell>
        </row>
        <row r="44">
          <cell r="A44" t="str">
            <v>Sales (IMS)</v>
          </cell>
          <cell r="F44">
            <v>0.114658</v>
          </cell>
          <cell r="G44">
            <v>0.10762099999999999</v>
          </cell>
          <cell r="H44">
            <v>0.195518</v>
          </cell>
          <cell r="I44">
            <v>0.41779699999999997</v>
          </cell>
          <cell r="J44">
            <v>0.175571</v>
          </cell>
          <cell r="K44">
            <v>0.20883099999999999</v>
          </cell>
          <cell r="L44">
            <v>0.25692100000000001</v>
          </cell>
          <cell r="M44">
            <v>0.64132300000000009</v>
          </cell>
          <cell r="N44">
            <v>0.25252200000000002</v>
          </cell>
          <cell r="O44">
            <v>0.22958600000000001</v>
          </cell>
          <cell r="P44">
            <v>0.26300400000000002</v>
          </cell>
          <cell r="Q44">
            <v>0.745112</v>
          </cell>
          <cell r="R44">
            <v>0.21778400000000001</v>
          </cell>
          <cell r="S44">
            <v>0.21801300000000001</v>
          </cell>
          <cell r="T44">
            <v>0.27946199999999999</v>
          </cell>
          <cell r="U44">
            <v>0.71525899999999998</v>
          </cell>
          <cell r="V44">
            <v>0.210761</v>
          </cell>
          <cell r="W44">
            <v>0.21861700000000001</v>
          </cell>
          <cell r="X44">
            <v>0.29598600000000003</v>
          </cell>
          <cell r="Y44">
            <v>0.72536400000000012</v>
          </cell>
          <cell r="Z44">
            <v>0.23597599999999999</v>
          </cell>
          <cell r="AA44">
            <v>0.264984</v>
          </cell>
          <cell r="AB44">
            <v>0.314637</v>
          </cell>
          <cell r="AC44">
            <v>0.81559699999999991</v>
          </cell>
          <cell r="AD44">
            <v>0.23748900000000001</v>
          </cell>
          <cell r="AE44">
            <v>0.231013</v>
          </cell>
          <cell r="AF44">
            <v>0.27216000000000001</v>
          </cell>
          <cell r="AG44">
            <v>0.74066199999999993</v>
          </cell>
          <cell r="AH44">
            <v>0.23704700000000001</v>
          </cell>
          <cell r="AI44">
            <v>0.26610299999999998</v>
          </cell>
          <cell r="AJ44">
            <v>0.43587100000000001</v>
          </cell>
          <cell r="AK44">
            <v>0.93902099999999999</v>
          </cell>
          <cell r="AL44">
            <v>0.35023100000000001</v>
          </cell>
          <cell r="AM44">
            <v>0.39741900000000002</v>
          </cell>
          <cell r="AN44">
            <v>0.50469299999999995</v>
          </cell>
          <cell r="AO44">
            <v>1.252343</v>
          </cell>
          <cell r="AP44">
            <v>0.40579300000000001</v>
          </cell>
          <cell r="AQ44">
            <v>0.45752399999999999</v>
          </cell>
          <cell r="AR44">
            <v>0.53378199999999998</v>
          </cell>
          <cell r="AS44">
            <v>1.3970989999999999</v>
          </cell>
          <cell r="AT44">
            <v>0.40771299999999999</v>
          </cell>
          <cell r="AU44">
            <v>0.38225100000000001</v>
          </cell>
          <cell r="AV44">
            <v>0.45727200000000001</v>
          </cell>
          <cell r="AW44">
            <v>1.247236</v>
          </cell>
          <cell r="AX44">
            <v>0.36676599999999998</v>
          </cell>
          <cell r="AY44">
            <v>0.34482099999999999</v>
          </cell>
          <cell r="AZ44">
            <v>0.43952200000000002</v>
          </cell>
          <cell r="BA44">
            <v>1.1511089999999999</v>
          </cell>
          <cell r="BB44">
            <v>0.32338600000000001</v>
          </cell>
          <cell r="BC44">
            <v>0.33866200000000002</v>
          </cell>
          <cell r="BD44">
            <v>0.42022100000000001</v>
          </cell>
          <cell r="BE44">
            <v>1.0822689999999999</v>
          </cell>
        </row>
        <row r="45">
          <cell r="A45" t="str">
            <v xml:space="preserve">  % Change</v>
          </cell>
          <cell r="V45">
            <v>0.83817090826632246</v>
          </cell>
          <cell r="W45">
            <v>1.0313600505477556</v>
          </cell>
          <cell r="X45">
            <v>0.51385550179523132</v>
          </cell>
          <cell r="Y45">
            <v>0.73616373501963905</v>
          </cell>
          <cell r="Z45">
            <v>0.34404884633567034</v>
          </cell>
          <cell r="AA45">
            <v>0.26889207062169884</v>
          </cell>
          <cell r="AB45">
            <v>0.2246449297644022</v>
          </cell>
          <cell r="AC45">
            <v>0.27174138460650843</v>
          </cell>
          <cell r="AD45">
            <v>-5.9531446765034413E-2</v>
          </cell>
          <cell r="AE45">
            <v>6.2155357905098185E-3</v>
          </cell>
          <cell r="AF45">
            <v>3.4813158735228278E-2</v>
          </cell>
          <cell r="AG45">
            <v>-5.9722565198252475E-3</v>
          </cell>
          <cell r="AH45">
            <v>8.8450023876868844E-2</v>
          </cell>
          <cell r="AI45">
            <v>0.22058317623260981</v>
          </cell>
          <cell r="AJ45">
            <v>0.55967895456269545</v>
          </cell>
          <cell r="AK45">
            <v>0.31284052350267522</v>
          </cell>
          <cell r="AL45">
            <v>0.66174481996194756</v>
          </cell>
          <cell r="AM45">
            <v>0.81787784115599438</v>
          </cell>
          <cell r="AN45">
            <v>0.70512456670247881</v>
          </cell>
          <cell r="AO45">
            <v>0.72650283168174834</v>
          </cell>
          <cell r="AP45">
            <v>0.71963674271959865</v>
          </cell>
          <cell r="AQ45">
            <v>0.72660990852277862</v>
          </cell>
          <cell r="AR45">
            <v>0.69650104723856376</v>
          </cell>
          <cell r="AS45">
            <v>0.71297711982756184</v>
          </cell>
          <cell r="AT45">
            <v>0.71676582915419229</v>
          </cell>
          <cell r="AU45">
            <v>0.65467311363429759</v>
          </cell>
          <cell r="AV45">
            <v>0.68015873015873018</v>
          </cell>
          <cell r="AW45">
            <v>0.68394760363026608</v>
          </cell>
          <cell r="AX45">
            <v>0.54722903052981042</v>
          </cell>
          <cell r="AY45">
            <v>0.29581778484271126</v>
          </cell>
          <cell r="AZ45">
            <v>8.3763315292828544E-3</v>
          </cell>
          <cell r="BA45">
            <v>0.225860763497302</v>
          </cell>
          <cell r="BB45">
            <v>-7.6649411388483579E-2</v>
          </cell>
          <cell r="BC45">
            <v>-0.14784647940838258</v>
          </cell>
          <cell r="BD45">
            <v>-0.16737303667774261</v>
          </cell>
          <cell r="BE45">
            <v>-0.13580464776822332</v>
          </cell>
        </row>
        <row r="46">
          <cell r="A46" t="str">
            <v>Price Change</v>
          </cell>
          <cell r="Y46">
            <v>0</v>
          </cell>
          <cell r="AC46">
            <v>0</v>
          </cell>
          <cell r="AG46">
            <v>0</v>
          </cell>
          <cell r="AH46">
            <v>0.06</v>
          </cell>
          <cell r="AK46">
            <v>0.06</v>
          </cell>
          <cell r="AL46">
            <v>1.7999999999999999E-2</v>
          </cell>
          <cell r="AO46">
            <v>7.8E-2</v>
          </cell>
          <cell r="AP46">
            <v>4.9920620920797409E-2</v>
          </cell>
          <cell r="AS46">
            <v>0.12792062092079742</v>
          </cell>
          <cell r="AW46">
            <v>0.12792062092079742</v>
          </cell>
          <cell r="AX46">
            <v>0.12365591397849451</v>
          </cell>
          <cell r="BA46">
            <v>0.19157653489929191</v>
          </cell>
          <cell r="BE46">
            <v>0.17357653489929192</v>
          </cell>
        </row>
        <row r="48">
          <cell r="A48" t="str">
            <v>Plexion TS</v>
          </cell>
        </row>
        <row r="49">
          <cell r="A49" t="str">
            <v>TRx</v>
          </cell>
          <cell r="B49">
            <v>16026</v>
          </cell>
          <cell r="C49">
            <v>13938</v>
          </cell>
          <cell r="D49">
            <v>15357</v>
          </cell>
          <cell r="E49">
            <v>45321</v>
          </cell>
          <cell r="F49">
            <v>15439</v>
          </cell>
          <cell r="G49">
            <v>15454</v>
          </cell>
          <cell r="H49">
            <v>14860</v>
          </cell>
          <cell r="I49">
            <v>45753</v>
          </cell>
          <cell r="J49">
            <v>14714</v>
          </cell>
          <cell r="K49">
            <v>15821</v>
          </cell>
          <cell r="L49">
            <v>14072</v>
          </cell>
          <cell r="M49">
            <v>44607</v>
          </cell>
          <cell r="N49">
            <v>14255</v>
          </cell>
          <cell r="O49">
            <v>12745</v>
          </cell>
          <cell r="P49">
            <v>13215</v>
          </cell>
          <cell r="Q49">
            <v>40215</v>
          </cell>
          <cell r="R49">
            <v>13812</v>
          </cell>
          <cell r="S49">
            <v>11216</v>
          </cell>
          <cell r="T49">
            <v>12337</v>
          </cell>
          <cell r="U49">
            <v>37365</v>
          </cell>
          <cell r="V49">
            <v>11281</v>
          </cell>
          <cell r="W49">
            <v>11381</v>
          </cell>
          <cell r="X49">
            <v>10795</v>
          </cell>
          <cell r="Y49">
            <v>33457</v>
          </cell>
          <cell r="Z49">
            <v>10483</v>
          </cell>
          <cell r="AA49">
            <v>10746</v>
          </cell>
          <cell r="AB49">
            <v>9251</v>
          </cell>
          <cell r="AC49">
            <v>30480</v>
          </cell>
          <cell r="AD49">
            <v>9022</v>
          </cell>
          <cell r="AE49">
            <v>7727</v>
          </cell>
          <cell r="AF49">
            <v>8263</v>
          </cell>
          <cell r="AG49">
            <v>25012</v>
          </cell>
          <cell r="AH49">
            <v>7511</v>
          </cell>
          <cell r="AI49">
            <v>6552</v>
          </cell>
          <cell r="AJ49">
            <v>6938</v>
          </cell>
          <cell r="AK49">
            <v>21001</v>
          </cell>
          <cell r="AL49">
            <v>5990</v>
          </cell>
          <cell r="AM49">
            <v>5896</v>
          </cell>
          <cell r="AN49">
            <v>5639</v>
          </cell>
          <cell r="AO49">
            <v>17525</v>
          </cell>
          <cell r="AP49">
            <v>5306</v>
          </cell>
          <cell r="AQ49">
            <v>5359</v>
          </cell>
          <cell r="AR49">
            <v>4780</v>
          </cell>
          <cell r="AS49">
            <v>15445</v>
          </cell>
          <cell r="AT49">
            <v>4694</v>
          </cell>
          <cell r="AU49">
            <v>4372</v>
          </cell>
          <cell r="AV49">
            <v>4394</v>
          </cell>
          <cell r="AW49">
            <v>13460</v>
          </cell>
          <cell r="AX49">
            <v>4137</v>
          </cell>
          <cell r="AY49">
            <v>3311</v>
          </cell>
          <cell r="AZ49">
            <v>3714</v>
          </cell>
          <cell r="BA49">
            <v>11162</v>
          </cell>
          <cell r="BB49">
            <v>3295</v>
          </cell>
          <cell r="BC49">
            <v>3115</v>
          </cell>
          <cell r="BD49">
            <v>3279</v>
          </cell>
          <cell r="BE49">
            <v>9689</v>
          </cell>
        </row>
        <row r="50">
          <cell r="A50" t="str">
            <v xml:space="preserve">  % Change</v>
          </cell>
          <cell r="R50">
            <v>-0.13815050542867835</v>
          </cell>
          <cell r="S50">
            <v>-0.19529344238771706</v>
          </cell>
          <cell r="T50">
            <v>-0.19665299212085696</v>
          </cell>
          <cell r="U50">
            <v>-0.17554775931687294</v>
          </cell>
          <cell r="V50">
            <v>-0.26931796100783734</v>
          </cell>
          <cell r="W50">
            <v>-0.26355636081273459</v>
          </cell>
          <cell r="X50">
            <v>-0.27355316285329745</v>
          </cell>
          <cell r="Y50">
            <v>-0.2687474045417787</v>
          </cell>
          <cell r="Z50">
            <v>-0.28754927280141362</v>
          </cell>
          <cell r="AA50">
            <v>-0.32077618355350479</v>
          </cell>
          <cell r="AB50">
            <v>-0.34259522455940872</v>
          </cell>
          <cell r="AC50">
            <v>-0.31669917277557336</v>
          </cell>
          <cell r="AD50">
            <v>-0.36709926341634513</v>
          </cell>
          <cell r="AE50">
            <v>-0.3937230286386818</v>
          </cell>
          <cell r="AF50">
            <v>-0.37472569050321602</v>
          </cell>
          <cell r="AG50">
            <v>-0.3780430187740893</v>
          </cell>
          <cell r="AH50">
            <v>-0.45619750941210546</v>
          </cell>
          <cell r="AI50">
            <v>-0.41583452211126959</v>
          </cell>
          <cell r="AJ50">
            <v>-0.43762665153602986</v>
          </cell>
          <cell r="AK50">
            <v>-0.4379499531647264</v>
          </cell>
          <cell r="AL50">
            <v>-0.46901870401560142</v>
          </cell>
          <cell r="AM50">
            <v>-0.48194359019418331</v>
          </cell>
          <cell r="AN50">
            <v>-0.47762853172765174</v>
          </cell>
          <cell r="AO50">
            <v>-0.47619332277251403</v>
          </cell>
          <cell r="AP50">
            <v>-0.49384718115043402</v>
          </cell>
          <cell r="AQ50">
            <v>-0.50130281034803648</v>
          </cell>
          <cell r="AR50">
            <v>-0.48329910279969734</v>
          </cell>
          <cell r="AS50">
            <v>-0.49327427821522307</v>
          </cell>
          <cell r="AT50">
            <v>-0.47971624916869871</v>
          </cell>
          <cell r="AU50">
            <v>-0.43419179500452953</v>
          </cell>
          <cell r="AV50">
            <v>-0.46823187704223646</v>
          </cell>
          <cell r="AW50">
            <v>-0.46185830801215422</v>
          </cell>
          <cell r="AX50">
            <v>-0.44920782851817331</v>
          </cell>
          <cell r="AY50">
            <v>-0.49465811965811968</v>
          </cell>
          <cell r="AZ50">
            <v>-0.46468722974920729</v>
          </cell>
          <cell r="BA50">
            <v>-0.46850149992857482</v>
          </cell>
          <cell r="BB50">
            <v>-0.44991652754590983</v>
          </cell>
          <cell r="BC50">
            <v>-0.47167571234735417</v>
          </cell>
          <cell r="BD50">
            <v>-0.41851392090796236</v>
          </cell>
          <cell r="BE50">
            <v>-0.44713266761768899</v>
          </cell>
        </row>
        <row r="51">
          <cell r="A51" t="str">
            <v>NRx</v>
          </cell>
          <cell r="B51">
            <v>11948</v>
          </cell>
          <cell r="C51">
            <v>10056</v>
          </cell>
          <cell r="D51">
            <v>11130</v>
          </cell>
          <cell r="E51">
            <v>33134</v>
          </cell>
          <cell r="F51">
            <v>10766</v>
          </cell>
          <cell r="G51">
            <v>10414</v>
          </cell>
          <cell r="H51">
            <v>9864</v>
          </cell>
          <cell r="I51">
            <v>31044</v>
          </cell>
          <cell r="J51">
            <v>9520</v>
          </cell>
          <cell r="K51">
            <v>10554</v>
          </cell>
          <cell r="L51">
            <v>9271</v>
          </cell>
          <cell r="M51">
            <v>29345</v>
          </cell>
          <cell r="N51">
            <v>9873</v>
          </cell>
          <cell r="O51">
            <v>8600</v>
          </cell>
          <cell r="P51">
            <v>8454</v>
          </cell>
          <cell r="Q51">
            <v>26927</v>
          </cell>
          <cell r="R51">
            <v>9336</v>
          </cell>
          <cell r="S51">
            <v>7492</v>
          </cell>
          <cell r="T51">
            <v>7967</v>
          </cell>
          <cell r="U51">
            <v>24795</v>
          </cell>
          <cell r="V51">
            <v>7319</v>
          </cell>
          <cell r="W51">
            <v>7254</v>
          </cell>
          <cell r="X51">
            <v>6717</v>
          </cell>
          <cell r="Y51">
            <v>21290</v>
          </cell>
          <cell r="Z51">
            <v>6538</v>
          </cell>
          <cell r="AA51">
            <v>6758</v>
          </cell>
          <cell r="AB51">
            <v>5421</v>
          </cell>
          <cell r="AC51">
            <v>18717</v>
          </cell>
          <cell r="AD51">
            <v>5390</v>
          </cell>
          <cell r="AE51">
            <v>4538</v>
          </cell>
          <cell r="AF51">
            <v>4781</v>
          </cell>
          <cell r="AG51">
            <v>14709</v>
          </cell>
          <cell r="AH51">
            <v>4443</v>
          </cell>
          <cell r="AI51">
            <v>3828</v>
          </cell>
          <cell r="AJ51">
            <v>4101</v>
          </cell>
          <cell r="AK51">
            <v>12372</v>
          </cell>
          <cell r="AL51">
            <v>3480</v>
          </cell>
          <cell r="AM51">
            <v>3372</v>
          </cell>
          <cell r="AN51">
            <v>3359</v>
          </cell>
          <cell r="AO51">
            <v>10211</v>
          </cell>
          <cell r="AP51">
            <v>3115</v>
          </cell>
          <cell r="AQ51">
            <v>3167</v>
          </cell>
          <cell r="AR51">
            <v>2860</v>
          </cell>
          <cell r="AS51">
            <v>9142</v>
          </cell>
          <cell r="AT51">
            <v>2755</v>
          </cell>
          <cell r="AU51">
            <v>2513</v>
          </cell>
          <cell r="AV51">
            <v>2509</v>
          </cell>
          <cell r="AW51">
            <v>7777</v>
          </cell>
          <cell r="AX51">
            <v>2461</v>
          </cell>
          <cell r="AY51">
            <v>1918</v>
          </cell>
          <cell r="AZ51">
            <v>2270</v>
          </cell>
          <cell r="BA51">
            <v>6649</v>
          </cell>
          <cell r="BB51">
            <v>1974</v>
          </cell>
          <cell r="BC51">
            <v>1709</v>
          </cell>
          <cell r="BD51">
            <v>1842</v>
          </cell>
          <cell r="BE51">
            <v>5525</v>
          </cell>
        </row>
        <row r="52">
          <cell r="A52" t="str">
            <v xml:space="preserve">  % Change</v>
          </cell>
          <cell r="R52">
            <v>-0.21861399397388681</v>
          </cell>
          <cell r="S52">
            <v>-0.25497215592680988</v>
          </cell>
          <cell r="T52">
            <v>-0.28418688230008982</v>
          </cell>
          <cell r="U52">
            <v>-0.25167501659926361</v>
          </cell>
          <cell r="V52">
            <v>-0.32017462381571615</v>
          </cell>
          <cell r="W52">
            <v>-0.30343768004609184</v>
          </cell>
          <cell r="X52">
            <v>-0.31903892944038925</v>
          </cell>
          <cell r="Y52">
            <v>-0.31419920113387445</v>
          </cell>
          <cell r="Z52">
            <v>-0.31323529411764706</v>
          </cell>
          <cell r="AA52">
            <v>-0.35967405722948642</v>
          </cell>
          <cell r="AB52">
            <v>-0.41527343328659261</v>
          </cell>
          <cell r="AC52">
            <v>-0.36217413528710174</v>
          </cell>
          <cell r="AD52">
            <v>-0.45406664640939942</v>
          </cell>
          <cell r="AE52">
            <v>-0.47232558139534886</v>
          </cell>
          <cell r="AF52">
            <v>-0.43446889046605153</v>
          </cell>
          <cell r="AG52">
            <v>-0.45374531139748209</v>
          </cell>
          <cell r="AH52">
            <v>-0.52410025706940866</v>
          </cell>
          <cell r="AI52">
            <v>-0.48905499199145752</v>
          </cell>
          <cell r="AJ52">
            <v>-0.48525166311033008</v>
          </cell>
          <cell r="AK52">
            <v>-0.50102843315184509</v>
          </cell>
          <cell r="AL52">
            <v>-0.52452520836179806</v>
          </cell>
          <cell r="AM52">
            <v>-0.53515301902398682</v>
          </cell>
          <cell r="AN52">
            <v>-0.49992556200684835</v>
          </cell>
          <cell r="AO52">
            <v>-0.52038515735086888</v>
          </cell>
          <cell r="AP52">
            <v>-0.52355460385438968</v>
          </cell>
          <cell r="AQ52">
            <v>-0.53137022787807042</v>
          </cell>
          <cell r="AR52">
            <v>-0.47242206235011985</v>
          </cell>
          <cell r="AS52">
            <v>-0.51156702463001547</v>
          </cell>
          <cell r="AT52">
            <v>-0.48886827458256032</v>
          </cell>
          <cell r="AU52">
            <v>-0.44623182018510354</v>
          </cell>
          <cell r="AV52">
            <v>-0.47521439029491741</v>
          </cell>
          <cell r="AW52">
            <v>-0.47127608946903254</v>
          </cell>
          <cell r="AX52">
            <v>-0.44609498086878241</v>
          </cell>
          <cell r="AY52">
            <v>-0.49895506792058519</v>
          </cell>
          <cell r="AZ52">
            <v>-0.44647646915386496</v>
          </cell>
          <cell r="BA52">
            <v>-0.46257678629162624</v>
          </cell>
          <cell r="BB52">
            <v>-0.4327586206896552</v>
          </cell>
          <cell r="BC52">
            <v>-0.4931791221826809</v>
          </cell>
          <cell r="BD52">
            <v>-0.45162250669842219</v>
          </cell>
          <cell r="BE52">
            <v>-0.45891685437273533</v>
          </cell>
        </row>
        <row r="53">
          <cell r="A53" t="str">
            <v>Sales (IMS)</v>
          </cell>
          <cell r="B53">
            <v>0.62000200000000005</v>
          </cell>
          <cell r="C53">
            <v>0.60911899999999997</v>
          </cell>
          <cell r="D53">
            <v>0.75736400000000004</v>
          </cell>
          <cell r="E53">
            <v>1.9864850000000001</v>
          </cell>
          <cell r="F53">
            <v>0.55792600000000003</v>
          </cell>
          <cell r="G53">
            <v>0.60509000000000002</v>
          </cell>
          <cell r="H53">
            <v>0.76702899999999996</v>
          </cell>
          <cell r="I53">
            <v>1.930045</v>
          </cell>
          <cell r="J53">
            <v>0.61140700000000003</v>
          </cell>
          <cell r="K53">
            <v>0.63905100000000004</v>
          </cell>
          <cell r="L53">
            <v>0.72059700000000004</v>
          </cell>
          <cell r="M53">
            <v>1.9710550000000002</v>
          </cell>
          <cell r="N53">
            <v>0.57796999999999998</v>
          </cell>
          <cell r="O53">
            <v>0.55798099999999995</v>
          </cell>
          <cell r="P53">
            <v>0.71627200000000002</v>
          </cell>
          <cell r="Q53">
            <v>1.852223</v>
          </cell>
          <cell r="R53">
            <v>0.606016</v>
          </cell>
          <cell r="S53">
            <v>0.54237000000000002</v>
          </cell>
          <cell r="T53">
            <v>0.68986499999999995</v>
          </cell>
          <cell r="U53">
            <v>1.8382509999999999</v>
          </cell>
          <cell r="V53">
            <v>0.52790099999999995</v>
          </cell>
          <cell r="W53">
            <v>0.51639599999999997</v>
          </cell>
          <cell r="X53">
            <v>0.64760499999999999</v>
          </cell>
          <cell r="Y53">
            <v>1.6919019999999998</v>
          </cell>
          <cell r="Z53">
            <v>0.49166500000000002</v>
          </cell>
          <cell r="AA53">
            <v>0.53645699999999996</v>
          </cell>
          <cell r="AB53">
            <v>0.56157299999999999</v>
          </cell>
          <cell r="AC53">
            <v>1.5896949999999999</v>
          </cell>
          <cell r="AD53">
            <v>0.427458</v>
          </cell>
          <cell r="AE53">
            <v>0.42771900000000002</v>
          </cell>
          <cell r="AF53">
            <v>0.50026800000000005</v>
          </cell>
          <cell r="AG53">
            <v>1.355445</v>
          </cell>
          <cell r="AH53">
            <v>0.40609000000000001</v>
          </cell>
          <cell r="AI53">
            <v>0.36235400000000001</v>
          </cell>
          <cell r="AJ53">
            <v>0.45568799999999998</v>
          </cell>
          <cell r="AK53">
            <v>1.224132</v>
          </cell>
          <cell r="AL53">
            <v>0.345277</v>
          </cell>
          <cell r="AM53">
            <v>0.36417899999999997</v>
          </cell>
          <cell r="AN53">
            <v>0.39694800000000002</v>
          </cell>
          <cell r="AO53">
            <v>1.1064039999999999</v>
          </cell>
          <cell r="AP53">
            <v>0.33254</v>
          </cell>
          <cell r="AQ53">
            <v>0.34293200000000001</v>
          </cell>
          <cell r="AR53">
            <v>0.38472499999999998</v>
          </cell>
          <cell r="AS53">
            <v>1.0601970000000001</v>
          </cell>
          <cell r="AT53">
            <v>0.30194100000000001</v>
          </cell>
          <cell r="AU53">
            <v>0.30414200000000002</v>
          </cell>
          <cell r="AV53">
            <v>0.36220200000000002</v>
          </cell>
          <cell r="AW53">
            <v>0.96828500000000006</v>
          </cell>
          <cell r="AX53">
            <v>0.26757900000000001</v>
          </cell>
          <cell r="AY53">
            <v>0.24867</v>
          </cell>
          <cell r="AZ53">
            <v>0.288275</v>
          </cell>
          <cell r="BA53">
            <v>0.80452400000000002</v>
          </cell>
          <cell r="BB53">
            <v>0.21249599999999999</v>
          </cell>
          <cell r="BC53">
            <v>0.21610799999999999</v>
          </cell>
          <cell r="BD53">
            <v>0.25151800000000002</v>
          </cell>
          <cell r="BE53">
            <v>0.680122</v>
          </cell>
        </row>
        <row r="54">
          <cell r="A54" t="str">
            <v xml:space="preserve">  % Change</v>
          </cell>
          <cell r="R54">
            <v>-2.2557991748413775E-2</v>
          </cell>
          <cell r="S54">
            <v>-0.10958285655183952</v>
          </cell>
          <cell r="T54">
            <v>-8.9123591826387405E-2</v>
          </cell>
          <cell r="U54">
            <v>-7.4621253117944653E-2</v>
          </cell>
          <cell r="V54">
            <v>-5.381538053433621E-2</v>
          </cell>
          <cell r="W54">
            <v>-0.14657984762597309</v>
          </cell>
          <cell r="X54">
            <v>-0.15569685109689457</v>
          </cell>
          <cell r="Y54">
            <v>-0.12338727853495657</v>
          </cell>
          <cell r="Z54">
            <v>-0.19584662916845896</v>
          </cell>
          <cell r="AA54">
            <v>-0.16054117746470953</v>
          </cell>
          <cell r="AB54">
            <v>-0.22068368311275244</v>
          </cell>
          <cell r="AC54">
            <v>-0.19348014134562475</v>
          </cell>
          <cell r="AD54">
            <v>-0.26041490042735782</v>
          </cell>
          <cell r="AE54">
            <v>-0.23345239354028169</v>
          </cell>
          <cell r="AF54">
            <v>-0.30156700247950496</v>
          </cell>
          <cell r="AG54">
            <v>-0.26820636608011017</v>
          </cell>
          <cell r="AH54">
            <v>-0.32990218080050693</v>
          </cell>
          <cell r="AI54">
            <v>-0.33190626325202355</v>
          </cell>
          <cell r="AJ54">
            <v>-0.33945337131177833</v>
          </cell>
          <cell r="AK54">
            <v>-0.33407788163857921</v>
          </cell>
          <cell r="AL54">
            <v>-0.34594365231359658</v>
          </cell>
          <cell r="AM54">
            <v>-0.2947679687681547</v>
          </cell>
          <cell r="AN54">
            <v>-0.38705229267840735</v>
          </cell>
          <cell r="AO54">
            <v>-0.3460590507015181</v>
          </cell>
          <cell r="AP54">
            <v>-0.32364516489886408</v>
          </cell>
          <cell r="AQ54">
            <v>-0.36074652768069004</v>
          </cell>
          <cell r="AR54">
            <v>-0.31491542506495152</v>
          </cell>
          <cell r="AS54">
            <v>-0.33308150305561746</v>
          </cell>
          <cell r="AT54">
            <v>-0.2936358659798155</v>
          </cell>
          <cell r="AU54">
            <v>-0.28892099719675768</v>
          </cell>
          <cell r="AV54">
            <v>-0.2759840725371201</v>
          </cell>
          <cell r="AW54">
            <v>-0.2856331315545817</v>
          </cell>
          <cell r="AX54">
            <v>-0.34108448866014918</v>
          </cell>
          <cell r="AY54">
            <v>-0.31373739492319663</v>
          </cell>
          <cell r="AZ54">
            <v>-0.36738514071031048</v>
          </cell>
          <cell r="BA54">
            <v>-0.34278002699055332</v>
          </cell>
          <cell r="BB54">
            <v>-0.38456369813222435</v>
          </cell>
          <cell r="BC54">
            <v>-0.40658851828359133</v>
          </cell>
          <cell r="BD54">
            <v>-0.36637040619930061</v>
          </cell>
          <cell r="BE54">
            <v>-0.38528602571935744</v>
          </cell>
        </row>
        <row r="55">
          <cell r="A55" t="str">
            <v>Price Change</v>
          </cell>
          <cell r="U55">
            <v>0</v>
          </cell>
          <cell r="Y55">
            <v>0</v>
          </cell>
          <cell r="Z55">
            <v>0</v>
          </cell>
          <cell r="AC55">
            <v>0</v>
          </cell>
          <cell r="AD55">
            <v>6.0062674094707669E-2</v>
          </cell>
          <cell r="AG55">
            <v>6.0062674094707669E-2</v>
          </cell>
          <cell r="AK55">
            <v>6.0062674094707669E-2</v>
          </cell>
          <cell r="AL55">
            <v>1.7572672031532344E-2</v>
          </cell>
          <cell r="AO55">
            <v>7.7635346126240012E-2</v>
          </cell>
          <cell r="AP55">
            <v>4.987088444157517E-2</v>
          </cell>
          <cell r="AS55">
            <v>0.12750623056781518</v>
          </cell>
          <cell r="AW55">
            <v>6.7443556473107513E-2</v>
          </cell>
          <cell r="AX55">
            <v>0.11268255188316667</v>
          </cell>
          <cell r="BA55">
            <v>0.18012610835627418</v>
          </cell>
          <cell r="BE55">
            <v>0.16255343632474184</v>
          </cell>
        </row>
        <row r="57">
          <cell r="A57" t="str">
            <v>Triaz cleanser</v>
          </cell>
        </row>
        <row r="58">
          <cell r="A58" t="str">
            <v>TRx</v>
          </cell>
          <cell r="B58">
            <v>43118</v>
          </cell>
          <cell r="C58">
            <v>37121</v>
          </cell>
          <cell r="D58">
            <v>42339</v>
          </cell>
          <cell r="E58">
            <v>122578</v>
          </cell>
          <cell r="F58">
            <v>43103</v>
          </cell>
          <cell r="G58">
            <v>44130</v>
          </cell>
          <cell r="H58">
            <v>44845</v>
          </cell>
          <cell r="I58">
            <v>132078</v>
          </cell>
          <cell r="J58">
            <v>46369</v>
          </cell>
          <cell r="K58">
            <v>52424</v>
          </cell>
          <cell r="L58">
            <v>45149</v>
          </cell>
          <cell r="M58">
            <v>143942</v>
          </cell>
          <cell r="N58">
            <v>47661</v>
          </cell>
          <cell r="O58">
            <v>44202</v>
          </cell>
          <cell r="P58">
            <v>43953</v>
          </cell>
          <cell r="Q58">
            <v>135816</v>
          </cell>
          <cell r="R58">
            <v>45636</v>
          </cell>
          <cell r="S58">
            <v>38203</v>
          </cell>
          <cell r="T58">
            <v>43905</v>
          </cell>
          <cell r="U58">
            <v>127744</v>
          </cell>
          <cell r="V58">
            <v>43412</v>
          </cell>
          <cell r="W58">
            <v>44944</v>
          </cell>
          <cell r="X58">
            <v>44644</v>
          </cell>
          <cell r="Y58">
            <v>133000</v>
          </cell>
          <cell r="Z58">
            <v>45292</v>
          </cell>
          <cell r="AA58">
            <v>49095</v>
          </cell>
          <cell r="AB58">
            <v>42759</v>
          </cell>
          <cell r="AC58">
            <v>137146</v>
          </cell>
          <cell r="AD58">
            <v>41434</v>
          </cell>
          <cell r="AE58">
            <v>36577</v>
          </cell>
          <cell r="AF58">
            <v>37961</v>
          </cell>
          <cell r="AG58">
            <v>115972</v>
          </cell>
          <cell r="AH58">
            <v>36852</v>
          </cell>
          <cell r="AI58">
            <v>31966</v>
          </cell>
          <cell r="AJ58">
            <v>37341</v>
          </cell>
          <cell r="AK58">
            <v>106159</v>
          </cell>
          <cell r="AL58">
            <v>33206</v>
          </cell>
          <cell r="AM58">
            <v>33349</v>
          </cell>
          <cell r="AN58">
            <v>35152</v>
          </cell>
          <cell r="AO58">
            <v>101707</v>
          </cell>
          <cell r="AP58">
            <v>32553</v>
          </cell>
          <cell r="AQ58">
            <v>35734</v>
          </cell>
          <cell r="AR58">
            <v>29714</v>
          </cell>
          <cell r="AS58">
            <v>98001</v>
          </cell>
          <cell r="AT58">
            <v>29282</v>
          </cell>
          <cell r="AU58">
            <v>27945</v>
          </cell>
          <cell r="AV58">
            <v>27875</v>
          </cell>
          <cell r="AW58">
            <v>85102</v>
          </cell>
          <cell r="AX58">
            <v>27435</v>
          </cell>
          <cell r="AY58">
            <v>24208</v>
          </cell>
          <cell r="AZ58">
            <v>27447</v>
          </cell>
          <cell r="BA58">
            <v>79090</v>
          </cell>
          <cell r="BB58">
            <v>25536</v>
          </cell>
          <cell r="BC58">
            <v>26804</v>
          </cell>
          <cell r="BD58">
            <v>29186</v>
          </cell>
          <cell r="BE58">
            <v>81526</v>
          </cell>
        </row>
        <row r="59">
          <cell r="A59" t="str">
            <v xml:space="preserve">  % Change</v>
          </cell>
          <cell r="R59">
            <v>5.8397884874066497E-2</v>
          </cell>
          <cell r="S59">
            <v>2.9147921661593079E-2</v>
          </cell>
          <cell r="T59">
            <v>3.6987174945086077E-2</v>
          </cell>
          <cell r="U59">
            <v>4.2144593646494588E-2</v>
          </cell>
          <cell r="V59">
            <v>7.1688745562954459E-3</v>
          </cell>
          <cell r="W59">
            <v>1.8445501926127372E-2</v>
          </cell>
          <cell r="X59">
            <v>-4.4821050284312713E-3</v>
          </cell>
          <cell r="Y59">
            <v>6.9807235118641842E-3</v>
          </cell>
          <cell r="Z59">
            <v>-2.3226724751450267E-2</v>
          </cell>
          <cell r="AA59">
            <v>-6.3501449717686564E-2</v>
          </cell>
          <cell r="AB59">
            <v>-5.2935834680723826E-2</v>
          </cell>
          <cell r="AC59">
            <v>-4.721346097733814E-2</v>
          </cell>
          <cell r="AD59">
            <v>-0.13065189567990598</v>
          </cell>
          <cell r="AE59">
            <v>-0.17250350662865932</v>
          </cell>
          <cell r="AF59">
            <v>-0.13632744067526681</v>
          </cell>
          <cell r="AG59">
            <v>-0.14610944218648758</v>
          </cell>
          <cell r="AH59">
            <v>-0.1924796213515646</v>
          </cell>
          <cell r="AI59">
            <v>-0.16325942988770514</v>
          </cell>
          <cell r="AJ59">
            <v>-0.14950461223095324</v>
          </cell>
          <cell r="AK59">
            <v>-0.16897075400801598</v>
          </cell>
          <cell r="AL59">
            <v>-0.23509628674099325</v>
          </cell>
          <cell r="AM59">
            <v>-0.25798771804912779</v>
          </cell>
          <cell r="AN59">
            <v>-0.21261535704685963</v>
          </cell>
          <cell r="AO59">
            <v>-0.23528571428571432</v>
          </cell>
          <cell r="AP59">
            <v>-0.28126379934646295</v>
          </cell>
          <cell r="AQ59">
            <v>-0.27214583969854367</v>
          </cell>
          <cell r="AR59">
            <v>-0.30508197104703105</v>
          </cell>
          <cell r="AS59">
            <v>-0.28542575065988074</v>
          </cell>
          <cell r="AT59">
            <v>-0.2932857073900661</v>
          </cell>
          <cell r="AU59">
            <v>-0.2359952975913826</v>
          </cell>
          <cell r="AV59">
            <v>-0.26569373831037113</v>
          </cell>
          <cell r="AW59">
            <v>-0.26618494119270164</v>
          </cell>
          <cell r="AX59">
            <v>-0.25553565613806573</v>
          </cell>
          <cell r="AY59">
            <v>-0.24269536382406309</v>
          </cell>
          <cell r="AZ59">
            <v>-0.264963445006829</v>
          </cell>
          <cell r="BA59">
            <v>-0.25498544635876375</v>
          </cell>
          <cell r="BB59">
            <v>-0.23098235258688193</v>
          </cell>
          <cell r="BC59">
            <v>-0.19625775885333896</v>
          </cell>
          <cell r="BD59">
            <v>-0.16972007282658175</v>
          </cell>
          <cell r="BE59">
            <v>-0.19842292074291834</v>
          </cell>
        </row>
        <row r="60">
          <cell r="A60" t="str">
            <v>NRx</v>
          </cell>
          <cell r="B60">
            <v>26084</v>
          </cell>
          <cell r="C60">
            <v>22765</v>
          </cell>
          <cell r="D60">
            <v>25474</v>
          </cell>
          <cell r="E60">
            <v>74323</v>
          </cell>
          <cell r="F60">
            <v>25667</v>
          </cell>
          <cell r="G60">
            <v>25963</v>
          </cell>
          <cell r="H60">
            <v>26405</v>
          </cell>
          <cell r="I60">
            <v>78035</v>
          </cell>
          <cell r="J60">
            <v>27900</v>
          </cell>
          <cell r="K60">
            <v>32254</v>
          </cell>
          <cell r="L60">
            <v>26660</v>
          </cell>
          <cell r="M60">
            <v>86814</v>
          </cell>
          <cell r="N60">
            <v>28736</v>
          </cell>
          <cell r="O60">
            <v>26318</v>
          </cell>
          <cell r="P60">
            <v>25140</v>
          </cell>
          <cell r="Q60">
            <v>80194</v>
          </cell>
          <cell r="R60">
            <v>27234</v>
          </cell>
          <cell r="S60">
            <v>22290</v>
          </cell>
          <cell r="T60">
            <v>25767</v>
          </cell>
          <cell r="U60">
            <v>75291</v>
          </cell>
          <cell r="V60">
            <v>25978</v>
          </cell>
          <cell r="W60">
            <v>27091</v>
          </cell>
          <cell r="X60">
            <v>27071</v>
          </cell>
          <cell r="Y60">
            <v>80140</v>
          </cell>
          <cell r="Z60">
            <v>27768</v>
          </cell>
          <cell r="AA60">
            <v>30540</v>
          </cell>
          <cell r="AB60">
            <v>26037</v>
          </cell>
          <cell r="AC60">
            <v>84345</v>
          </cell>
          <cell r="AD60">
            <v>25479</v>
          </cell>
          <cell r="AE60">
            <v>21626</v>
          </cell>
          <cell r="AF60">
            <v>21701</v>
          </cell>
          <cell r="AG60">
            <v>68806</v>
          </cell>
          <cell r="AH60">
            <v>21392</v>
          </cell>
          <cell r="AI60">
            <v>18864</v>
          </cell>
          <cell r="AJ60">
            <v>22176</v>
          </cell>
          <cell r="AK60">
            <v>62432</v>
          </cell>
          <cell r="AL60">
            <v>19273</v>
          </cell>
          <cell r="AM60">
            <v>18999</v>
          </cell>
          <cell r="AN60">
            <v>20250</v>
          </cell>
          <cell r="AO60">
            <v>58522</v>
          </cell>
          <cell r="AP60">
            <v>18706</v>
          </cell>
          <cell r="AQ60">
            <v>21149</v>
          </cell>
          <cell r="AR60">
            <v>17173</v>
          </cell>
          <cell r="AS60">
            <v>57028</v>
          </cell>
          <cell r="AT60">
            <v>16803</v>
          </cell>
          <cell r="AU60">
            <v>16050</v>
          </cell>
          <cell r="AV60">
            <v>15789</v>
          </cell>
          <cell r="AW60">
            <v>48642</v>
          </cell>
          <cell r="AX60">
            <v>16116</v>
          </cell>
          <cell r="AY60">
            <v>14225</v>
          </cell>
          <cell r="AZ60">
            <v>16257</v>
          </cell>
          <cell r="BA60">
            <v>46598</v>
          </cell>
          <cell r="BB60">
            <v>15419</v>
          </cell>
          <cell r="BC60">
            <v>16066</v>
          </cell>
          <cell r="BD60">
            <v>17848</v>
          </cell>
          <cell r="BE60">
            <v>49333</v>
          </cell>
        </row>
        <row r="61">
          <cell r="A61" t="str">
            <v xml:space="preserve">  % Change</v>
          </cell>
          <cell r="R61">
            <v>4.4088330010734644E-2</v>
          </cell>
          <cell r="S61">
            <v>-2.0865363496595624E-2</v>
          </cell>
          <cell r="T61">
            <v>1.150192352987367E-2</v>
          </cell>
          <cell r="U61">
            <v>1.3024232068135078E-2</v>
          </cell>
          <cell r="V61">
            <v>1.2116725756808444E-2</v>
          </cell>
          <cell r="W61">
            <v>4.3446443015059844E-2</v>
          </cell>
          <cell r="X61">
            <v>2.5222495739443351E-2</v>
          </cell>
          <cell r="Y61">
            <v>2.6975075286730377E-2</v>
          </cell>
          <cell r="Z61">
            <v>-4.7311827956989516E-3</v>
          </cell>
          <cell r="AA61">
            <v>-5.3140695727661669E-2</v>
          </cell>
          <cell r="AB61">
            <v>-2.336834208552141E-2</v>
          </cell>
          <cell r="AC61">
            <v>-2.8440113345773677E-2</v>
          </cell>
          <cell r="AD61">
            <v>-0.11334214922049002</v>
          </cell>
          <cell r="AE61">
            <v>-0.17828102439395088</v>
          </cell>
          <cell r="AF61">
            <v>-0.13679395385839299</v>
          </cell>
          <cell r="AG61">
            <v>-0.14200563633189511</v>
          </cell>
          <cell r="AH61">
            <v>-0.21451127267386361</v>
          </cell>
          <cell r="AI61">
            <v>-0.15370121130551817</v>
          </cell>
          <cell r="AJ61">
            <v>-0.13936430317848414</v>
          </cell>
          <cell r="AK61">
            <v>-0.17079066555099542</v>
          </cell>
          <cell r="AL61">
            <v>-0.25810301023943338</v>
          </cell>
          <cell r="AM61">
            <v>-0.29869698423830793</v>
          </cell>
          <cell r="AN61">
            <v>-0.25196704961028404</v>
          </cell>
          <cell r="AO61">
            <v>-0.2697529323683554</v>
          </cell>
          <cell r="AP61">
            <v>-0.3263468740996831</v>
          </cell>
          <cell r="AQ61">
            <v>-0.30749836280288145</v>
          </cell>
          <cell r="AR61">
            <v>-0.34043860659830238</v>
          </cell>
          <cell r="AS61">
            <v>-0.32387219159404823</v>
          </cell>
          <cell r="AT61">
            <v>-0.3405157188272695</v>
          </cell>
          <cell r="AU61">
            <v>-0.25783778784796074</v>
          </cell>
          <cell r="AV61">
            <v>-0.27242984194276765</v>
          </cell>
          <cell r="AW61">
            <v>-0.29305583815364944</v>
          </cell>
          <cell r="AX61">
            <v>-0.24663425579655951</v>
          </cell>
          <cell r="AY61">
            <v>-0.24591815097540293</v>
          </cell>
          <cell r="AZ61">
            <v>-0.26691017316017318</v>
          </cell>
          <cell r="BA61">
            <v>-0.25361993849308051</v>
          </cell>
          <cell r="BB61">
            <v>-0.19996886836507033</v>
          </cell>
          <cell r="BC61">
            <v>-0.15437654613400709</v>
          </cell>
          <cell r="BD61">
            <v>-0.11861728395061732</v>
          </cell>
          <cell r="BE61">
            <v>-0.15701787362017705</v>
          </cell>
        </row>
        <row r="62">
          <cell r="A62" t="str">
            <v>Sales (IMS)</v>
          </cell>
          <cell r="B62">
            <v>0.97168500000000002</v>
          </cell>
          <cell r="C62">
            <v>0.92886299999999999</v>
          </cell>
          <cell r="D62">
            <v>1.203066</v>
          </cell>
          <cell r="E62">
            <v>3.1036140000000003</v>
          </cell>
          <cell r="F62">
            <v>0.95706999999999998</v>
          </cell>
          <cell r="G62">
            <v>1.009441</v>
          </cell>
          <cell r="H62">
            <v>1.388644</v>
          </cell>
          <cell r="I62">
            <v>3.3551549999999999</v>
          </cell>
          <cell r="J62">
            <v>1.264618</v>
          </cell>
          <cell r="K62">
            <v>1.330864</v>
          </cell>
          <cell r="L62">
            <v>1.547747</v>
          </cell>
          <cell r="M62">
            <v>4.1432289999999998</v>
          </cell>
          <cell r="N62">
            <v>1.187651</v>
          </cell>
          <cell r="O62">
            <v>1.1902980000000001</v>
          </cell>
          <cell r="P62">
            <v>1.4509240000000001</v>
          </cell>
          <cell r="Q62">
            <v>3.8288730000000002</v>
          </cell>
          <cell r="R62">
            <v>1.249754</v>
          </cell>
          <cell r="S62">
            <v>1.146347</v>
          </cell>
          <cell r="T62">
            <v>1.543391</v>
          </cell>
          <cell r="U62">
            <v>3.9394919999999995</v>
          </cell>
          <cell r="V62">
            <v>1.2059569999999999</v>
          </cell>
          <cell r="W62">
            <v>1.307544</v>
          </cell>
          <cell r="X62">
            <v>1.720137</v>
          </cell>
          <cell r="Y62">
            <v>4.233638</v>
          </cell>
          <cell r="Z62">
            <v>1.359953</v>
          </cell>
          <cell r="AA62">
            <v>1.5241610000000001</v>
          </cell>
          <cell r="AB62">
            <v>1.6300559999999999</v>
          </cell>
          <cell r="AC62">
            <v>4.51417</v>
          </cell>
          <cell r="AD62">
            <v>1.2105729999999999</v>
          </cell>
          <cell r="AE62">
            <v>1.1803980000000001</v>
          </cell>
          <cell r="AF62">
            <v>1.350919</v>
          </cell>
          <cell r="AG62">
            <v>3.7418899999999997</v>
          </cell>
          <cell r="AH62">
            <v>1.1735450000000001</v>
          </cell>
          <cell r="AI62">
            <v>1.095674</v>
          </cell>
          <cell r="AJ62">
            <v>1.4388240000000001</v>
          </cell>
          <cell r="AK62">
            <v>3.708043</v>
          </cell>
          <cell r="AL62">
            <v>1.124517</v>
          </cell>
          <cell r="AM62">
            <v>1.1902140000000001</v>
          </cell>
          <cell r="AN62">
            <v>1.4700279999999999</v>
          </cell>
          <cell r="AO62">
            <v>3.7847590000000002</v>
          </cell>
          <cell r="AP62">
            <v>1.1538919999999999</v>
          </cell>
          <cell r="AQ62">
            <v>1.3169550000000001</v>
          </cell>
          <cell r="AR62">
            <v>1.466248</v>
          </cell>
          <cell r="AS62">
            <v>3.9370950000000002</v>
          </cell>
          <cell r="AT62">
            <v>1.1561600000000001</v>
          </cell>
          <cell r="AU62">
            <v>1.0769359999999999</v>
          </cell>
          <cell r="AV62">
            <v>1.338614</v>
          </cell>
          <cell r="AW62">
            <v>3.5717099999999995</v>
          </cell>
          <cell r="AX62">
            <v>1.1283799999999999</v>
          </cell>
          <cell r="AY62">
            <v>1.080214</v>
          </cell>
          <cell r="AZ62">
            <v>1.3801289999999999</v>
          </cell>
          <cell r="BA62">
            <v>3.5887229999999999</v>
          </cell>
          <cell r="BB62">
            <v>1.064141</v>
          </cell>
          <cell r="BC62">
            <v>1.2052320000000001</v>
          </cell>
          <cell r="BD62">
            <v>1.5678840000000001</v>
          </cell>
          <cell r="BE62">
            <v>3.8372570000000001</v>
          </cell>
        </row>
        <row r="63">
          <cell r="A63" t="str">
            <v xml:space="preserve">  % Change</v>
          </cell>
          <cell r="R63">
            <v>0.28617195901964121</v>
          </cell>
          <cell r="S63">
            <v>0.23414001849573074</v>
          </cell>
          <cell r="T63">
            <v>0.28288140467771505</v>
          </cell>
          <cell r="U63">
            <v>0.26932408476054026</v>
          </cell>
          <cell r="V63">
            <v>0.26005098895587575</v>
          </cell>
          <cell r="W63">
            <v>0.29531493172954137</v>
          </cell>
          <cell r="X63">
            <v>0.23871705059036019</v>
          </cell>
          <cell r="Y63">
            <v>0.26183082450736261</v>
          </cell>
          <cell r="Z63">
            <v>7.5386401268999759E-2</v>
          </cell>
          <cell r="AA63">
            <v>0.14524173769821713</v>
          </cell>
          <cell r="AB63">
            <v>5.3179880174214489E-2</v>
          </cell>
          <cell r="AC63">
            <v>8.9529446718972228E-2</v>
          </cell>
          <cell r="AD63">
            <v>1.9300282658794465E-2</v>
          </cell>
          <cell r="AE63">
            <v>-8.3172449252204572E-3</v>
          </cell>
          <cell r="AF63">
            <v>-6.8925043627371285E-2</v>
          </cell>
          <cell r="AG63">
            <v>-2.2717650859665595E-2</v>
          </cell>
          <cell r="AH63">
            <v>-6.0979200706699044E-2</v>
          </cell>
          <cell r="AI63">
            <v>-4.4203892887581087E-2</v>
          </cell>
          <cell r="AJ63">
            <v>-6.775146414615596E-2</v>
          </cell>
          <cell r="AK63">
            <v>-5.8750976014166234E-2</v>
          </cell>
          <cell r="AL63">
            <v>-6.7531429395907172E-2</v>
          </cell>
          <cell r="AM63">
            <v>-8.9733117967731868E-2</v>
          </cell>
          <cell r="AN63">
            <v>-0.14540062797323705</v>
          </cell>
          <cell r="AO63">
            <v>-0.10602677886016698</v>
          </cell>
          <cell r="AP63">
            <v>-0.15152067755282728</v>
          </cell>
          <cell r="AQ63">
            <v>-0.13594758034092203</v>
          </cell>
          <cell r="AR63">
            <v>-0.1004922530268898</v>
          </cell>
          <cell r="AS63">
            <v>-0.12783634643799413</v>
          </cell>
          <cell r="AT63">
            <v>-4.4948136130576022E-2</v>
          </cell>
          <cell r="AU63">
            <v>-8.7650097678918626E-2</v>
          </cell>
          <cell r="AV63">
            <v>-9.1086142100303968E-3</v>
          </cell>
          <cell r="AW63">
            <v>-4.5479690744516854E-2</v>
          </cell>
          <cell r="AX63">
            <v>-3.8485954948468182E-2</v>
          </cell>
          <cell r="AY63">
            <v>-1.4110036379434088E-2</v>
          </cell>
          <cell r="AZ63">
            <v>-4.079373154743049E-2</v>
          </cell>
          <cell r="BA63">
            <v>-3.2178699114330689E-2</v>
          </cell>
          <cell r="BB63">
            <v>-5.3690606722708534E-2</v>
          </cell>
          <cell r="BC63">
            <v>1.2617898966068353E-2</v>
          </cell>
          <cell r="BD63">
            <v>6.6567439531764139E-2</v>
          </cell>
          <cell r="BE63">
            <v>1.3870896403179067E-2</v>
          </cell>
        </row>
        <row r="64">
          <cell r="A64" t="str">
            <v>Price Change</v>
          </cell>
          <cell r="U64">
            <v>0</v>
          </cell>
          <cell r="Y64">
            <v>0</v>
          </cell>
          <cell r="Z64">
            <v>8.1814801041279361E-2</v>
          </cell>
          <cell r="AC64">
            <v>8.1814801041279361E-2</v>
          </cell>
          <cell r="AG64">
            <v>8.1814801041279361E-2</v>
          </cell>
          <cell r="AH64">
            <v>6.0069645966337681E-2</v>
          </cell>
          <cell r="AK64">
            <v>0.14188444700761704</v>
          </cell>
          <cell r="AL64">
            <v>7.9386805365453395E-3</v>
          </cell>
          <cell r="AO64">
            <v>0.14982312754416238</v>
          </cell>
          <cell r="AP64">
            <v>4.9701249321021157E-2</v>
          </cell>
          <cell r="AS64">
            <v>0.11770957582390418</v>
          </cell>
          <cell r="AW64">
            <v>0.11770957582390418</v>
          </cell>
          <cell r="AX64">
            <v>0.11274509803921573</v>
          </cell>
          <cell r="BA64">
            <v>0.17038502789678223</v>
          </cell>
          <cell r="BE64">
            <v>0.16244634736023689</v>
          </cell>
        </row>
        <row r="66">
          <cell r="A66" t="str">
            <v>Triaz medicated pads</v>
          </cell>
        </row>
        <row r="67">
          <cell r="A67" t="str">
            <v>TRx</v>
          </cell>
          <cell r="Z67">
            <v>35</v>
          </cell>
          <cell r="AA67">
            <v>3117</v>
          </cell>
          <cell r="AB67">
            <v>8363</v>
          </cell>
          <cell r="AC67">
            <v>11515</v>
          </cell>
          <cell r="AD67">
            <v>15414</v>
          </cell>
          <cell r="AE67">
            <v>16410</v>
          </cell>
          <cell r="AF67">
            <v>17243</v>
          </cell>
          <cell r="AG67">
            <v>49067</v>
          </cell>
          <cell r="AH67">
            <v>17887</v>
          </cell>
          <cell r="AI67">
            <v>17996</v>
          </cell>
          <cell r="AJ67">
            <v>23468</v>
          </cell>
          <cell r="AK67">
            <v>59351</v>
          </cell>
          <cell r="AL67">
            <v>22243</v>
          </cell>
          <cell r="AM67">
            <v>24013</v>
          </cell>
          <cell r="AN67">
            <v>26115</v>
          </cell>
          <cell r="AO67">
            <v>72371</v>
          </cell>
          <cell r="AP67">
            <v>24969</v>
          </cell>
          <cell r="AQ67">
            <v>27852</v>
          </cell>
          <cell r="AR67">
            <v>23538</v>
          </cell>
          <cell r="AS67">
            <v>76359</v>
          </cell>
          <cell r="AT67">
            <v>24055</v>
          </cell>
          <cell r="AU67">
            <v>23299</v>
          </cell>
          <cell r="AV67">
            <v>22562</v>
          </cell>
          <cell r="AW67">
            <v>69916</v>
          </cell>
          <cell r="AX67">
            <v>22493</v>
          </cell>
          <cell r="AY67">
            <v>19472</v>
          </cell>
          <cell r="AZ67">
            <v>21516</v>
          </cell>
          <cell r="BA67">
            <v>63481</v>
          </cell>
          <cell r="BB67">
            <v>19647</v>
          </cell>
          <cell r="BC67">
            <v>19993</v>
          </cell>
          <cell r="BD67">
            <v>20525</v>
          </cell>
          <cell r="BE67">
            <v>60165</v>
          </cell>
        </row>
        <row r="68">
          <cell r="A68" t="str">
            <v xml:space="preserve">  % Change</v>
          </cell>
          <cell r="AQ68">
            <v>7.9355149181905684</v>
          </cell>
          <cell r="AR68">
            <v>1.8145402367571446</v>
          </cell>
          <cell r="AS68">
            <v>5.6312635692574906</v>
          </cell>
          <cell r="AT68">
            <v>0.56059426495393794</v>
          </cell>
          <cell r="AU68">
            <v>0.41980499695307749</v>
          </cell>
          <cell r="AV68">
            <v>0.30847300353766749</v>
          </cell>
          <cell r="AW68">
            <v>0.42490879817392546</v>
          </cell>
          <cell r="AX68">
            <v>0.25750545088611831</v>
          </cell>
          <cell r="AY68">
            <v>8.2018226272505101E-2</v>
          </cell>
          <cell r="AZ68">
            <v>-8.3177092210669823E-2</v>
          </cell>
          <cell r="BA68">
            <v>6.958602213947529E-2</v>
          </cell>
          <cell r="BB68">
            <v>-0.11671087533156499</v>
          </cell>
          <cell r="BC68">
            <v>-0.16740931995169284</v>
          </cell>
          <cell r="BD68">
            <v>-0.21405322611525945</v>
          </cell>
          <cell r="BE68">
            <v>-0.16865871688936174</v>
          </cell>
        </row>
        <row r="69">
          <cell r="A69" t="str">
            <v>NRx</v>
          </cell>
          <cell r="Z69">
            <v>35</v>
          </cell>
          <cell r="AA69">
            <v>3090</v>
          </cell>
          <cell r="AB69">
            <v>7861</v>
          </cell>
          <cell r="AC69">
            <v>10986</v>
          </cell>
          <cell r="AD69">
            <v>13521</v>
          </cell>
          <cell r="AE69">
            <v>13002</v>
          </cell>
          <cell r="AF69">
            <v>12118</v>
          </cell>
          <cell r="AG69">
            <v>38641</v>
          </cell>
          <cell r="AH69">
            <v>12189</v>
          </cell>
          <cell r="AI69">
            <v>12101</v>
          </cell>
          <cell r="AJ69">
            <v>15679</v>
          </cell>
          <cell r="AK69">
            <v>39969</v>
          </cell>
          <cell r="AL69">
            <v>14396</v>
          </cell>
          <cell r="AM69">
            <v>15384</v>
          </cell>
          <cell r="AN69">
            <v>16813</v>
          </cell>
          <cell r="AO69">
            <v>46593</v>
          </cell>
          <cell r="AP69">
            <v>15427</v>
          </cell>
          <cell r="AQ69">
            <v>16959</v>
          </cell>
          <cell r="AR69">
            <v>13184</v>
          </cell>
          <cell r="AS69">
            <v>45570</v>
          </cell>
          <cell r="AT69">
            <v>13946</v>
          </cell>
          <cell r="AU69">
            <v>13538</v>
          </cell>
          <cell r="AV69">
            <v>12976</v>
          </cell>
          <cell r="AW69">
            <v>40460</v>
          </cell>
          <cell r="AX69">
            <v>12578</v>
          </cell>
          <cell r="AY69">
            <v>10717</v>
          </cell>
          <cell r="AZ69">
            <v>11930</v>
          </cell>
          <cell r="BA69">
            <v>35225</v>
          </cell>
          <cell r="BB69">
            <v>10719</v>
          </cell>
          <cell r="BC69">
            <v>10884</v>
          </cell>
          <cell r="BD69">
            <v>11505</v>
          </cell>
          <cell r="BE69">
            <v>33108</v>
          </cell>
        </row>
        <row r="70">
          <cell r="A70" t="str">
            <v xml:space="preserve">  % Change</v>
          </cell>
          <cell r="AQ70">
            <v>4.4883495145631072</v>
          </cell>
          <cell r="AR70">
            <v>0.67714031293728527</v>
          </cell>
          <cell r="AS70">
            <v>3.1480065537957405</v>
          </cell>
          <cell r="AT70">
            <v>3.1432586347163616E-2</v>
          </cell>
          <cell r="AU70">
            <v>4.122442701122897E-2</v>
          </cell>
          <cell r="AV70">
            <v>7.0803762997194264E-2</v>
          </cell>
          <cell r="AW70">
            <v>4.7074351077870613E-2</v>
          </cell>
          <cell r="AX70">
            <v>3.1914020838460955E-2</v>
          </cell>
          <cell r="AY70">
            <v>-0.11437071316420133</v>
          </cell>
          <cell r="AZ70">
            <v>-0.23910963709420241</v>
          </cell>
          <cell r="BA70">
            <v>-0.11869198628937427</v>
          </cell>
          <cell r="BB70">
            <v>-0.25541817171436509</v>
          </cell>
          <cell r="BC70">
            <v>-0.29251170046801878</v>
          </cell>
          <cell r="BD70">
            <v>-0.31570808303098796</v>
          </cell>
          <cell r="BE70">
            <v>-0.28942115768463073</v>
          </cell>
        </row>
        <row r="71">
          <cell r="A71" t="str">
            <v>Sales (IMS)</v>
          </cell>
          <cell r="Z71">
            <v>1.069E-2</v>
          </cell>
          <cell r="AA71">
            <v>0.64081100000000002</v>
          </cell>
          <cell r="AB71">
            <v>1.090044</v>
          </cell>
          <cell r="AC71">
            <v>1.7415449999999999</v>
          </cell>
          <cell r="AD71">
            <v>0.91823699999999997</v>
          </cell>
          <cell r="AE71">
            <v>1.0457959999999999</v>
          </cell>
          <cell r="AF71">
            <v>1.235017</v>
          </cell>
          <cell r="AG71">
            <v>3.1990499999999997</v>
          </cell>
          <cell r="AH71">
            <v>1.0982799999999999</v>
          </cell>
          <cell r="AI71">
            <v>1.2227980000000001</v>
          </cell>
          <cell r="AJ71">
            <v>1.8086100000000001</v>
          </cell>
          <cell r="AK71">
            <v>4.1296879999999998</v>
          </cell>
          <cell r="AL71">
            <v>1.4955080000000001</v>
          </cell>
          <cell r="AM71">
            <v>1.5962559999999999</v>
          </cell>
          <cell r="AN71">
            <v>2.014481</v>
          </cell>
          <cell r="AO71">
            <v>5.1062449999999995</v>
          </cell>
          <cell r="AP71">
            <v>1.6121490000000001</v>
          </cell>
          <cell r="AQ71">
            <v>1.8102799999999999</v>
          </cell>
          <cell r="AR71">
            <v>2.0724079999999998</v>
          </cell>
          <cell r="AS71">
            <v>5.4948370000000004</v>
          </cell>
          <cell r="AT71">
            <v>1.652277</v>
          </cell>
          <cell r="AU71">
            <v>1.6325810000000001</v>
          </cell>
          <cell r="AV71">
            <v>1.960469</v>
          </cell>
          <cell r="AW71">
            <v>5.2453269999999996</v>
          </cell>
          <cell r="AX71">
            <v>1.6408499999999999</v>
          </cell>
          <cell r="AY71">
            <v>1.571304</v>
          </cell>
          <cell r="AZ71">
            <v>1.9719530000000001</v>
          </cell>
          <cell r="BA71">
            <v>5.184107</v>
          </cell>
          <cell r="BB71">
            <v>1.4986820000000001</v>
          </cell>
          <cell r="BC71">
            <v>1.6269039999999999</v>
          </cell>
          <cell r="BD71">
            <v>1.964334</v>
          </cell>
          <cell r="BE71">
            <v>5.0899200000000002</v>
          </cell>
        </row>
        <row r="72">
          <cell r="A72" t="str">
            <v xml:space="preserve">  % Change</v>
          </cell>
          <cell r="AQ72">
            <v>1.8249827172130315</v>
          </cell>
          <cell r="AR72">
            <v>0.90121499682581607</v>
          </cell>
          <cell r="AS72">
            <v>2.1551507425877601</v>
          </cell>
          <cell r="AT72">
            <v>0.79940146171413273</v>
          </cell>
          <cell r="AU72">
            <v>0.56108935203424015</v>
          </cell>
          <cell r="AV72">
            <v>0.58740244061417779</v>
          </cell>
          <cell r="AW72">
            <v>0.63965145902689868</v>
          </cell>
          <cell r="AX72">
            <v>0.49401791892777802</v>
          </cell>
          <cell r="AY72">
            <v>0.28500700851653327</v>
          </cell>
          <cell r="AZ72">
            <v>9.031410862485556E-2</v>
          </cell>
          <cell r="BA72">
            <v>0.25532655251437886</v>
          </cell>
          <cell r="BB72">
            <v>2.1223557480134492E-3</v>
          </cell>
          <cell r="BC72">
            <v>1.9199927831124786E-2</v>
          </cell>
          <cell r="BD72">
            <v>-2.4893260348447077E-2</v>
          </cell>
          <cell r="BE72">
            <v>-3.1970655540419779E-3</v>
          </cell>
        </row>
        <row r="73">
          <cell r="A73" t="str">
            <v>Price Change</v>
          </cell>
          <cell r="AK73">
            <v>0</v>
          </cell>
          <cell r="AO73">
            <v>0</v>
          </cell>
          <cell r="AS73">
            <v>0</v>
          </cell>
          <cell r="AW73">
            <v>0</v>
          </cell>
          <cell r="BA73">
            <v>0</v>
          </cell>
          <cell r="BE73">
            <v>0</v>
          </cell>
        </row>
        <row r="74">
          <cell r="A74" t="str">
            <v>Product</v>
          </cell>
          <cell r="B74">
            <v>37257</v>
          </cell>
          <cell r="C74">
            <v>37288</v>
          </cell>
          <cell r="D74">
            <v>37316</v>
          </cell>
          <cell r="E74" t="str">
            <v>Q3:F02</v>
          </cell>
          <cell r="F74">
            <v>37347</v>
          </cell>
          <cell r="G74">
            <v>37377</v>
          </cell>
          <cell r="H74">
            <v>37408</v>
          </cell>
          <cell r="I74" t="str">
            <v>Q4:F02</v>
          </cell>
          <cell r="J74">
            <v>37438</v>
          </cell>
          <cell r="K74">
            <v>37469</v>
          </cell>
          <cell r="L74">
            <v>37500</v>
          </cell>
          <cell r="M74" t="str">
            <v>Q1:F03</v>
          </cell>
          <cell r="N74">
            <v>37530</v>
          </cell>
          <cell r="O74">
            <v>37561</v>
          </cell>
          <cell r="P74">
            <v>37591</v>
          </cell>
          <cell r="Q74" t="str">
            <v>Q2:F03</v>
          </cell>
          <cell r="R74">
            <v>37622</v>
          </cell>
          <cell r="S74">
            <v>37653</v>
          </cell>
          <cell r="T74">
            <v>37681</v>
          </cell>
          <cell r="U74" t="str">
            <v>Q3:F03</v>
          </cell>
          <cell r="V74" t="str">
            <v>Apr-03</v>
          </cell>
          <cell r="W74">
            <v>37744</v>
          </cell>
          <cell r="X74">
            <v>37775</v>
          </cell>
          <cell r="Y74" t="str">
            <v>Q4:F03</v>
          </cell>
          <cell r="Z74">
            <v>37805</v>
          </cell>
          <cell r="AA74">
            <v>37836</v>
          </cell>
          <cell r="AB74">
            <v>37867</v>
          </cell>
          <cell r="AC74" t="str">
            <v>Q1:F04</v>
          </cell>
          <cell r="AD74">
            <v>37897</v>
          </cell>
          <cell r="AE74">
            <v>37928</v>
          </cell>
          <cell r="AF74">
            <v>37958</v>
          </cell>
          <cell r="AG74" t="str">
            <v>Q2:F04</v>
          </cell>
          <cell r="AH74">
            <v>37987</v>
          </cell>
          <cell r="AI74">
            <v>38018</v>
          </cell>
          <cell r="AJ74">
            <v>38047</v>
          </cell>
          <cell r="AK74" t="str">
            <v>Q3:F04</v>
          </cell>
          <cell r="AL74">
            <v>38078</v>
          </cell>
          <cell r="AM74">
            <v>38108</v>
          </cell>
          <cell r="AN74">
            <v>38139</v>
          </cell>
          <cell r="AO74" t="str">
            <v>Q4:F04</v>
          </cell>
          <cell r="AP74">
            <v>38169</v>
          </cell>
          <cell r="AQ74">
            <v>38200</v>
          </cell>
          <cell r="AR74">
            <v>38231</v>
          </cell>
          <cell r="AS74" t="str">
            <v>Q1:F05</v>
          </cell>
          <cell r="AT74">
            <v>38261</v>
          </cell>
          <cell r="AU74">
            <v>38292</v>
          </cell>
          <cell r="AV74">
            <v>38322</v>
          </cell>
          <cell r="AW74" t="str">
            <v>Q2:F05</v>
          </cell>
          <cell r="AX74">
            <v>38353</v>
          </cell>
          <cell r="AY74">
            <v>38384</v>
          </cell>
          <cell r="AZ74">
            <v>38412</v>
          </cell>
          <cell r="BA74" t="str">
            <v>Q3:F05</v>
          </cell>
          <cell r="BB74">
            <v>38443</v>
          </cell>
          <cell r="BC74">
            <v>38473</v>
          </cell>
          <cell r="BD74">
            <v>38504</v>
          </cell>
          <cell r="BE74" t="str">
            <v>Q4:F05E</v>
          </cell>
        </row>
        <row r="75">
          <cell r="A75" t="str">
            <v>Product</v>
          </cell>
          <cell r="B75">
            <v>37257</v>
          </cell>
          <cell r="C75">
            <v>37288</v>
          </cell>
          <cell r="D75">
            <v>37316</v>
          </cell>
          <cell r="E75" t="str">
            <v>Q3:F02</v>
          </cell>
          <cell r="F75">
            <v>37347</v>
          </cell>
          <cell r="G75">
            <v>37377</v>
          </cell>
          <cell r="H75">
            <v>37408</v>
          </cell>
          <cell r="I75" t="str">
            <v>Q4:F02</v>
          </cell>
          <cell r="J75">
            <v>37438</v>
          </cell>
          <cell r="K75">
            <v>37469</v>
          </cell>
          <cell r="L75">
            <v>37500</v>
          </cell>
          <cell r="M75" t="str">
            <v>Q1:F03</v>
          </cell>
          <cell r="N75">
            <v>37530</v>
          </cell>
          <cell r="O75">
            <v>37561</v>
          </cell>
          <cell r="P75">
            <v>37591</v>
          </cell>
          <cell r="Q75" t="str">
            <v>Q2:F03</v>
          </cell>
          <cell r="R75">
            <v>37622</v>
          </cell>
          <cell r="S75">
            <v>37653</v>
          </cell>
          <cell r="T75">
            <v>37681</v>
          </cell>
          <cell r="U75" t="str">
            <v>Q3:F03</v>
          </cell>
          <cell r="V75" t="str">
            <v>Apr-03</v>
          </cell>
          <cell r="W75">
            <v>37744</v>
          </cell>
          <cell r="X75">
            <v>37775</v>
          </cell>
          <cell r="Y75" t="str">
            <v>Q4:F03</v>
          </cell>
          <cell r="Z75">
            <v>37805</v>
          </cell>
          <cell r="AA75">
            <v>37836</v>
          </cell>
          <cell r="AB75">
            <v>37867</v>
          </cell>
          <cell r="AC75" t="str">
            <v>Q1:F04</v>
          </cell>
          <cell r="AD75">
            <v>37897</v>
          </cell>
          <cell r="AE75">
            <v>37928</v>
          </cell>
          <cell r="AF75">
            <v>37958</v>
          </cell>
          <cell r="AG75" t="str">
            <v>Q2:F04</v>
          </cell>
          <cell r="AH75">
            <v>37987</v>
          </cell>
          <cell r="AI75">
            <v>38018</v>
          </cell>
          <cell r="AJ75">
            <v>38047</v>
          </cell>
          <cell r="AK75" t="str">
            <v>Q3:F04</v>
          </cell>
          <cell r="AL75">
            <v>38078</v>
          </cell>
          <cell r="AM75">
            <v>38108</v>
          </cell>
          <cell r="AN75">
            <v>38139</v>
          </cell>
          <cell r="AO75" t="str">
            <v>Q4:F04</v>
          </cell>
          <cell r="AP75">
            <v>38169</v>
          </cell>
          <cell r="AQ75">
            <v>38200</v>
          </cell>
          <cell r="AR75">
            <v>38231</v>
          </cell>
          <cell r="AS75" t="str">
            <v>Q1:F05</v>
          </cell>
          <cell r="AT75">
            <v>38261</v>
          </cell>
          <cell r="AU75">
            <v>38292</v>
          </cell>
          <cell r="AV75">
            <v>38322</v>
          </cell>
          <cell r="AW75" t="str">
            <v>Q2:F05</v>
          </cell>
          <cell r="AX75">
            <v>38353</v>
          </cell>
          <cell r="AY75">
            <v>38384</v>
          </cell>
          <cell r="AZ75">
            <v>38412</v>
          </cell>
          <cell r="BA75" t="str">
            <v>Q3:F05</v>
          </cell>
          <cell r="BB75">
            <v>38443</v>
          </cell>
          <cell r="BC75">
            <v>38473</v>
          </cell>
          <cell r="BD75">
            <v>38504</v>
          </cell>
          <cell r="BE75" t="str">
            <v>Q4:F05</v>
          </cell>
        </row>
        <row r="76">
          <cell r="A76" t="str">
            <v>Triaz gel</v>
          </cell>
        </row>
        <row r="77">
          <cell r="A77" t="str">
            <v>Triaz gel</v>
          </cell>
          <cell r="B77">
            <v>22774</v>
          </cell>
          <cell r="C77">
            <v>19527</v>
          </cell>
          <cell r="D77">
            <v>21210</v>
          </cell>
          <cell r="E77">
            <v>63511</v>
          </cell>
          <cell r="F77">
            <v>19996</v>
          </cell>
          <cell r="G77">
            <v>20743</v>
          </cell>
          <cell r="H77">
            <v>20325</v>
          </cell>
          <cell r="I77">
            <v>61064</v>
          </cell>
          <cell r="J77">
            <v>21006</v>
          </cell>
          <cell r="K77">
            <v>23686</v>
          </cell>
          <cell r="L77">
            <v>19569</v>
          </cell>
          <cell r="M77">
            <v>64261</v>
          </cell>
          <cell r="N77">
            <v>21341</v>
          </cell>
          <cell r="O77">
            <v>19410</v>
          </cell>
          <cell r="P77">
            <v>19248</v>
          </cell>
          <cell r="Q77">
            <v>59999</v>
          </cell>
          <cell r="R77">
            <v>20367</v>
          </cell>
          <cell r="S77">
            <v>15984</v>
          </cell>
          <cell r="T77">
            <v>18346</v>
          </cell>
          <cell r="U77">
            <v>54697</v>
          </cell>
          <cell r="V77">
            <v>16955</v>
          </cell>
          <cell r="W77">
            <v>17496</v>
          </cell>
          <cell r="X77">
            <v>17482</v>
          </cell>
          <cell r="Y77">
            <v>51933</v>
          </cell>
          <cell r="Z77">
            <v>17726</v>
          </cell>
          <cell r="AA77">
            <v>19099</v>
          </cell>
          <cell r="AB77">
            <v>15933</v>
          </cell>
          <cell r="AC77">
            <v>52758</v>
          </cell>
          <cell r="AD77">
            <v>15006</v>
          </cell>
          <cell r="AE77">
            <v>13138</v>
          </cell>
          <cell r="AF77">
            <v>12796</v>
          </cell>
          <cell r="AG77">
            <v>40940</v>
          </cell>
          <cell r="AH77">
            <v>12782</v>
          </cell>
          <cell r="AI77">
            <v>10538</v>
          </cell>
          <cell r="AJ77">
            <v>11571</v>
          </cell>
          <cell r="AK77">
            <v>34891</v>
          </cell>
          <cell r="AL77">
            <v>9927</v>
          </cell>
          <cell r="AM77">
            <v>9597</v>
          </cell>
          <cell r="AN77">
            <v>9725</v>
          </cell>
          <cell r="AO77">
            <v>29249</v>
          </cell>
          <cell r="AP77">
            <v>9229</v>
          </cell>
          <cell r="AQ77">
            <v>9694</v>
          </cell>
          <cell r="AR77">
            <v>7926</v>
          </cell>
          <cell r="AS77">
            <v>26849</v>
          </cell>
          <cell r="AT77">
            <v>7482</v>
          </cell>
          <cell r="AU77">
            <v>7078</v>
          </cell>
          <cell r="AV77">
            <v>7081</v>
          </cell>
          <cell r="AW77">
            <v>21641</v>
          </cell>
          <cell r="AX77">
            <v>6709</v>
          </cell>
          <cell r="AY77">
            <v>5519</v>
          </cell>
          <cell r="AZ77">
            <v>6262</v>
          </cell>
          <cell r="BA77">
            <v>18490</v>
          </cell>
          <cell r="BB77">
            <v>5424</v>
          </cell>
          <cell r="BC77">
            <v>5558</v>
          </cell>
          <cell r="BD77">
            <v>5833</v>
          </cell>
          <cell r="BE77">
            <v>16815</v>
          </cell>
        </row>
        <row r="78">
          <cell r="A78" t="str">
            <v>TRx</v>
          </cell>
          <cell r="B78">
            <v>22774</v>
          </cell>
          <cell r="C78">
            <v>19527</v>
          </cell>
          <cell r="D78">
            <v>21210</v>
          </cell>
          <cell r="E78">
            <v>63511</v>
          </cell>
          <cell r="F78">
            <v>19996</v>
          </cell>
          <cell r="G78">
            <v>20743</v>
          </cell>
          <cell r="H78">
            <v>20325</v>
          </cell>
          <cell r="I78">
            <v>61064</v>
          </cell>
          <cell r="J78">
            <v>21006</v>
          </cell>
          <cell r="K78">
            <v>23686</v>
          </cell>
          <cell r="L78">
            <v>19569</v>
          </cell>
          <cell r="M78">
            <v>64261</v>
          </cell>
          <cell r="N78">
            <v>21341</v>
          </cell>
          <cell r="O78">
            <v>19410</v>
          </cell>
          <cell r="P78">
            <v>19248</v>
          </cell>
          <cell r="Q78">
            <v>59999</v>
          </cell>
          <cell r="R78">
            <v>20367</v>
          </cell>
          <cell r="S78">
            <v>15984</v>
          </cell>
          <cell r="T78">
            <v>18346</v>
          </cell>
          <cell r="U78">
            <v>54697</v>
          </cell>
          <cell r="V78">
            <v>16955</v>
          </cell>
          <cell r="W78">
            <v>17496</v>
          </cell>
          <cell r="X78">
            <v>17482</v>
          </cell>
          <cell r="Y78">
            <v>51933</v>
          </cell>
          <cell r="Z78">
            <v>17726</v>
          </cell>
          <cell r="AA78">
            <v>19099</v>
          </cell>
          <cell r="AB78">
            <v>15933</v>
          </cell>
          <cell r="AC78">
            <v>52758</v>
          </cell>
          <cell r="AD78">
            <v>15006</v>
          </cell>
          <cell r="AE78">
            <v>13138</v>
          </cell>
          <cell r="AF78">
            <v>12796</v>
          </cell>
          <cell r="AG78">
            <v>40940</v>
          </cell>
          <cell r="AH78">
            <v>12782</v>
          </cell>
          <cell r="AI78">
            <v>10538</v>
          </cell>
          <cell r="AJ78">
            <v>11571</v>
          </cell>
          <cell r="AK78">
            <v>34891</v>
          </cell>
          <cell r="AL78">
            <v>9927</v>
          </cell>
          <cell r="AM78">
            <v>9597</v>
          </cell>
          <cell r="AN78">
            <v>9725</v>
          </cell>
          <cell r="AO78">
            <v>29249</v>
          </cell>
          <cell r="AP78">
            <v>9229</v>
          </cell>
          <cell r="AQ78">
            <v>9694</v>
          </cell>
          <cell r="AR78">
            <v>7926</v>
          </cell>
          <cell r="AS78">
            <v>26849</v>
          </cell>
          <cell r="AT78">
            <v>7482</v>
          </cell>
          <cell r="AU78">
            <v>7078</v>
          </cell>
          <cell r="AV78">
            <v>7081</v>
          </cell>
          <cell r="AW78">
            <v>21641</v>
          </cell>
          <cell r="AX78">
            <v>6709</v>
          </cell>
          <cell r="AY78">
            <v>5519</v>
          </cell>
          <cell r="AZ78">
            <v>6262</v>
          </cell>
          <cell r="BA78">
            <v>18490</v>
          </cell>
          <cell r="BB78">
            <v>5424</v>
          </cell>
          <cell r="BC78">
            <v>5558</v>
          </cell>
          <cell r="BD78">
            <v>5833</v>
          </cell>
          <cell r="BE78">
            <v>16815</v>
          </cell>
        </row>
        <row r="79">
          <cell r="A79" t="str">
            <v xml:space="preserve">  % Change</v>
          </cell>
          <cell r="B79">
            <v>15993</v>
          </cell>
          <cell r="C79">
            <v>13645</v>
          </cell>
          <cell r="D79">
            <v>14782</v>
          </cell>
          <cell r="E79">
            <v>44420</v>
          </cell>
          <cell r="F79">
            <v>13666</v>
          </cell>
          <cell r="G79">
            <v>14440</v>
          </cell>
          <cell r="H79">
            <v>14071</v>
          </cell>
          <cell r="I79">
            <v>42177</v>
          </cell>
          <cell r="J79">
            <v>14435</v>
          </cell>
          <cell r="K79">
            <v>16814</v>
          </cell>
          <cell r="L79">
            <v>13610</v>
          </cell>
          <cell r="M79">
            <v>44859</v>
          </cell>
          <cell r="N79">
            <v>15148</v>
          </cell>
          <cell r="O79">
            <v>13809</v>
          </cell>
          <cell r="P79">
            <v>12906</v>
          </cell>
          <cell r="Q79">
            <v>41863</v>
          </cell>
          <cell r="R79">
            <v>-0.10569069992096247</v>
          </cell>
          <cell r="S79">
            <v>-0.18144108157935168</v>
          </cell>
          <cell r="T79">
            <v>-0.13503064592173508</v>
          </cell>
          <cell r="U79">
            <v>-0.13877910913070179</v>
          </cell>
          <cell r="V79">
            <v>-0.15208041608321665</v>
          </cell>
          <cell r="W79">
            <v>-0.15653473460926581</v>
          </cell>
          <cell r="X79">
            <v>-0.13987699876998771</v>
          </cell>
          <cell r="Y79">
            <v>-0.14953163893619814</v>
          </cell>
          <cell r="Z79">
            <v>-0.15614586308673717</v>
          </cell>
          <cell r="AA79">
            <v>-0.19365870134256524</v>
          </cell>
          <cell r="AB79">
            <v>-0.18580407787827691</v>
          </cell>
          <cell r="AC79">
            <v>-0.17900437279220682</v>
          </cell>
          <cell r="AD79">
            <v>-0.29684644580853758</v>
          </cell>
          <cell r="AE79">
            <v>-0.32313240597630088</v>
          </cell>
          <cell r="AF79">
            <v>-0.33520365752285952</v>
          </cell>
          <cell r="AG79">
            <v>-0.31765529425490424</v>
          </cell>
          <cell r="AH79">
            <v>-0.37241616340158101</v>
          </cell>
          <cell r="AI79">
            <v>-0.34071571571571568</v>
          </cell>
          <cell r="AJ79">
            <v>-0.36929030851411748</v>
          </cell>
          <cell r="AK79">
            <v>-0.36210395451304456</v>
          </cell>
          <cell r="AL79">
            <v>-0.41450899439693301</v>
          </cell>
          <cell r="AM79">
            <v>-0.4514746227709191</v>
          </cell>
          <cell r="AN79">
            <v>-0.44371353392060409</v>
          </cell>
          <cell r="AO79">
            <v>-0.43679356093428068</v>
          </cell>
          <cell r="AP79">
            <v>-0.47935236375944945</v>
          </cell>
          <cell r="AQ79">
            <v>-0.49243415885648467</v>
          </cell>
          <cell r="AR79">
            <v>-0.50254189418188666</v>
          </cell>
          <cell r="AS79">
            <v>-0.49109139846089689</v>
          </cell>
          <cell r="AT79">
            <v>-0.50139944022391036</v>
          </cell>
          <cell r="AU79">
            <v>-0.46125742122088598</v>
          </cell>
          <cell r="AV79">
            <v>-0.44662394498280711</v>
          </cell>
          <cell r="AW79">
            <v>-0.47139716658524666</v>
          </cell>
          <cell r="AX79">
            <v>-0.47512126427789081</v>
          </cell>
          <cell r="AY79">
            <v>-0.47627633327007024</v>
          </cell>
          <cell r="AZ79">
            <v>-0.45881946244922656</v>
          </cell>
          <cell r="BA79">
            <v>-0.47006391333008513</v>
          </cell>
          <cell r="BB79">
            <v>-0.45361136294953153</v>
          </cell>
          <cell r="BC79">
            <v>-0.42086068563092638</v>
          </cell>
          <cell r="BD79">
            <v>-0.40020565552699228</v>
          </cell>
          <cell r="BE79">
            <v>-0.42510855071968268</v>
          </cell>
        </row>
        <row r="80">
          <cell r="A80" t="str">
            <v>NRx</v>
          </cell>
          <cell r="B80">
            <v>15993</v>
          </cell>
          <cell r="C80">
            <v>13645</v>
          </cell>
          <cell r="D80">
            <v>14782</v>
          </cell>
          <cell r="E80">
            <v>44420</v>
          </cell>
          <cell r="F80">
            <v>13666</v>
          </cell>
          <cell r="G80">
            <v>14440</v>
          </cell>
          <cell r="H80">
            <v>14071</v>
          </cell>
          <cell r="I80">
            <v>42177</v>
          </cell>
          <cell r="J80">
            <v>14435</v>
          </cell>
          <cell r="K80">
            <v>16814</v>
          </cell>
          <cell r="L80">
            <v>13610</v>
          </cell>
          <cell r="M80">
            <v>44859</v>
          </cell>
          <cell r="N80">
            <v>15148</v>
          </cell>
          <cell r="O80">
            <v>13809</v>
          </cell>
          <cell r="P80">
            <v>12906</v>
          </cell>
          <cell r="Q80">
            <v>41863</v>
          </cell>
          <cell r="R80">
            <v>14133</v>
          </cell>
          <cell r="S80">
            <v>10962</v>
          </cell>
          <cell r="T80">
            <v>12756</v>
          </cell>
          <cell r="U80">
            <v>37851</v>
          </cell>
          <cell r="V80">
            <v>11828</v>
          </cell>
          <cell r="W80">
            <v>11960</v>
          </cell>
          <cell r="X80">
            <v>12202</v>
          </cell>
          <cell r="Y80">
            <v>35990</v>
          </cell>
          <cell r="Z80">
            <v>12461</v>
          </cell>
          <cell r="AA80">
            <v>13573</v>
          </cell>
          <cell r="AB80">
            <v>11080</v>
          </cell>
          <cell r="AC80">
            <v>37114</v>
          </cell>
          <cell r="AD80">
            <v>10403</v>
          </cell>
          <cell r="AE80">
            <v>8888</v>
          </cell>
          <cell r="AF80">
            <v>8372</v>
          </cell>
          <cell r="AG80">
            <v>27663</v>
          </cell>
          <cell r="AH80">
            <v>8496</v>
          </cell>
          <cell r="AI80">
            <v>7005</v>
          </cell>
          <cell r="AJ80">
            <v>7510</v>
          </cell>
          <cell r="AK80">
            <v>23011</v>
          </cell>
          <cell r="AL80">
            <v>6329</v>
          </cell>
          <cell r="AM80">
            <v>6098</v>
          </cell>
          <cell r="AN80">
            <v>6187</v>
          </cell>
          <cell r="AO80">
            <v>18614</v>
          </cell>
          <cell r="AP80">
            <v>5933</v>
          </cell>
          <cell r="AQ80">
            <v>6497</v>
          </cell>
          <cell r="AR80">
            <v>5155</v>
          </cell>
          <cell r="AS80">
            <v>17585</v>
          </cell>
          <cell r="AT80">
            <v>4943</v>
          </cell>
          <cell r="AU80">
            <v>4759</v>
          </cell>
          <cell r="AV80">
            <v>4432</v>
          </cell>
          <cell r="AW80">
            <v>14134</v>
          </cell>
          <cell r="AX80">
            <v>4431</v>
          </cell>
          <cell r="AY80">
            <v>3674</v>
          </cell>
          <cell r="AZ80">
            <v>4148</v>
          </cell>
          <cell r="BA80">
            <v>12253</v>
          </cell>
          <cell r="BB80">
            <v>3652</v>
          </cell>
          <cell r="BC80">
            <v>3512</v>
          </cell>
          <cell r="BD80">
            <v>3840</v>
          </cell>
          <cell r="BE80">
            <v>11004</v>
          </cell>
        </row>
        <row r="81">
          <cell r="A81" t="str">
            <v xml:space="preserve">  % Change</v>
          </cell>
          <cell r="B81">
            <v>0.53684500000000002</v>
          </cell>
          <cell r="C81">
            <v>0.53325699999999998</v>
          </cell>
          <cell r="D81">
            <v>0.64115299999999997</v>
          </cell>
          <cell r="E81">
            <v>1.711255</v>
          </cell>
          <cell r="F81">
            <v>0.47841</v>
          </cell>
          <cell r="G81">
            <v>0.50782099999999997</v>
          </cell>
          <cell r="H81">
            <v>0.67281800000000003</v>
          </cell>
          <cell r="I81">
            <v>1.659049</v>
          </cell>
          <cell r="J81">
            <v>0.62006600000000001</v>
          </cell>
          <cell r="K81">
            <v>0.60346100000000003</v>
          </cell>
          <cell r="L81">
            <v>0.66707000000000005</v>
          </cell>
          <cell r="M81">
            <v>1.8905970000000001</v>
          </cell>
          <cell r="N81">
            <v>0.54100899999999996</v>
          </cell>
          <cell r="O81">
            <v>0.52159599999999995</v>
          </cell>
          <cell r="P81">
            <v>0.63196699999999995</v>
          </cell>
          <cell r="Q81">
            <v>1.694572</v>
          </cell>
          <cell r="R81">
            <v>-0.11630088163571561</v>
          </cell>
          <cell r="S81">
            <v>-0.19662880175888608</v>
          </cell>
          <cell r="T81">
            <v>-0.13705858476525501</v>
          </cell>
          <cell r="U81">
            <v>-0.14788383610986044</v>
          </cell>
          <cell r="V81">
            <v>-0.13449436557880867</v>
          </cell>
          <cell r="W81">
            <v>-0.17174515235457066</v>
          </cell>
          <cell r="X81">
            <v>-0.13282638049889839</v>
          </cell>
          <cell r="Y81">
            <v>-0.14669132465561796</v>
          </cell>
          <cell r="Z81">
            <v>-0.13675095254589542</v>
          </cell>
          <cell r="AA81">
            <v>-0.19275603663613661</v>
          </cell>
          <cell r="AB81">
            <v>-0.18589272593681117</v>
          </cell>
          <cell r="AC81">
            <v>-0.17265208765242201</v>
          </cell>
          <cell r="AD81">
            <v>-0.3132426722999736</v>
          </cell>
          <cell r="AE81">
            <v>-0.35636179303352888</v>
          </cell>
          <cell r="AF81">
            <v>-0.35130946846428013</v>
          </cell>
          <cell r="AG81">
            <v>-0.339201681675943</v>
          </cell>
          <cell r="AH81">
            <v>-0.39885374655062622</v>
          </cell>
          <cell r="AI81">
            <v>-0.3609742747673782</v>
          </cell>
          <cell r="AJ81">
            <v>-0.4112574474756977</v>
          </cell>
          <cell r="AK81">
            <v>-0.39206361787006949</v>
          </cell>
          <cell r="AL81">
            <v>-0.46491376394994932</v>
          </cell>
          <cell r="AM81">
            <v>-0.49013377926421409</v>
          </cell>
          <cell r="AN81">
            <v>-0.49295197508605149</v>
          </cell>
          <cell r="AO81">
            <v>-0.48280077799388721</v>
          </cell>
          <cell r="AP81">
            <v>-0.52387448840381989</v>
          </cell>
          <cell r="AQ81">
            <v>-0.52132910926103293</v>
          </cell>
          <cell r="AR81">
            <v>-0.53474729241877261</v>
          </cell>
          <cell r="AS81">
            <v>-0.526189578056798</v>
          </cell>
          <cell r="AT81">
            <v>-0.5248486013649909</v>
          </cell>
          <cell r="AU81">
            <v>-0.4645589558955896</v>
          </cell>
          <cell r="AV81">
            <v>-0.47061634018155762</v>
          </cell>
          <cell r="AW81">
            <v>-0.48906481581896399</v>
          </cell>
          <cell r="AX81">
            <v>-0.47846045197740117</v>
          </cell>
          <cell r="AY81">
            <v>-0.4755174875089222</v>
          </cell>
          <cell r="AZ81">
            <v>-0.44766977363515315</v>
          </cell>
          <cell r="BA81">
            <v>-0.46751553604797702</v>
          </cell>
          <cell r="BB81">
            <v>-0.42297361352504348</v>
          </cell>
          <cell r="BC81">
            <v>-0.42407346671039681</v>
          </cell>
          <cell r="BD81">
            <v>-0.37934378535639246</v>
          </cell>
          <cell r="BE81">
            <v>-0.40883206188890087</v>
          </cell>
        </row>
        <row r="82">
          <cell r="A82" t="str">
            <v>Sales (IMS)</v>
          </cell>
          <cell r="B82">
            <v>0.53684500000000002</v>
          </cell>
          <cell r="C82">
            <v>0.53325699999999998</v>
          </cell>
          <cell r="D82">
            <v>0.64115299999999997</v>
          </cell>
          <cell r="E82">
            <v>1.711255</v>
          </cell>
          <cell r="F82">
            <v>0.47841</v>
          </cell>
          <cell r="G82">
            <v>0.50782099999999997</v>
          </cell>
          <cell r="H82">
            <v>0.67281800000000003</v>
          </cell>
          <cell r="I82">
            <v>1.659049</v>
          </cell>
          <cell r="J82">
            <v>0.62006600000000001</v>
          </cell>
          <cell r="K82">
            <v>0.60346100000000003</v>
          </cell>
          <cell r="L82">
            <v>0.66707000000000005</v>
          </cell>
          <cell r="M82">
            <v>1.8905970000000001</v>
          </cell>
          <cell r="N82">
            <v>0.54100899999999996</v>
          </cell>
          <cell r="O82">
            <v>0.52159599999999995</v>
          </cell>
          <cell r="P82">
            <v>0.63196699999999995</v>
          </cell>
          <cell r="Q82">
            <v>1.694572</v>
          </cell>
          <cell r="R82">
            <v>0.56839700000000004</v>
          </cell>
          <cell r="S82">
            <v>0.49472300000000002</v>
          </cell>
          <cell r="T82">
            <v>0.64438499999999999</v>
          </cell>
          <cell r="U82">
            <v>1.7075050000000001</v>
          </cell>
          <cell r="V82">
            <v>0.47747499999999998</v>
          </cell>
          <cell r="W82">
            <v>0.50712500000000005</v>
          </cell>
          <cell r="X82">
            <v>0.66928500000000002</v>
          </cell>
          <cell r="Y82">
            <v>1.653885</v>
          </cell>
          <cell r="Z82">
            <v>0.54119799999999996</v>
          </cell>
          <cell r="AA82">
            <v>0.60902599999999996</v>
          </cell>
          <cell r="AB82">
            <v>0.627884</v>
          </cell>
          <cell r="AC82">
            <v>1.778108</v>
          </cell>
          <cell r="AD82">
            <v>0.45749200000000001</v>
          </cell>
          <cell r="AE82">
            <v>0.42067599999999999</v>
          </cell>
          <cell r="AF82">
            <v>0.46158399999999999</v>
          </cell>
          <cell r="AG82">
            <v>1.3397520000000001</v>
          </cell>
          <cell r="AH82">
            <v>0.40186899999999998</v>
          </cell>
          <cell r="AI82">
            <v>0.37179099999999998</v>
          </cell>
          <cell r="AJ82">
            <v>0.456125</v>
          </cell>
          <cell r="AK82">
            <v>1.2297850000000001</v>
          </cell>
          <cell r="AL82">
            <v>0.36150399999999999</v>
          </cell>
          <cell r="AM82">
            <v>0.34767700000000001</v>
          </cell>
          <cell r="AN82">
            <v>0.42732399999999998</v>
          </cell>
          <cell r="AO82">
            <v>1.1365050000000001</v>
          </cell>
          <cell r="AP82">
            <v>0.34400799999999998</v>
          </cell>
          <cell r="AQ82">
            <v>0.36326999999999998</v>
          </cell>
          <cell r="AR82">
            <v>0.39666299999999999</v>
          </cell>
          <cell r="AS82">
            <v>1.1039409999999998</v>
          </cell>
          <cell r="AT82">
            <v>0.29628100000000002</v>
          </cell>
          <cell r="AU82">
            <v>0.283586</v>
          </cell>
          <cell r="AV82">
            <v>0.35626200000000002</v>
          </cell>
          <cell r="AW82">
            <v>0.93612899999999999</v>
          </cell>
          <cell r="AX82">
            <v>0.29596099999999997</v>
          </cell>
          <cell r="AY82">
            <v>0.25532199999999999</v>
          </cell>
          <cell r="AZ82">
            <v>0.32028899999999999</v>
          </cell>
          <cell r="BA82">
            <v>0.87157200000000001</v>
          </cell>
          <cell r="BB82">
            <v>0.233575</v>
          </cell>
          <cell r="BC82">
            <v>0.24820400000000001</v>
          </cell>
          <cell r="BD82">
            <v>0.31630599999999998</v>
          </cell>
          <cell r="BE82">
            <v>0.79808499999999993</v>
          </cell>
        </row>
        <row r="83">
          <cell r="A83" t="str">
            <v xml:space="preserve">  % Change</v>
          </cell>
          <cell r="R83">
            <v>5.8773016420009538E-2</v>
          </cell>
          <cell r="S83">
            <v>-7.2261592440417965E-2</v>
          </cell>
          <cell r="T83">
            <v>5.0409184703184007E-3</v>
          </cell>
          <cell r="U83">
            <v>-2.1913741669125075E-3</v>
          </cell>
          <cell r="V83">
            <v>-1.9543905854810806E-3</v>
          </cell>
          <cell r="W83">
            <v>-1.3705616742906157E-3</v>
          </cell>
          <cell r="X83">
            <v>-5.2510485748002989E-3</v>
          </cell>
          <cell r="Y83">
            <v>-3.1126265710054168E-3</v>
          </cell>
          <cell r="Z83">
            <v>-0.12719291172230063</v>
          </cell>
          <cell r="AA83">
            <v>9.2218055516428699E-3</v>
          </cell>
          <cell r="AB83">
            <v>-5.874346020657506E-2</v>
          </cell>
          <cell r="AC83">
            <v>-5.9499195227750823E-2</v>
          </cell>
          <cell r="AD83">
            <v>-0.15437266293167018</v>
          </cell>
          <cell r="AE83">
            <v>-0.19348307885796667</v>
          </cell>
          <cell r="AF83">
            <v>-0.26960743203363458</v>
          </cell>
          <cell r="AG83">
            <v>-0.20938620489421511</v>
          </cell>
          <cell r="AH83">
            <v>-0.29297832324941908</v>
          </cell>
          <cell r="AI83">
            <v>-0.24848652680388827</v>
          </cell>
          <cell r="AJ83">
            <v>-0.29215453494417154</v>
          </cell>
          <cell r="AK83">
            <v>-0.27977663315773593</v>
          </cell>
          <cell r="AL83">
            <v>-0.24288392062411646</v>
          </cell>
          <cell r="AM83">
            <v>-0.31441557801331033</v>
          </cell>
          <cell r="AN83">
            <v>-0.36152162382243747</v>
          </cell>
          <cell r="AO83">
            <v>-0.31282707080601124</v>
          </cell>
          <cell r="AP83">
            <v>-0.36435833096205084</v>
          </cell>
          <cell r="AQ83">
            <v>-0.4035230023020363</v>
          </cell>
          <cell r="AR83">
            <v>-0.3682543272324188</v>
          </cell>
          <cell r="AS83">
            <v>-0.37914851066414423</v>
          </cell>
          <cell r="AT83">
            <v>-0.35237993232668552</v>
          </cell>
          <cell r="AU83">
            <v>-0.32588024988352082</v>
          </cell>
          <cell r="AV83">
            <v>-0.22817515338486594</v>
          </cell>
          <cell r="AW83">
            <v>-0.3012669508983753</v>
          </cell>
          <cell r="AX83">
            <v>-0.2635386158175923</v>
          </cell>
          <cell r="AY83">
            <v>-0.31326471054974436</v>
          </cell>
          <cell r="AZ83">
            <v>-0.29780432995341188</v>
          </cell>
          <cell r="BA83">
            <v>-0.29128099627170612</v>
          </cell>
          <cell r="BB83">
            <v>-0.35387990174382578</v>
          </cell>
          <cell r="BC83">
            <v>-0.28610750783054384</v>
          </cell>
          <cell r="BD83">
            <v>-0.25979818591981729</v>
          </cell>
          <cell r="BE83">
            <v>-0.29777255709389761</v>
          </cell>
        </row>
        <row r="84">
          <cell r="A84" t="str">
            <v>Price Change</v>
          </cell>
          <cell r="U84">
            <v>0</v>
          </cell>
          <cell r="Y84">
            <v>0</v>
          </cell>
          <cell r="Z84">
            <v>8.1607030759573096E-2</v>
          </cell>
          <cell r="AC84">
            <v>8.1607030759573096E-2</v>
          </cell>
          <cell r="AG84">
            <v>8.1607030759573096E-2</v>
          </cell>
          <cell r="AH84">
            <v>6.0076216095045876E-2</v>
          </cell>
          <cell r="AK84">
            <v>0.14168324685461897</v>
          </cell>
          <cell r="AL84">
            <v>8.0000000000000002E-3</v>
          </cell>
          <cell r="AO84">
            <v>0.14968324685461898</v>
          </cell>
          <cell r="AP84">
            <v>0.05</v>
          </cell>
          <cell r="AS84">
            <v>0.11807621609504587</v>
          </cell>
          <cell r="AW84">
            <v>0.11807621609504587</v>
          </cell>
          <cell r="BA84">
            <v>5.8000000000000003E-2</v>
          </cell>
          <cell r="BB84">
            <v>0.12367399741267793</v>
          </cell>
          <cell r="BE84">
            <v>0.17367399741267792</v>
          </cell>
        </row>
        <row r="86">
          <cell r="A86" t="str">
            <v>TOTAL Acne &amp; Related Derm Products</v>
          </cell>
        </row>
        <row r="87">
          <cell r="A87" t="str">
            <v>TOTAL Acne &amp; Related Derm Products</v>
          </cell>
          <cell r="B87">
            <v>81433</v>
          </cell>
          <cell r="C87">
            <v>143083</v>
          </cell>
          <cell r="D87">
            <v>157649</v>
          </cell>
          <cell r="E87">
            <v>382165</v>
          </cell>
          <cell r="F87">
            <v>158566</v>
          </cell>
          <cell r="G87">
            <v>162297</v>
          </cell>
          <cell r="H87">
            <v>158415</v>
          </cell>
          <cell r="I87">
            <v>479278</v>
          </cell>
          <cell r="J87">
            <v>161996</v>
          </cell>
          <cell r="K87">
            <v>176193</v>
          </cell>
          <cell r="L87">
            <v>154587</v>
          </cell>
          <cell r="M87">
            <v>492776</v>
          </cell>
          <cell r="N87">
            <v>165242</v>
          </cell>
          <cell r="O87">
            <v>152974</v>
          </cell>
          <cell r="P87">
            <v>156140</v>
          </cell>
          <cell r="Q87">
            <v>474356</v>
          </cell>
          <cell r="R87">
            <v>157949</v>
          </cell>
          <cell r="S87">
            <v>132656</v>
          </cell>
          <cell r="T87">
            <v>148468</v>
          </cell>
          <cell r="U87">
            <v>439073</v>
          </cell>
          <cell r="V87">
            <v>142393</v>
          </cell>
          <cell r="W87">
            <v>146980</v>
          </cell>
          <cell r="X87">
            <v>146395</v>
          </cell>
          <cell r="Y87">
            <v>435768</v>
          </cell>
          <cell r="Z87">
            <v>147097</v>
          </cell>
          <cell r="AA87">
            <v>158413</v>
          </cell>
          <cell r="AB87">
            <v>147727</v>
          </cell>
          <cell r="AC87">
            <v>453237</v>
          </cell>
          <cell r="AD87">
            <v>148963</v>
          </cell>
          <cell r="AE87">
            <v>135980</v>
          </cell>
          <cell r="AF87">
            <v>143720</v>
          </cell>
          <cell r="AG87">
            <v>428663</v>
          </cell>
          <cell r="AH87">
            <v>139550</v>
          </cell>
          <cell r="AI87">
            <v>127284</v>
          </cell>
          <cell r="AJ87">
            <v>149986</v>
          </cell>
          <cell r="AK87">
            <v>416820</v>
          </cell>
          <cell r="AL87">
            <v>135592</v>
          </cell>
          <cell r="AM87">
            <v>138534</v>
          </cell>
          <cell r="AN87">
            <v>143004</v>
          </cell>
          <cell r="AO87">
            <v>417130</v>
          </cell>
          <cell r="AP87">
            <v>135177</v>
          </cell>
          <cell r="AQ87">
            <v>145116</v>
          </cell>
          <cell r="AR87">
            <v>126160</v>
          </cell>
          <cell r="AS87">
            <v>406453</v>
          </cell>
          <cell r="AT87">
            <v>128368</v>
          </cell>
          <cell r="AU87">
            <v>128123</v>
          </cell>
          <cell r="AV87">
            <v>131159</v>
          </cell>
          <cell r="AW87">
            <v>387650</v>
          </cell>
          <cell r="AX87">
            <v>127539</v>
          </cell>
          <cell r="AY87">
            <v>109446</v>
          </cell>
          <cell r="AZ87">
            <v>121886</v>
          </cell>
          <cell r="BA87">
            <v>358871</v>
          </cell>
          <cell r="BB87">
            <v>108325</v>
          </cell>
          <cell r="BC87">
            <v>112209</v>
          </cell>
          <cell r="BD87">
            <v>116077</v>
          </cell>
          <cell r="BE87">
            <v>336611</v>
          </cell>
        </row>
        <row r="88">
          <cell r="A88" t="str">
            <v>TOTAL TRx</v>
          </cell>
          <cell r="B88">
            <v>81433</v>
          </cell>
          <cell r="C88">
            <v>143083</v>
          </cell>
          <cell r="D88">
            <v>157649</v>
          </cell>
          <cell r="E88">
            <v>382165</v>
          </cell>
          <cell r="F88">
            <v>158566</v>
          </cell>
          <cell r="G88">
            <v>162297</v>
          </cell>
          <cell r="H88">
            <v>158415</v>
          </cell>
          <cell r="I88">
            <v>479278</v>
          </cell>
          <cell r="J88">
            <v>161996</v>
          </cell>
          <cell r="K88">
            <v>176193</v>
          </cell>
          <cell r="L88">
            <v>154587</v>
          </cell>
          <cell r="M88">
            <v>492776</v>
          </cell>
          <cell r="N88">
            <v>165242</v>
          </cell>
          <cell r="O88">
            <v>152974</v>
          </cell>
          <cell r="P88">
            <v>156140</v>
          </cell>
          <cell r="Q88">
            <v>474356</v>
          </cell>
          <cell r="R88">
            <v>157949</v>
          </cell>
          <cell r="S88">
            <v>132656</v>
          </cell>
          <cell r="T88">
            <v>148468</v>
          </cell>
          <cell r="U88">
            <v>439073</v>
          </cell>
          <cell r="V88">
            <v>142393</v>
          </cell>
          <cell r="W88">
            <v>146980</v>
          </cell>
          <cell r="X88">
            <v>146395</v>
          </cell>
          <cell r="Y88">
            <v>435768</v>
          </cell>
          <cell r="Z88">
            <v>147097</v>
          </cell>
          <cell r="AA88">
            <v>158413</v>
          </cell>
          <cell r="AB88">
            <v>147727</v>
          </cell>
          <cell r="AC88">
            <v>453237</v>
          </cell>
          <cell r="AD88">
            <v>148963</v>
          </cell>
          <cell r="AE88">
            <v>135980</v>
          </cell>
          <cell r="AF88">
            <v>143720</v>
          </cell>
          <cell r="AG88">
            <v>428663</v>
          </cell>
          <cell r="AH88">
            <v>139550</v>
          </cell>
          <cell r="AI88">
            <v>127284</v>
          </cell>
          <cell r="AJ88">
            <v>149986</v>
          </cell>
          <cell r="AK88">
            <v>416820</v>
          </cell>
          <cell r="AL88">
            <v>135592</v>
          </cell>
          <cell r="AM88">
            <v>138534</v>
          </cell>
          <cell r="AN88">
            <v>143004</v>
          </cell>
          <cell r="AO88">
            <v>417130</v>
          </cell>
          <cell r="AP88">
            <v>135177</v>
          </cell>
          <cell r="AQ88">
            <v>145116</v>
          </cell>
          <cell r="AR88">
            <v>126160</v>
          </cell>
          <cell r="AS88">
            <v>406453</v>
          </cell>
          <cell r="AT88">
            <v>128368</v>
          </cell>
          <cell r="AU88">
            <v>128123</v>
          </cell>
          <cell r="AV88">
            <v>131159</v>
          </cell>
          <cell r="AW88">
            <v>387650</v>
          </cell>
          <cell r="AX88">
            <v>127539</v>
          </cell>
          <cell r="AY88">
            <v>109446</v>
          </cell>
          <cell r="AZ88">
            <v>121886</v>
          </cell>
          <cell r="BA88">
            <v>358871</v>
          </cell>
          <cell r="BB88">
            <v>108325</v>
          </cell>
          <cell r="BC88">
            <v>112209</v>
          </cell>
          <cell r="BD88">
            <v>116077</v>
          </cell>
          <cell r="BE88">
            <v>336611</v>
          </cell>
        </row>
        <row r="89">
          <cell r="A89" t="str">
            <v xml:space="preserve">  % Change</v>
          </cell>
          <cell r="R89">
            <v>0.93961907334864248</v>
          </cell>
          <cell r="S89">
            <v>-7.2873786543474761E-2</v>
          </cell>
          <cell r="T89">
            <v>-5.8236969470152E-2</v>
          </cell>
          <cell r="U89">
            <v>0.14890950244004553</v>
          </cell>
          <cell r="V89">
            <v>-0.10199538362574578</v>
          </cell>
          <cell r="W89">
            <v>-9.4376359390500153E-2</v>
          </cell>
          <cell r="X89">
            <v>-7.5876653094719582E-2</v>
          </cell>
          <cell r="Y89">
            <v>-9.0782385171028102E-2</v>
          </cell>
          <cell r="Z89">
            <v>-9.1971406701400027E-2</v>
          </cell>
          <cell r="AA89">
            <v>-0.10091206801632302</v>
          </cell>
          <cell r="AB89">
            <v>-4.4376305898943591E-2</v>
          </cell>
          <cell r="AC89">
            <v>-8.0237268048768629E-2</v>
          </cell>
          <cell r="AD89">
            <v>-9.8516115757495082E-2</v>
          </cell>
          <cell r="AE89">
            <v>-0.111090773595513</v>
          </cell>
          <cell r="AF89">
            <v>-7.954399897527864E-2</v>
          </cell>
          <cell r="AG89">
            <v>-9.632638777626934E-2</v>
          </cell>
          <cell r="AH89">
            <v>-0.11648696731223374</v>
          </cell>
          <cell r="AI89">
            <v>-4.0495718248703461E-2</v>
          </cell>
          <cell r="AJ89">
            <v>1.0224425465420239E-2</v>
          </cell>
          <cell r="AK89">
            <v>-5.0681777289881214E-2</v>
          </cell>
          <cell r="AL89">
            <v>-4.7762179320612663E-2</v>
          </cell>
          <cell r="AM89">
            <v>-5.7463600489862543E-2</v>
          </cell>
          <cell r="AN89">
            <v>-2.3163359404351214E-2</v>
          </cell>
          <cell r="AO89">
            <v>-4.2770465018083015E-2</v>
          </cell>
          <cell r="AP89">
            <v>-8.1034963323521225E-2</v>
          </cell>
          <cell r="AQ89">
            <v>-8.3938818152550665E-2</v>
          </cell>
          <cell r="AR89">
            <v>-0.14599226952418987</v>
          </cell>
          <cell r="AS89">
            <v>-0.10322193466111551</v>
          </cell>
          <cell r="AT89">
            <v>-0.13825580848935637</v>
          </cell>
          <cell r="AU89">
            <v>-5.7780555964112357E-2</v>
          </cell>
          <cell r="AV89">
            <v>-8.7399109379348694E-2</v>
          </cell>
          <cell r="AW89">
            <v>-9.5676557108964388E-2</v>
          </cell>
          <cell r="AX89">
            <v>-8.6069509136510236E-2</v>
          </cell>
          <cell r="AY89">
            <v>-0.14014330159328747</v>
          </cell>
          <cell r="AZ89">
            <v>-0.18735081940981158</v>
          </cell>
          <cell r="BA89">
            <v>-0.13902643827071637</v>
          </cell>
          <cell r="BB89">
            <v>-0.20109593486341382</v>
          </cell>
          <cell r="BC89">
            <v>-0.19002555329377624</v>
          </cell>
          <cell r="BD89">
            <v>-0.18829543229560008</v>
          </cell>
          <cell r="BE89">
            <v>-0.19303094958406253</v>
          </cell>
        </row>
        <row r="90">
          <cell r="A90" t="str">
            <v>TOTAL REPORTED SALES</v>
          </cell>
          <cell r="E90">
            <v>24.34789</v>
          </cell>
          <cell r="I90">
            <v>19.400560000000013</v>
          </cell>
          <cell r="M90">
            <v>21.73565</v>
          </cell>
          <cell r="Q90">
            <v>19.639620000000001</v>
          </cell>
          <cell r="U90">
            <v>15.643750000000001</v>
          </cell>
          <cell r="Y90">
            <v>24.668850000000006</v>
          </cell>
          <cell r="AC90">
            <v>22.15325</v>
          </cell>
          <cell r="AG90">
            <v>25.427879999999998</v>
          </cell>
          <cell r="AK90">
            <v>20.45975</v>
          </cell>
          <cell r="AO90">
            <v>24.594025000000002</v>
          </cell>
          <cell r="AS90">
            <v>28</v>
          </cell>
          <cell r="AW90">
            <v>31.675707000000003</v>
          </cell>
          <cell r="BA90">
            <v>23.987376000000001</v>
          </cell>
          <cell r="BE90">
            <v>22</v>
          </cell>
        </row>
        <row r="91">
          <cell r="A91" t="str">
            <v>TOTAL REPORTED SALES</v>
          </cell>
          <cell r="E91">
            <v>24.34789</v>
          </cell>
          <cell r="I91">
            <v>19.400560000000013</v>
          </cell>
          <cell r="M91">
            <v>21.73565</v>
          </cell>
          <cell r="Q91">
            <v>19.639620000000001</v>
          </cell>
          <cell r="U91">
            <v>15.643750000000001</v>
          </cell>
          <cell r="Y91">
            <v>24.668850000000006</v>
          </cell>
          <cell r="AC91">
            <v>22.15325</v>
          </cell>
          <cell r="AG91">
            <v>25.427879999999998</v>
          </cell>
          <cell r="AK91">
            <v>20.45975</v>
          </cell>
          <cell r="AO91">
            <v>24.594025000000002</v>
          </cell>
          <cell r="AS91">
            <v>28</v>
          </cell>
          <cell r="AW91">
            <v>31.675707000000003</v>
          </cell>
          <cell r="BA91">
            <v>23.987376000000001</v>
          </cell>
          <cell r="BE91">
            <v>27.544</v>
          </cell>
        </row>
        <row r="92">
          <cell r="A92" t="str">
            <v xml:space="preserve">  % Change</v>
          </cell>
          <cell r="U92">
            <v>-0.35749052587308383</v>
          </cell>
          <cell r="Y92">
            <v>0.27155350154840829</v>
          </cell>
          <cell r="AC92">
            <v>1.9212675949419555E-2</v>
          </cell>
          <cell r="AG92">
            <v>0.29472362499885429</v>
          </cell>
          <cell r="AK92">
            <v>0.30785457451058718</v>
          </cell>
          <cell r="AO92">
            <v>-3.0331774687512025E-3</v>
          </cell>
          <cell r="AS92">
            <v>0.26392290070305702</v>
          </cell>
          <cell r="AW92">
            <v>0.24570774283974939</v>
          </cell>
          <cell r="BA92">
            <v>0.17241784479282507</v>
          </cell>
          <cell r="BE92">
            <v>0.11994681635071935</v>
          </cell>
        </row>
        <row r="93">
          <cell r="A93" t="str">
            <v>TOTAL IMS SALES</v>
          </cell>
          <cell r="B93">
            <v>8.7674959999999995</v>
          </cell>
          <cell r="C93">
            <v>8.4584489999999999</v>
          </cell>
          <cell r="D93">
            <v>10.529534999999999</v>
          </cell>
          <cell r="E93">
            <v>27.755479999999999</v>
          </cell>
          <cell r="F93">
            <v>8.1769750000000005</v>
          </cell>
          <cell r="G93">
            <v>8.5749119999999994</v>
          </cell>
          <cell r="H93">
            <v>10.885130999999998</v>
          </cell>
          <cell r="I93">
            <v>27.637017999999998</v>
          </cell>
          <cell r="J93">
            <v>8.780880999999999</v>
          </cell>
          <cell r="K93">
            <v>8.8792450000000009</v>
          </cell>
          <cell r="L93">
            <v>10.480414000000001</v>
          </cell>
          <cell r="M93">
            <v>28.140540000000001</v>
          </cell>
          <cell r="N93">
            <v>8.653689</v>
          </cell>
          <cell r="O93">
            <v>8.935511</v>
          </cell>
          <cell r="P93">
            <v>11.142989</v>
          </cell>
          <cell r="Q93">
            <v>28.732188999999998</v>
          </cell>
          <cell r="R93">
            <v>9.1000510000000006</v>
          </cell>
          <cell r="S93">
            <v>8.9254230000000003</v>
          </cell>
          <cell r="T93">
            <v>11.293723</v>
          </cell>
          <cell r="U93">
            <v>29.319197000000003</v>
          </cell>
          <cell r="V93">
            <v>8.6511110000000002</v>
          </cell>
          <cell r="W93">
            <v>8.8122810000000005</v>
          </cell>
          <cell r="X93">
            <v>12.724515999999999</v>
          </cell>
          <cell r="Y93">
            <v>30.187908</v>
          </cell>
          <cell r="Z93">
            <v>9.5251199999999994</v>
          </cell>
          <cell r="AA93">
            <v>11.129650999999999</v>
          </cell>
          <cell r="AB93">
            <v>13.150539</v>
          </cell>
          <cell r="AC93">
            <v>33.805309999999999</v>
          </cell>
          <cell r="AD93">
            <v>10.684535</v>
          </cell>
          <cell r="AE93">
            <v>10.602977999999998</v>
          </cell>
          <cell r="AF93">
            <v>12.860303</v>
          </cell>
          <cell r="AG93">
            <v>34.147815999999999</v>
          </cell>
          <cell r="AH93">
            <v>11.022324000000003</v>
          </cell>
          <cell r="AI93">
            <v>10.719499000000001</v>
          </cell>
          <cell r="AJ93">
            <v>14.216618000000002</v>
          </cell>
          <cell r="AK93">
            <v>35.958441000000008</v>
          </cell>
          <cell r="AL93">
            <v>11.301871000000002</v>
          </cell>
          <cell r="AM93">
            <v>11.961425999999999</v>
          </cell>
          <cell r="AN93">
            <v>14.783902999999999</v>
          </cell>
          <cell r="AO93">
            <v>38.047200000000004</v>
          </cell>
          <cell r="AP93">
            <v>11.648417999999999</v>
          </cell>
          <cell r="AQ93">
            <v>12.976051</v>
          </cell>
          <cell r="AR93">
            <v>14.903924</v>
          </cell>
          <cell r="AS93">
            <v>39.528392999999994</v>
          </cell>
          <cell r="AT93">
            <v>13.142254999999999</v>
          </cell>
          <cell r="AU93">
            <v>12.675071000000001</v>
          </cell>
          <cell r="AV93">
            <v>15.789082999999998</v>
          </cell>
          <cell r="AW93">
            <v>41.606408999999999</v>
          </cell>
          <cell r="AX93">
            <v>12.969980000000001</v>
          </cell>
          <cell r="AY93">
            <v>12.670332999999999</v>
          </cell>
          <cell r="AZ93">
            <v>15.215812000000001</v>
          </cell>
          <cell r="BA93">
            <v>40.856124999999999</v>
          </cell>
          <cell r="BB93">
            <v>11.180975999999999</v>
          </cell>
          <cell r="BC93">
            <v>12.29565</v>
          </cell>
        </row>
        <row r="94">
          <cell r="A94" t="str">
            <v>TOTAL IMS SALES</v>
          </cell>
          <cell r="B94">
            <v>8.7674959999999995</v>
          </cell>
          <cell r="C94">
            <v>8.4584489999999999</v>
          </cell>
          <cell r="D94">
            <v>10.529534999999999</v>
          </cell>
          <cell r="E94">
            <v>27.755479999999999</v>
          </cell>
          <cell r="F94">
            <v>8.1769750000000005</v>
          </cell>
          <cell r="G94">
            <v>8.5749119999999994</v>
          </cell>
          <cell r="H94">
            <v>10.885130999999998</v>
          </cell>
          <cell r="I94">
            <v>27.637017999999998</v>
          </cell>
          <cell r="J94">
            <v>8.780880999999999</v>
          </cell>
          <cell r="K94">
            <v>8.8792450000000009</v>
          </cell>
          <cell r="L94">
            <v>10.480414000000001</v>
          </cell>
          <cell r="M94">
            <v>28.140540000000001</v>
          </cell>
          <cell r="N94">
            <v>8.653689</v>
          </cell>
          <cell r="O94">
            <v>8.935511</v>
          </cell>
          <cell r="P94">
            <v>11.142989</v>
          </cell>
          <cell r="Q94">
            <v>28.732188999999998</v>
          </cell>
          <cell r="R94">
            <v>9.1000510000000006</v>
          </cell>
          <cell r="S94">
            <v>8.9254230000000003</v>
          </cell>
          <cell r="T94">
            <v>11.293723</v>
          </cell>
          <cell r="U94">
            <v>29.319197000000003</v>
          </cell>
          <cell r="V94">
            <v>8.6511110000000002</v>
          </cell>
          <cell r="W94">
            <v>8.8122810000000005</v>
          </cell>
          <cell r="X94">
            <v>12.724515999999999</v>
          </cell>
          <cell r="Y94">
            <v>30.187908</v>
          </cell>
          <cell r="Z94">
            <v>9.5251199999999994</v>
          </cell>
          <cell r="AA94">
            <v>11.129650999999999</v>
          </cell>
          <cell r="AB94">
            <v>13.150539</v>
          </cell>
          <cell r="AC94">
            <v>33.805309999999999</v>
          </cell>
          <cell r="AD94">
            <v>10.684535</v>
          </cell>
          <cell r="AE94">
            <v>10.602977999999998</v>
          </cell>
          <cell r="AF94">
            <v>12.860303</v>
          </cell>
          <cell r="AG94">
            <v>34.147815999999999</v>
          </cell>
          <cell r="AH94">
            <v>11.022324000000003</v>
          </cell>
          <cell r="AI94">
            <v>10.719499000000001</v>
          </cell>
          <cell r="AJ94">
            <v>14.216618000000002</v>
          </cell>
          <cell r="AK94">
            <v>35.958441000000008</v>
          </cell>
          <cell r="AL94">
            <v>11.301871000000002</v>
          </cell>
          <cell r="AM94">
            <v>11.961425999999999</v>
          </cell>
          <cell r="AN94">
            <v>14.783902999999999</v>
          </cell>
          <cell r="AO94">
            <v>38.047200000000004</v>
          </cell>
          <cell r="AP94">
            <v>11.648417999999999</v>
          </cell>
          <cell r="AQ94">
            <v>12.976051</v>
          </cell>
          <cell r="AR94">
            <v>14.903924</v>
          </cell>
          <cell r="AS94">
            <v>39.528392999999994</v>
          </cell>
          <cell r="AT94">
            <v>13.142254999999999</v>
          </cell>
          <cell r="AU94">
            <v>12.675071000000001</v>
          </cell>
          <cell r="AV94">
            <v>15.789082999999998</v>
          </cell>
          <cell r="AW94">
            <v>41.606408999999999</v>
          </cell>
          <cell r="AX94">
            <v>12.969980000000001</v>
          </cell>
          <cell r="AY94">
            <v>12.670332999999999</v>
          </cell>
          <cell r="AZ94">
            <v>15.215812000000001</v>
          </cell>
          <cell r="BA94">
            <v>40.856124999999999</v>
          </cell>
          <cell r="BB94">
            <v>11.180975999999999</v>
          </cell>
          <cell r="BC94">
            <v>12.29565</v>
          </cell>
          <cell r="BD94">
            <v>15.303018000000002</v>
          </cell>
          <cell r="BE94">
            <v>38.779644000000005</v>
          </cell>
        </row>
        <row r="95">
          <cell r="A95" t="str">
            <v xml:space="preserve">  % Change</v>
          </cell>
          <cell r="R95">
            <v>3.7930442169577416E-2</v>
          </cell>
          <cell r="S95">
            <v>5.5207993805956646E-2</v>
          </cell>
          <cell r="T95">
            <v>7.257566454738984E-2</v>
          </cell>
          <cell r="U95">
            <v>5.6339036471356518E-2</v>
          </cell>
          <cell r="V95">
            <v>5.7984279027390784E-2</v>
          </cell>
          <cell r="W95">
            <v>2.7681800116432731E-2</v>
          </cell>
          <cell r="X95">
            <v>0.16898142980548436</v>
          </cell>
          <cell r="Y95">
            <v>9.2299755349871893E-2</v>
          </cell>
          <cell r="Z95">
            <v>8.4756757323097842E-2</v>
          </cell>
          <cell r="AA95">
            <v>0.25344564768738764</v>
          </cell>
          <cell r="AB95">
            <v>0.25477285534712646</v>
          </cell>
          <cell r="AC95">
            <v>0.20130281792744542</v>
          </cell>
          <cell r="AD95">
            <v>0.23467979956293794</v>
          </cell>
          <cell r="AE95">
            <v>0.18661126375424963</v>
          </cell>
          <cell r="AF95">
            <v>0.15411609936974724</v>
          </cell>
          <cell r="AG95">
            <v>0.18848640456875732</v>
          </cell>
          <cell r="AH95">
            <v>0.21123760734967334</v>
          </cell>
          <cell r="AI95">
            <v>0.20100739203060747</v>
          </cell>
          <cell r="AJ95">
            <v>0.25880703821051765</v>
          </cell>
          <cell r="AK95">
            <v>0.22644699307419658</v>
          </cell>
          <cell r="AL95">
            <v>0.30640688808639749</v>
          </cell>
          <cell r="AM95">
            <v>0.35735866797711036</v>
          </cell>
          <cell r="AN95">
            <v>0.16184403398919067</v>
          </cell>
          <cell r="AO95">
            <v>0.26034569868173718</v>
          </cell>
          <cell r="AP95">
            <v>0.22291561681112682</v>
          </cell>
          <cell r="AQ95">
            <v>0.1658991822834337</v>
          </cell>
          <cell r="AR95">
            <v>0.1333317972746213</v>
          </cell>
          <cell r="AS95">
            <v>0.16929538584322978</v>
          </cell>
          <cell r="AT95">
            <v>0.2300259206413755</v>
          </cell>
          <cell r="AU95">
            <v>0.19542556817528078</v>
          </cell>
          <cell r="AV95">
            <v>0.22773802452399439</v>
          </cell>
          <cell r="AW95">
            <v>0.21842079153759064</v>
          </cell>
          <cell r="AX95">
            <v>0.17670102965581469</v>
          </cell>
          <cell r="AY95">
            <v>0.18198928886508581</v>
          </cell>
          <cell r="AZ95">
            <v>7.0283523127652403E-2</v>
          </cell>
          <cell r="BA95">
            <v>0.13620401396156168</v>
          </cell>
          <cell r="BB95">
            <v>-1.069690142455193E-2</v>
          </cell>
          <cell r="BC95">
            <v>2.7941818977101907E-2</v>
          </cell>
          <cell r="BD95">
            <v>3.5113528545202444E-2</v>
          </cell>
          <cell r="BE95">
            <v>1.9250930423263757E-2</v>
          </cell>
        </row>
        <row r="96">
          <cell r="A96" t="str">
            <v>REPORTED SALES/TRx</v>
          </cell>
          <cell r="E96">
            <v>63.710413041487314</v>
          </cell>
          <cell r="I96">
            <v>40.478720074779169</v>
          </cell>
          <cell r="M96">
            <v>44.108580775037744</v>
          </cell>
          <cell r="Q96">
            <v>41.402701768292168</v>
          </cell>
          <cell r="U96">
            <v>35.62904118449552</v>
          </cell>
          <cell r="Y96">
            <v>56.610053973674084</v>
          </cell>
          <cell r="AC96">
            <v>48.877849778372024</v>
          </cell>
          <cell r="AG96">
            <v>59.319045497278751</v>
          </cell>
          <cell r="AK96">
            <v>49.08533659613262</v>
          </cell>
          <cell r="AO96">
            <v>58.960096372833419</v>
          </cell>
          <cell r="AS96">
            <v>68.888653792689439</v>
          </cell>
          <cell r="AW96">
            <v>81.712129498258747</v>
          </cell>
          <cell r="BA96">
            <v>66.841221497418289</v>
          </cell>
          <cell r="BE96">
            <v>65.357341263357412</v>
          </cell>
        </row>
        <row r="97">
          <cell r="A97" t="str">
            <v>REPORTED SALES/TRx</v>
          </cell>
          <cell r="E97">
            <v>63.710413041487314</v>
          </cell>
          <cell r="I97">
            <v>40.478720074779169</v>
          </cell>
          <cell r="M97">
            <v>44.108580775037744</v>
          </cell>
          <cell r="Q97">
            <v>41.402701768292168</v>
          </cell>
          <cell r="U97">
            <v>35.62904118449552</v>
          </cell>
          <cell r="Y97">
            <v>56.610053973674084</v>
          </cell>
          <cell r="AC97">
            <v>48.877849778372024</v>
          </cell>
          <cell r="AG97">
            <v>59.319045497278751</v>
          </cell>
          <cell r="AK97">
            <v>49.08533659613262</v>
          </cell>
          <cell r="AO97">
            <v>58.960096372833419</v>
          </cell>
          <cell r="AS97">
            <v>68.888653792689439</v>
          </cell>
          <cell r="AW97">
            <v>81.712129498258747</v>
          </cell>
          <cell r="BA97">
            <v>66.841221497418289</v>
          </cell>
          <cell r="BE97">
            <v>81.827391261723477</v>
          </cell>
        </row>
        <row r="98">
          <cell r="A98" t="str">
            <v>IMS SALES/REPORTED SALES</v>
          </cell>
          <cell r="E98">
            <v>1.1399542219058818</v>
          </cell>
          <cell r="I98">
            <v>1.4245474357441217</v>
          </cell>
          <cell r="M98">
            <v>1.2946721170059328</v>
          </cell>
          <cell r="Q98">
            <v>1.4629707193927375</v>
          </cell>
          <cell r="U98">
            <v>1.8741795924890132</v>
          </cell>
          <cell r="Y98">
            <v>1.223725791838695</v>
          </cell>
          <cell r="AC98">
            <v>1.5259751955130736</v>
          </cell>
          <cell r="AG98">
            <v>1.3429281560240178</v>
          </cell>
          <cell r="AK98">
            <v>1.7575210352032653</v>
          </cell>
          <cell r="AO98">
            <v>1.5470098936631966</v>
          </cell>
          <cell r="AS98">
            <v>1.4117283214285712</v>
          </cell>
          <cell r="AW98">
            <v>1.3135116131740958</v>
          </cell>
          <cell r="BA98">
            <v>1.7032344429836759</v>
          </cell>
          <cell r="BE98">
            <v>1.4079162067963986</v>
          </cell>
        </row>
        <row r="99">
          <cell r="A99" t="str">
            <v>Non-Acne Derm Products</v>
          </cell>
          <cell r="BE99">
            <v>-0.19303094958406253</v>
          </cell>
        </row>
        <row r="100">
          <cell r="A100" t="str">
            <v>Non-Acne Derm Products</v>
          </cell>
          <cell r="BE100">
            <v>19.846617000155828</v>
          </cell>
        </row>
        <row r="101">
          <cell r="A101" t="str">
            <v>Loprox shampoo</v>
          </cell>
          <cell r="T101">
            <v>38</v>
          </cell>
          <cell r="U101">
            <v>38</v>
          </cell>
          <cell r="V101">
            <v>5307</v>
          </cell>
          <cell r="W101">
            <v>13795</v>
          </cell>
          <cell r="X101">
            <v>17570</v>
          </cell>
          <cell r="Y101">
            <v>36672</v>
          </cell>
          <cell r="Z101">
            <v>19272</v>
          </cell>
          <cell r="AA101">
            <v>19793</v>
          </cell>
          <cell r="AB101">
            <v>21831</v>
          </cell>
          <cell r="AC101">
            <v>60896</v>
          </cell>
          <cell r="AD101">
            <v>25464</v>
          </cell>
          <cell r="AE101">
            <v>26101</v>
          </cell>
          <cell r="AF101">
            <v>29341</v>
          </cell>
          <cell r="AG101">
            <v>80906</v>
          </cell>
          <cell r="AH101">
            <v>29372</v>
          </cell>
          <cell r="AI101">
            <v>29578</v>
          </cell>
          <cell r="AJ101">
            <v>34526</v>
          </cell>
          <cell r="AK101">
            <v>93476</v>
          </cell>
          <cell r="AL101">
            <v>32908</v>
          </cell>
          <cell r="AM101">
            <v>32656</v>
          </cell>
          <cell r="AN101">
            <v>33714</v>
          </cell>
          <cell r="AO101">
            <v>99278</v>
          </cell>
          <cell r="AP101">
            <v>32763</v>
          </cell>
          <cell r="AQ101">
            <v>33732</v>
          </cell>
          <cell r="AR101">
            <v>32195</v>
          </cell>
          <cell r="AS101">
            <v>98690</v>
          </cell>
          <cell r="AT101">
            <v>33729</v>
          </cell>
          <cell r="AU101">
            <v>34779</v>
          </cell>
          <cell r="AV101">
            <v>36654</v>
          </cell>
          <cell r="AW101">
            <v>105162</v>
          </cell>
          <cell r="AX101">
            <v>36678</v>
          </cell>
          <cell r="AY101">
            <v>33565</v>
          </cell>
          <cell r="AZ101">
            <v>38069</v>
          </cell>
          <cell r="BA101">
            <v>108312</v>
          </cell>
          <cell r="BB101">
            <v>35575</v>
          </cell>
          <cell r="BC101">
            <v>35081</v>
          </cell>
          <cell r="BD101">
            <v>35489</v>
          </cell>
          <cell r="BE101">
            <v>106145</v>
          </cell>
        </row>
        <row r="102">
          <cell r="A102" t="str">
            <v>TRx</v>
          </cell>
          <cell r="T102">
            <v>38</v>
          </cell>
          <cell r="U102">
            <v>38</v>
          </cell>
          <cell r="V102">
            <v>5307</v>
          </cell>
          <cell r="W102">
            <v>13795</v>
          </cell>
          <cell r="X102">
            <v>17570</v>
          </cell>
          <cell r="Y102">
            <v>36672</v>
          </cell>
          <cell r="Z102">
            <v>19272</v>
          </cell>
          <cell r="AA102">
            <v>19793</v>
          </cell>
          <cell r="AB102">
            <v>21831</v>
          </cell>
          <cell r="AC102">
            <v>60896</v>
          </cell>
          <cell r="AD102">
            <v>25464</v>
          </cell>
          <cell r="AE102">
            <v>26101</v>
          </cell>
          <cell r="AF102">
            <v>29341</v>
          </cell>
          <cell r="AG102">
            <v>80906</v>
          </cell>
          <cell r="AH102">
            <v>29372</v>
          </cell>
          <cell r="AI102">
            <v>29578</v>
          </cell>
          <cell r="AJ102">
            <v>34526</v>
          </cell>
          <cell r="AK102">
            <v>93476</v>
          </cell>
          <cell r="AL102">
            <v>32908</v>
          </cell>
          <cell r="AM102">
            <v>32656</v>
          </cell>
          <cell r="AN102">
            <v>33714</v>
          </cell>
          <cell r="AO102">
            <v>99278</v>
          </cell>
          <cell r="AP102">
            <v>32763</v>
          </cell>
          <cell r="AQ102">
            <v>33732</v>
          </cell>
          <cell r="AR102">
            <v>32195</v>
          </cell>
          <cell r="AS102">
            <v>98690</v>
          </cell>
          <cell r="AT102">
            <v>33729</v>
          </cell>
          <cell r="AU102">
            <v>34779</v>
          </cell>
          <cell r="AV102">
            <v>36654</v>
          </cell>
          <cell r="AW102">
            <v>105162</v>
          </cell>
          <cell r="AX102">
            <v>36678</v>
          </cell>
          <cell r="AY102">
            <v>33565</v>
          </cell>
          <cell r="AZ102">
            <v>38069</v>
          </cell>
          <cell r="BA102">
            <v>108312</v>
          </cell>
          <cell r="BB102">
            <v>35575</v>
          </cell>
          <cell r="BC102">
            <v>35081</v>
          </cell>
          <cell r="BD102">
            <v>35489</v>
          </cell>
          <cell r="BE102">
            <v>106145</v>
          </cell>
        </row>
        <row r="103">
          <cell r="A103" t="str">
            <v xml:space="preserve">  % Change</v>
          </cell>
          <cell r="T103">
            <v>36</v>
          </cell>
          <cell r="U103">
            <v>36</v>
          </cell>
          <cell r="V103">
            <v>5229</v>
          </cell>
          <cell r="W103">
            <v>13139</v>
          </cell>
          <cell r="X103">
            <v>15934</v>
          </cell>
          <cell r="Y103">
            <v>34302</v>
          </cell>
          <cell r="Z103">
            <v>16336</v>
          </cell>
          <cell r="AA103">
            <v>15856</v>
          </cell>
          <cell r="AB103">
            <v>17168</v>
          </cell>
          <cell r="AC103">
            <v>49360</v>
          </cell>
          <cell r="AD103">
            <v>19688</v>
          </cell>
          <cell r="AE103">
            <v>19470</v>
          </cell>
          <cell r="AF103">
            <v>20559</v>
          </cell>
          <cell r="AG103">
            <v>59717</v>
          </cell>
          <cell r="AH103">
            <v>20837</v>
          </cell>
          <cell r="AI103">
            <v>20916</v>
          </cell>
          <cell r="AJ103">
            <v>23947</v>
          </cell>
          <cell r="AK103">
            <v>65700</v>
          </cell>
          <cell r="AL103">
            <v>5.2008667797248913</v>
          </cell>
          <cell r="AM103">
            <v>1.3672345052555275</v>
          </cell>
          <cell r="AN103">
            <v>0.9188389299943085</v>
          </cell>
          <cell r="AO103">
            <v>1.7071880453752182</v>
          </cell>
          <cell r="AP103">
            <v>0.7000311332503113</v>
          </cell>
          <cell r="AQ103">
            <v>0.70423887232860105</v>
          </cell>
          <cell r="AR103">
            <v>0.47473775823370445</v>
          </cell>
          <cell r="AS103">
            <v>0.62063189700472932</v>
          </cell>
          <cell r="AT103">
            <v>0.32457587181903857</v>
          </cell>
          <cell r="AU103">
            <v>0.33247768284740054</v>
          </cell>
          <cell r="AV103">
            <v>0.2492416754711837</v>
          </cell>
          <cell r="AW103">
            <v>0.29980471164066946</v>
          </cell>
          <cell r="AX103">
            <v>0.24874029688138366</v>
          </cell>
          <cell r="AY103">
            <v>0.13479613226046383</v>
          </cell>
          <cell r="AZ103">
            <v>0.10261831663094489</v>
          </cell>
          <cell r="BA103">
            <v>0.15871453635157695</v>
          </cell>
          <cell r="BB103">
            <v>8.104412300960262E-2</v>
          </cell>
          <cell r="BC103">
            <v>7.4258941695247493E-2</v>
          </cell>
          <cell r="BD103">
            <v>5.2648751260603976E-2</v>
          </cell>
          <cell r="BE103">
            <v>6.9169403090312054E-2</v>
          </cell>
        </row>
        <row r="104">
          <cell r="A104" t="str">
            <v>NRx</v>
          </cell>
          <cell r="T104">
            <v>36</v>
          </cell>
          <cell r="U104">
            <v>36</v>
          </cell>
          <cell r="V104">
            <v>5229</v>
          </cell>
          <cell r="W104">
            <v>13139</v>
          </cell>
          <cell r="X104">
            <v>15934</v>
          </cell>
          <cell r="Y104">
            <v>34302</v>
          </cell>
          <cell r="Z104">
            <v>16336</v>
          </cell>
          <cell r="AA104">
            <v>15856</v>
          </cell>
          <cell r="AB104">
            <v>17168</v>
          </cell>
          <cell r="AC104">
            <v>49360</v>
          </cell>
          <cell r="AD104">
            <v>19688</v>
          </cell>
          <cell r="AE104">
            <v>19470</v>
          </cell>
          <cell r="AF104">
            <v>20559</v>
          </cell>
          <cell r="AG104">
            <v>59717</v>
          </cell>
          <cell r="AH104">
            <v>20837</v>
          </cell>
          <cell r="AI104">
            <v>20916</v>
          </cell>
          <cell r="AJ104">
            <v>23947</v>
          </cell>
          <cell r="AK104">
            <v>65700</v>
          </cell>
          <cell r="AL104">
            <v>22143</v>
          </cell>
          <cell r="AM104">
            <v>21372</v>
          </cell>
          <cell r="AN104">
            <v>21921</v>
          </cell>
          <cell r="AO104">
            <v>65436</v>
          </cell>
          <cell r="AP104">
            <v>21242</v>
          </cell>
          <cell r="AQ104">
            <v>21868</v>
          </cell>
          <cell r="AR104">
            <v>20734</v>
          </cell>
          <cell r="AS104">
            <v>63844</v>
          </cell>
          <cell r="AT104">
            <v>22355</v>
          </cell>
          <cell r="AU104">
            <v>23176</v>
          </cell>
          <cell r="AV104">
            <v>23873</v>
          </cell>
          <cell r="AW104">
            <v>69404</v>
          </cell>
          <cell r="AX104">
            <v>24266</v>
          </cell>
          <cell r="AY104">
            <v>22614</v>
          </cell>
          <cell r="AZ104">
            <v>25402</v>
          </cell>
          <cell r="BA104">
            <v>72282</v>
          </cell>
          <cell r="BB104">
            <v>23109</v>
          </cell>
          <cell r="BC104">
            <v>22331</v>
          </cell>
          <cell r="BD104">
            <v>22775</v>
          </cell>
          <cell r="BE104">
            <v>68215</v>
          </cell>
        </row>
        <row r="105">
          <cell r="A105" t="str">
            <v xml:space="preserve">  % Change</v>
          </cell>
          <cell r="T105">
            <v>0.27726499999999998</v>
          </cell>
          <cell r="U105">
            <v>0.27726499999999998</v>
          </cell>
          <cell r="V105">
            <v>0.52439899999999995</v>
          </cell>
          <cell r="W105">
            <v>0.66990300000000003</v>
          </cell>
          <cell r="X105">
            <v>1.034913</v>
          </cell>
          <cell r="Y105">
            <v>2.2292149999999999</v>
          </cell>
          <cell r="Z105">
            <v>0.94972900000000005</v>
          </cell>
          <cell r="AA105">
            <v>0.88964100000000002</v>
          </cell>
          <cell r="AB105">
            <v>1.1622600000000001</v>
          </cell>
          <cell r="AC105">
            <v>3.0016300000000005</v>
          </cell>
          <cell r="AD105">
            <v>1.069002</v>
          </cell>
          <cell r="AE105">
            <v>1.2101770000000001</v>
          </cell>
          <cell r="AF105">
            <v>1.490294</v>
          </cell>
          <cell r="AG105">
            <v>3.7694730000000001</v>
          </cell>
          <cell r="AH105">
            <v>1.2989170000000001</v>
          </cell>
          <cell r="AI105">
            <v>1.37625</v>
          </cell>
          <cell r="AJ105">
            <v>1.877081</v>
          </cell>
          <cell r="AK105">
            <v>4.5522480000000005</v>
          </cell>
          <cell r="AL105">
            <v>3.2346528973034996</v>
          </cell>
          <cell r="AM105">
            <v>0.62660780881345612</v>
          </cell>
          <cell r="AN105">
            <v>0.37573741684448358</v>
          </cell>
          <cell r="AO105">
            <v>0.90764386916214801</v>
          </cell>
          <cell r="AP105">
            <v>0.3003183153770812</v>
          </cell>
          <cell r="AQ105">
            <v>0.37916246215943494</v>
          </cell>
          <cell r="AR105">
            <v>0.20771202236719488</v>
          </cell>
          <cell r="AS105">
            <v>0.29343598055105358</v>
          </cell>
          <cell r="AT105">
            <v>0.1354632263307598</v>
          </cell>
          <cell r="AU105">
            <v>0.19034411915767846</v>
          </cell>
          <cell r="AV105">
            <v>0.16119461063281282</v>
          </cell>
          <cell r="AW105">
            <v>0.16221511462397653</v>
          </cell>
          <cell r="AX105">
            <v>0.16456303690550467</v>
          </cell>
          <cell r="AY105">
            <v>8.1181870338496775E-2</v>
          </cell>
          <cell r="AZ105">
            <v>6.0759176514803448E-2</v>
          </cell>
          <cell r="BA105">
            <v>0.10018264840182645</v>
          </cell>
          <cell r="BB105">
            <v>4.3625524996612874E-2</v>
          </cell>
          <cell r="BC105">
            <v>4.4871794871794934E-2</v>
          </cell>
          <cell r="BD105">
            <v>3.8958076730076119E-2</v>
          </cell>
          <cell r="BE105">
            <v>4.2468977321352241E-2</v>
          </cell>
        </row>
        <row r="106">
          <cell r="A106" t="str">
            <v>Sales (IMS)</v>
          </cell>
          <cell r="T106">
            <v>0.27726499999999998</v>
          </cell>
          <cell r="U106">
            <v>0.27726499999999998</v>
          </cell>
          <cell r="V106">
            <v>0.52439899999999995</v>
          </cell>
          <cell r="W106">
            <v>0.66990300000000003</v>
          </cell>
          <cell r="X106">
            <v>1.034913</v>
          </cell>
          <cell r="Y106">
            <v>2.2292149999999999</v>
          </cell>
          <cell r="Z106">
            <v>0.94972900000000005</v>
          </cell>
          <cell r="AA106">
            <v>0.88964100000000002</v>
          </cell>
          <cell r="AB106">
            <v>1.1622600000000001</v>
          </cell>
          <cell r="AC106">
            <v>3.0016300000000005</v>
          </cell>
          <cell r="AD106">
            <v>1.069002</v>
          </cell>
          <cell r="AE106">
            <v>1.2101770000000001</v>
          </cell>
          <cell r="AF106">
            <v>1.490294</v>
          </cell>
          <cell r="AG106">
            <v>3.7694730000000001</v>
          </cell>
          <cell r="AH106">
            <v>1.2989170000000001</v>
          </cell>
          <cell r="AI106">
            <v>1.37625</v>
          </cell>
          <cell r="AJ106">
            <v>1.877081</v>
          </cell>
          <cell r="AK106">
            <v>4.5522480000000005</v>
          </cell>
          <cell r="AL106">
            <v>1.5443260000000001</v>
          </cell>
          <cell r="AM106">
            <v>1.6202019999999999</v>
          </cell>
          <cell r="AN106">
            <v>1.9492339999999999</v>
          </cell>
          <cell r="AO106">
            <v>5.1137619999999995</v>
          </cell>
          <cell r="AP106">
            <v>1.51474</v>
          </cell>
          <cell r="AQ106">
            <v>1.5645089999999999</v>
          </cell>
          <cell r="AR106">
            <v>1.935727</v>
          </cell>
          <cell r="AS106">
            <v>5.0149759999999999</v>
          </cell>
          <cell r="AT106">
            <v>1.6135409999999999</v>
          </cell>
          <cell r="AU106">
            <v>1.702278</v>
          </cell>
          <cell r="AV106">
            <v>2.1047340000000001</v>
          </cell>
          <cell r="AW106">
            <v>5.420553</v>
          </cell>
          <cell r="AX106">
            <v>1.705144</v>
          </cell>
          <cell r="AY106">
            <v>1.8154999999999999</v>
          </cell>
          <cell r="AZ106">
            <v>2.2957809999999998</v>
          </cell>
          <cell r="BA106">
            <v>5.8164249999999997</v>
          </cell>
          <cell r="BB106">
            <v>1.81589</v>
          </cell>
          <cell r="BC106">
            <v>1.8657170000000001</v>
          </cell>
          <cell r="BD106">
            <v>2.2626780000000002</v>
          </cell>
          <cell r="BE106">
            <v>5.9442850000000007</v>
          </cell>
        </row>
        <row r="107">
          <cell r="A107" t="str">
            <v xml:space="preserve">  % Change</v>
          </cell>
          <cell r="AK107">
            <v>0</v>
          </cell>
          <cell r="AL107">
            <v>1.9449445937158543</v>
          </cell>
          <cell r="AM107">
            <v>1.4185620903324807</v>
          </cell>
          <cell r="AN107">
            <v>0.88347619558359014</v>
          </cell>
          <cell r="AO107">
            <v>1.2939743362573819</v>
          </cell>
          <cell r="AP107">
            <v>0.59491812927687793</v>
          </cell>
          <cell r="AQ107">
            <v>0.75858464256930591</v>
          </cell>
          <cell r="AR107">
            <v>0.66548534751260457</v>
          </cell>
          <cell r="AS107">
            <v>0.670750892015338</v>
          </cell>
          <cell r="AT107">
            <v>0.50939006662288744</v>
          </cell>
          <cell r="AU107">
            <v>0.40663555826957531</v>
          </cell>
          <cell r="AV107">
            <v>0.41229448685963987</v>
          </cell>
          <cell r="AW107">
            <v>0.43801348358245296</v>
          </cell>
          <cell r="AX107">
            <v>0.3127428465406179</v>
          </cell>
          <cell r="AY107">
            <v>0.319164396003633</v>
          </cell>
          <cell r="AZ107">
            <v>0.22305910080598546</v>
          </cell>
          <cell r="BA107">
            <v>0.27770389486688751</v>
          </cell>
          <cell r="BB107">
            <v>0.17584629152134967</v>
          </cell>
          <cell r="BC107">
            <v>0.1515335742086481</v>
          </cell>
          <cell r="BD107">
            <v>0.16080367980447718</v>
          </cell>
          <cell r="BE107">
            <v>0.16240939644825114</v>
          </cell>
        </row>
        <row r="108">
          <cell r="A108" t="str">
            <v>Price Change</v>
          </cell>
          <cell r="AK108">
            <v>0</v>
          </cell>
          <cell r="AO108">
            <v>0</v>
          </cell>
          <cell r="AS108">
            <v>0</v>
          </cell>
          <cell r="AW108">
            <v>0</v>
          </cell>
          <cell r="BA108">
            <v>0</v>
          </cell>
          <cell r="BE108">
            <v>0</v>
          </cell>
        </row>
        <row r="109">
          <cell r="A109" t="str">
            <v>Loprox gel</v>
          </cell>
          <cell r="B109">
            <v>8.7674959999999995</v>
          </cell>
          <cell r="C109">
            <v>8.4584489999999999</v>
          </cell>
          <cell r="D109">
            <v>10.529534999999999</v>
          </cell>
          <cell r="E109">
            <v>27.755479999999999</v>
          </cell>
          <cell r="F109">
            <v>8.1769750000000005</v>
          </cell>
          <cell r="G109">
            <v>8.5749119999999994</v>
          </cell>
          <cell r="H109">
            <v>10.885130999999998</v>
          </cell>
          <cell r="I109">
            <v>27.637017999999998</v>
          </cell>
          <cell r="J109">
            <v>8.780880999999999</v>
          </cell>
          <cell r="K109">
            <v>8.8792450000000009</v>
          </cell>
          <cell r="L109">
            <v>10.480414000000001</v>
          </cell>
          <cell r="M109">
            <v>28.140540000000001</v>
          </cell>
          <cell r="N109">
            <v>8.653689</v>
          </cell>
          <cell r="O109">
            <v>8.935511</v>
          </cell>
          <cell r="P109">
            <v>11.142989</v>
          </cell>
          <cell r="Q109">
            <v>28.732188999999998</v>
          </cell>
          <cell r="R109">
            <v>9.1000510000000006</v>
          </cell>
          <cell r="S109">
            <v>8.9254230000000003</v>
          </cell>
          <cell r="T109">
            <v>11.293723</v>
          </cell>
          <cell r="U109">
            <v>29.319197000000003</v>
          </cell>
          <cell r="V109">
            <v>8.6511110000000002</v>
          </cell>
          <cell r="W109">
            <v>8.8122810000000005</v>
          </cell>
          <cell r="X109">
            <v>12.724515999999999</v>
          </cell>
          <cell r="Y109">
            <v>30.187908</v>
          </cell>
          <cell r="Z109">
            <v>9.5251199999999994</v>
          </cell>
          <cell r="AA109">
            <v>11.129650999999999</v>
          </cell>
          <cell r="AB109">
            <v>13.150539</v>
          </cell>
          <cell r="AC109">
            <v>33.805309999999999</v>
          </cell>
          <cell r="AD109">
            <v>10.684535</v>
          </cell>
          <cell r="AE109">
            <v>10.602977999999998</v>
          </cell>
          <cell r="AF109">
            <v>12.860303</v>
          </cell>
          <cell r="AG109">
            <v>34.147815999999999</v>
          </cell>
          <cell r="AH109">
            <v>11.022324000000003</v>
          </cell>
          <cell r="AI109">
            <v>10.719499000000001</v>
          </cell>
          <cell r="AJ109">
            <v>14.216618000000002</v>
          </cell>
          <cell r="AK109">
            <v>35.958441000000008</v>
          </cell>
          <cell r="AL109">
            <v>11.301871000000002</v>
          </cell>
          <cell r="AM109">
            <v>11.961425999999999</v>
          </cell>
          <cell r="AN109">
            <v>14.783902999999999</v>
          </cell>
          <cell r="AO109">
            <v>38.047200000000004</v>
          </cell>
          <cell r="AP109">
            <v>11.648417999999999</v>
          </cell>
          <cell r="AQ109">
            <v>12.976051</v>
          </cell>
          <cell r="AR109">
            <v>14.903924</v>
          </cell>
          <cell r="AS109">
            <v>39.528392999999994</v>
          </cell>
          <cell r="AT109">
            <v>13.142254999999999</v>
          </cell>
          <cell r="AU109">
            <v>12.675071000000001</v>
          </cell>
          <cell r="AV109">
            <v>15.789082999999998</v>
          </cell>
          <cell r="AW109">
            <v>41.606408999999999</v>
          </cell>
          <cell r="AX109">
            <v>12.969980000000001</v>
          </cell>
          <cell r="AY109">
            <v>12.670332999999999</v>
          </cell>
          <cell r="AZ109">
            <v>15.215812000000001</v>
          </cell>
          <cell r="BA109">
            <v>40.856124999999999</v>
          </cell>
          <cell r="BB109">
            <v>11.180975999999999</v>
          </cell>
          <cell r="BC109">
            <v>12.29565</v>
          </cell>
          <cell r="BD109">
            <v>15.303018000000002</v>
          </cell>
          <cell r="BE109">
            <v>38.779644000000005</v>
          </cell>
        </row>
        <row r="110">
          <cell r="A110" t="str">
            <v>Loprox gel</v>
          </cell>
          <cell r="B110">
            <v>12092</v>
          </cell>
          <cell r="C110">
            <v>11878</v>
          </cell>
          <cell r="D110">
            <v>13748</v>
          </cell>
          <cell r="E110">
            <v>37718</v>
          </cell>
          <cell r="F110">
            <v>15239</v>
          </cell>
          <cell r="G110">
            <v>16269</v>
          </cell>
          <cell r="H110">
            <v>16115</v>
          </cell>
          <cell r="I110">
            <v>47623</v>
          </cell>
          <cell r="J110">
            <v>18076</v>
          </cell>
          <cell r="K110">
            <v>19165</v>
          </cell>
          <cell r="L110">
            <v>17913</v>
          </cell>
          <cell r="M110">
            <v>55154</v>
          </cell>
          <cell r="N110">
            <v>17732</v>
          </cell>
          <cell r="O110">
            <v>15924</v>
          </cell>
          <cell r="P110">
            <v>14917</v>
          </cell>
          <cell r="Q110">
            <v>48573</v>
          </cell>
          <cell r="R110">
            <v>15384</v>
          </cell>
          <cell r="S110">
            <v>14771</v>
          </cell>
          <cell r="T110">
            <v>17550</v>
          </cell>
          <cell r="U110">
            <v>47705</v>
          </cell>
          <cell r="V110">
            <v>18317</v>
          </cell>
          <cell r="W110">
            <v>19858</v>
          </cell>
          <cell r="X110">
            <v>20693</v>
          </cell>
          <cell r="Y110">
            <v>58868</v>
          </cell>
          <cell r="Z110">
            <v>22820</v>
          </cell>
          <cell r="AA110">
            <v>22909</v>
          </cell>
          <cell r="AB110">
            <v>22317</v>
          </cell>
          <cell r="AC110">
            <v>68046</v>
          </cell>
          <cell r="AD110">
            <v>21948</v>
          </cell>
          <cell r="AE110">
            <v>19601</v>
          </cell>
          <cell r="AF110">
            <v>19586</v>
          </cell>
          <cell r="AG110">
            <v>61135</v>
          </cell>
          <cell r="AH110">
            <v>17981</v>
          </cell>
          <cell r="AI110">
            <v>17674</v>
          </cell>
          <cell r="AJ110">
            <v>21645</v>
          </cell>
          <cell r="AK110">
            <v>57300</v>
          </cell>
          <cell r="AL110">
            <v>21503</v>
          </cell>
          <cell r="AM110">
            <v>22681</v>
          </cell>
          <cell r="AN110">
            <v>24337</v>
          </cell>
          <cell r="AO110">
            <v>68521</v>
          </cell>
          <cell r="AP110">
            <v>23526</v>
          </cell>
          <cell r="AQ110">
            <v>23920</v>
          </cell>
          <cell r="AR110">
            <v>23914</v>
          </cell>
          <cell r="AS110">
            <v>71360</v>
          </cell>
          <cell r="AT110">
            <v>24004</v>
          </cell>
          <cell r="AU110">
            <v>23034</v>
          </cell>
          <cell r="AV110">
            <v>22794</v>
          </cell>
          <cell r="AW110">
            <v>69832</v>
          </cell>
          <cell r="AX110">
            <v>21636</v>
          </cell>
          <cell r="AY110">
            <v>21281</v>
          </cell>
          <cell r="AZ110">
            <v>25152</v>
          </cell>
          <cell r="BA110">
            <v>68069</v>
          </cell>
          <cell r="BB110">
            <v>24875</v>
          </cell>
          <cell r="BC110">
            <v>26299</v>
          </cell>
          <cell r="BD110">
            <v>29181</v>
          </cell>
          <cell r="BE110">
            <v>80355</v>
          </cell>
        </row>
        <row r="111">
          <cell r="A111" t="str">
            <v>TRx</v>
          </cell>
          <cell r="B111">
            <v>12092</v>
          </cell>
          <cell r="C111">
            <v>11878</v>
          </cell>
          <cell r="D111">
            <v>13748</v>
          </cell>
          <cell r="E111">
            <v>37718</v>
          </cell>
          <cell r="F111">
            <v>15239</v>
          </cell>
          <cell r="G111">
            <v>16269</v>
          </cell>
          <cell r="H111">
            <v>16115</v>
          </cell>
          <cell r="I111">
            <v>47623</v>
          </cell>
          <cell r="J111">
            <v>18076</v>
          </cell>
          <cell r="K111">
            <v>19165</v>
          </cell>
          <cell r="L111">
            <v>17913</v>
          </cell>
          <cell r="M111">
            <v>55154</v>
          </cell>
          <cell r="N111">
            <v>17732</v>
          </cell>
          <cell r="O111">
            <v>15924</v>
          </cell>
          <cell r="P111">
            <v>14917</v>
          </cell>
          <cell r="Q111">
            <v>48573</v>
          </cell>
          <cell r="R111">
            <v>15384</v>
          </cell>
          <cell r="S111">
            <v>14771</v>
          </cell>
          <cell r="T111">
            <v>17550</v>
          </cell>
          <cell r="U111">
            <v>47705</v>
          </cell>
          <cell r="V111">
            <v>18317</v>
          </cell>
          <cell r="W111">
            <v>19858</v>
          </cell>
          <cell r="X111">
            <v>20693</v>
          </cell>
          <cell r="Y111">
            <v>58868</v>
          </cell>
          <cell r="Z111">
            <v>22820</v>
          </cell>
          <cell r="AA111">
            <v>22909</v>
          </cell>
          <cell r="AB111">
            <v>22317</v>
          </cell>
          <cell r="AC111">
            <v>68046</v>
          </cell>
          <cell r="AD111">
            <v>21948</v>
          </cell>
          <cell r="AE111">
            <v>19601</v>
          </cell>
          <cell r="AF111">
            <v>19586</v>
          </cell>
          <cell r="AG111">
            <v>61135</v>
          </cell>
          <cell r="AH111">
            <v>17981</v>
          </cell>
          <cell r="AI111">
            <v>17674</v>
          </cell>
          <cell r="AJ111">
            <v>21645</v>
          </cell>
          <cell r="AK111">
            <v>57300</v>
          </cell>
          <cell r="AL111">
            <v>21503</v>
          </cell>
          <cell r="AM111">
            <v>22681</v>
          </cell>
          <cell r="AN111">
            <v>24337</v>
          </cell>
          <cell r="AO111">
            <v>68521</v>
          </cell>
          <cell r="AP111">
            <v>23526</v>
          </cell>
          <cell r="AQ111">
            <v>23920</v>
          </cell>
          <cell r="AR111">
            <v>23914</v>
          </cell>
          <cell r="AS111">
            <v>71360</v>
          </cell>
          <cell r="AT111">
            <v>24004</v>
          </cell>
          <cell r="AU111">
            <v>23034</v>
          </cell>
          <cell r="AV111">
            <v>22794</v>
          </cell>
          <cell r="AW111">
            <v>69832</v>
          </cell>
          <cell r="AX111">
            <v>21636</v>
          </cell>
          <cell r="AY111">
            <v>21281</v>
          </cell>
          <cell r="AZ111">
            <v>25152</v>
          </cell>
          <cell r="BA111">
            <v>68069</v>
          </cell>
          <cell r="BB111">
            <v>24875</v>
          </cell>
          <cell r="BC111">
            <v>26299</v>
          </cell>
          <cell r="BD111">
            <v>29181</v>
          </cell>
          <cell r="BE111">
            <v>80355</v>
          </cell>
        </row>
        <row r="112">
          <cell r="A112" t="str">
            <v xml:space="preserve">  % Change</v>
          </cell>
          <cell r="B112">
            <v>8492</v>
          </cell>
          <cell r="C112">
            <v>8430</v>
          </cell>
          <cell r="D112">
            <v>9893</v>
          </cell>
          <cell r="E112">
            <v>26815</v>
          </cell>
          <cell r="F112">
            <v>11058</v>
          </cell>
          <cell r="G112">
            <v>11725</v>
          </cell>
          <cell r="H112">
            <v>11612</v>
          </cell>
          <cell r="I112">
            <v>34395</v>
          </cell>
          <cell r="J112">
            <v>13143</v>
          </cell>
          <cell r="K112">
            <v>13936</v>
          </cell>
          <cell r="L112">
            <v>12702</v>
          </cell>
          <cell r="M112">
            <v>39781</v>
          </cell>
          <cell r="N112">
            <v>12324</v>
          </cell>
          <cell r="O112">
            <v>10886</v>
          </cell>
          <cell r="P112">
            <v>9839</v>
          </cell>
          <cell r="Q112">
            <v>33049</v>
          </cell>
          <cell r="R112">
            <v>0.27224611313264968</v>
          </cell>
          <cell r="S112">
            <v>0.24355952180501772</v>
          </cell>
          <cell r="T112">
            <v>0.27654931626418389</v>
          </cell>
          <cell r="U112">
            <v>0.26478074129063045</v>
          </cell>
          <cell r="V112">
            <v>0.20198175733315837</v>
          </cell>
          <cell r="W112">
            <v>0.2206036019423443</v>
          </cell>
          <cell r="X112">
            <v>0.284083152342538</v>
          </cell>
          <cell r="Y112">
            <v>0.23612540159166784</v>
          </cell>
          <cell r="Z112">
            <v>0.26244744412480636</v>
          </cell>
          <cell r="AA112">
            <v>0.19535611792329766</v>
          </cell>
          <cell r="AB112">
            <v>0.24585496566739229</v>
          </cell>
          <cell r="AC112">
            <v>0.23374551256481846</v>
          </cell>
          <cell r="AD112">
            <v>0.2377622377622377</v>
          </cell>
          <cell r="AE112">
            <v>0.23090931926651592</v>
          </cell>
          <cell r="AF112">
            <v>0.31299859221022985</v>
          </cell>
          <cell r="AG112">
            <v>0.25862104461326241</v>
          </cell>
          <cell r="AH112">
            <v>0.16881175247009872</v>
          </cell>
          <cell r="AI112">
            <v>0.19653374856137029</v>
          </cell>
          <cell r="AJ112">
            <v>0.23333333333333339</v>
          </cell>
          <cell r="AK112">
            <v>0.20113195681794371</v>
          </cell>
          <cell r="AL112">
            <v>0.1739367800403997</v>
          </cell>
          <cell r="AM112">
            <v>0.14215933125188851</v>
          </cell>
          <cell r="AN112">
            <v>0.17609819745807753</v>
          </cell>
          <cell r="AO112">
            <v>0.16397703336277769</v>
          </cell>
          <cell r="AP112">
            <v>3.0937773882559139E-2</v>
          </cell>
          <cell r="AQ112">
            <v>4.4131127504474232E-2</v>
          </cell>
          <cell r="AR112">
            <v>7.155979746381691E-2</v>
          </cell>
          <cell r="AS112">
            <v>4.870234841136889E-2</v>
          </cell>
          <cell r="AT112">
            <v>9.3675961363222093E-2</v>
          </cell>
          <cell r="AU112">
            <v>0.17514412529972967</v>
          </cell>
          <cell r="AV112">
            <v>0.16379046257530883</v>
          </cell>
          <cell r="AW112">
            <v>0.14225893514353483</v>
          </cell>
          <cell r="AX112">
            <v>0.20327011845837273</v>
          </cell>
          <cell r="AY112">
            <v>0.20408509675229158</v>
          </cell>
          <cell r="AZ112">
            <v>0.16202356202356194</v>
          </cell>
          <cell r="BA112">
            <v>0.18794066317626523</v>
          </cell>
          <cell r="BB112">
            <v>0.15681532809375431</v>
          </cell>
          <cell r="BC112">
            <v>0.15951677615625415</v>
          </cell>
          <cell r="BD112">
            <v>0.19903850104778731</v>
          </cell>
          <cell r="BE112">
            <v>0.17270617766816021</v>
          </cell>
        </row>
        <row r="113">
          <cell r="A113" t="str">
            <v>NRx</v>
          </cell>
          <cell r="B113">
            <v>8492</v>
          </cell>
          <cell r="C113">
            <v>8430</v>
          </cell>
          <cell r="D113">
            <v>9893</v>
          </cell>
          <cell r="E113">
            <v>26815</v>
          </cell>
          <cell r="F113">
            <v>11058</v>
          </cell>
          <cell r="G113">
            <v>11725</v>
          </cell>
          <cell r="H113">
            <v>11612</v>
          </cell>
          <cell r="I113">
            <v>34395</v>
          </cell>
          <cell r="J113">
            <v>13143</v>
          </cell>
          <cell r="K113">
            <v>13936</v>
          </cell>
          <cell r="L113">
            <v>12702</v>
          </cell>
          <cell r="M113">
            <v>39781</v>
          </cell>
          <cell r="N113">
            <v>12324</v>
          </cell>
          <cell r="O113">
            <v>10886</v>
          </cell>
          <cell r="P113">
            <v>9839</v>
          </cell>
          <cell r="Q113">
            <v>33049</v>
          </cell>
          <cell r="R113">
            <v>10511</v>
          </cell>
          <cell r="S113">
            <v>10253</v>
          </cell>
          <cell r="T113">
            <v>12501</v>
          </cell>
          <cell r="U113">
            <v>33265</v>
          </cell>
          <cell r="V113">
            <v>12964</v>
          </cell>
          <cell r="W113">
            <v>13958</v>
          </cell>
          <cell r="X113">
            <v>14747</v>
          </cell>
          <cell r="Y113">
            <v>41669</v>
          </cell>
          <cell r="Z113">
            <v>16267</v>
          </cell>
          <cell r="AA113">
            <v>16225</v>
          </cell>
          <cell r="AB113">
            <v>15597</v>
          </cell>
          <cell r="AC113">
            <v>48089</v>
          </cell>
          <cell r="AD113">
            <v>15183</v>
          </cell>
          <cell r="AE113">
            <v>13306</v>
          </cell>
          <cell r="AF113">
            <v>12740</v>
          </cell>
          <cell r="AG113">
            <v>41229</v>
          </cell>
          <cell r="AH113">
            <v>11901</v>
          </cell>
          <cell r="AI113">
            <v>12122</v>
          </cell>
          <cell r="AJ113">
            <v>15115</v>
          </cell>
          <cell r="AK113">
            <v>39138</v>
          </cell>
          <cell r="AL113">
            <v>14960</v>
          </cell>
          <cell r="AM113">
            <v>15914</v>
          </cell>
          <cell r="AN113">
            <v>17304</v>
          </cell>
          <cell r="AO113">
            <v>48178</v>
          </cell>
          <cell r="AP113">
            <v>16282</v>
          </cell>
          <cell r="AQ113">
            <v>16570</v>
          </cell>
          <cell r="AR113">
            <v>16693</v>
          </cell>
          <cell r="AS113">
            <v>49545</v>
          </cell>
          <cell r="AT113">
            <v>17031</v>
          </cell>
          <cell r="AU113">
            <v>15840</v>
          </cell>
          <cell r="AV113">
            <v>15392</v>
          </cell>
          <cell r="AW113">
            <v>48263</v>
          </cell>
          <cell r="AX113">
            <v>14637</v>
          </cell>
          <cell r="AY113">
            <v>14861</v>
          </cell>
          <cell r="AZ113">
            <v>17712</v>
          </cell>
          <cell r="BA113">
            <v>47210</v>
          </cell>
          <cell r="BB113">
            <v>17568</v>
          </cell>
          <cell r="BC113">
            <v>18796</v>
          </cell>
          <cell r="BD113">
            <v>20807</v>
          </cell>
          <cell r="BE113">
            <v>57171</v>
          </cell>
        </row>
        <row r="114">
          <cell r="A114" t="str">
            <v xml:space="preserve">  % Change</v>
          </cell>
          <cell r="B114">
            <v>0.41019299999999997</v>
          </cell>
          <cell r="C114">
            <v>0.43993500000000002</v>
          </cell>
          <cell r="D114">
            <v>0.61402800000000002</v>
          </cell>
          <cell r="E114">
            <v>1.464156</v>
          </cell>
          <cell r="F114">
            <v>0.53473999999999999</v>
          </cell>
          <cell r="G114">
            <v>0.56585099999999999</v>
          </cell>
          <cell r="H114">
            <v>0.77013299999999996</v>
          </cell>
          <cell r="I114">
            <v>1.8707240000000001</v>
          </cell>
          <cell r="J114">
            <v>0.68451499999999998</v>
          </cell>
          <cell r="K114">
            <v>0.80650500000000003</v>
          </cell>
          <cell r="L114">
            <v>0.96954499999999999</v>
          </cell>
          <cell r="M114">
            <v>2.4605649999999999</v>
          </cell>
          <cell r="N114">
            <v>0.75544100000000003</v>
          </cell>
          <cell r="O114">
            <v>0.72506899999999996</v>
          </cell>
          <cell r="P114">
            <v>0.80758300000000005</v>
          </cell>
          <cell r="Q114">
            <v>2.2880929999999999</v>
          </cell>
          <cell r="R114">
            <v>0.2377531794630241</v>
          </cell>
          <cell r="S114">
            <v>0.21625148279952544</v>
          </cell>
          <cell r="T114">
            <v>0.26362074193874463</v>
          </cell>
          <cell r="U114">
            <v>0.24053701286593321</v>
          </cell>
          <cell r="V114">
            <v>0.17236389943931996</v>
          </cell>
          <cell r="W114">
            <v>0.19044776119402984</v>
          </cell>
          <cell r="X114">
            <v>0.2699793317258008</v>
          </cell>
          <cell r="Y114">
            <v>0.21148422735862771</v>
          </cell>
          <cell r="Z114">
            <v>0.23769306855360273</v>
          </cell>
          <cell r="AA114">
            <v>0.16425086107921927</v>
          </cell>
          <cell r="AB114">
            <v>0.2279168634860651</v>
          </cell>
          <cell r="AC114">
            <v>0.20884341771197312</v>
          </cell>
          <cell r="AD114">
            <v>0.23198636806231754</v>
          </cell>
          <cell r="AE114">
            <v>0.22230387653867356</v>
          </cell>
          <cell r="AF114">
            <v>0.29484703730053874</v>
          </cell>
          <cell r="AG114">
            <v>0.24751127114284843</v>
          </cell>
          <cell r="AH114">
            <v>0.13224241271049375</v>
          </cell>
          <cell r="AI114">
            <v>0.18228811079683993</v>
          </cell>
          <cell r="AJ114">
            <v>0.20910327173826104</v>
          </cell>
          <cell r="AK114">
            <v>0.17655193145949188</v>
          </cell>
          <cell r="AL114">
            <v>0.15396482567108927</v>
          </cell>
          <cell r="AM114">
            <v>0.14013468978363663</v>
          </cell>
          <cell r="AN114">
            <v>0.17339119820980531</v>
          </cell>
          <cell r="AO114">
            <v>0.15620725239386601</v>
          </cell>
          <cell r="AP114">
            <v>9.2211225179816836E-4</v>
          </cell>
          <cell r="AQ114">
            <v>2.1263482280431401E-2</v>
          </cell>
          <cell r="AR114">
            <v>7.0269923703276227E-2</v>
          </cell>
          <cell r="AS114">
            <v>3.0277194368774518E-2</v>
          </cell>
          <cell r="AT114">
            <v>0.12171507607192256</v>
          </cell>
          <cell r="AU114">
            <v>0.19044040282579289</v>
          </cell>
          <cell r="AV114">
            <v>0.2081632653061225</v>
          </cell>
          <cell r="AW114">
            <v>0.17060806713720922</v>
          </cell>
          <cell r="AX114">
            <v>0.2298966473405597</v>
          </cell>
          <cell r="AY114">
            <v>0.22595281306715065</v>
          </cell>
          <cell r="AZ114">
            <v>0.17181607674495525</v>
          </cell>
          <cell r="BA114">
            <v>0.2062445704941489</v>
          </cell>
          <cell r="BB114">
            <v>0.17433155080213902</v>
          </cell>
          <cell r="BC114">
            <v>0.18109840392107568</v>
          </cell>
          <cell r="BD114">
            <v>0.20243874248728622</v>
          </cell>
          <cell r="BE114">
            <v>0.18666196189131967</v>
          </cell>
        </row>
        <row r="115">
          <cell r="A115" t="str">
            <v>Sales (IMS)</v>
          </cell>
          <cell r="B115">
            <v>0.41019299999999997</v>
          </cell>
          <cell r="C115">
            <v>0.43993500000000002</v>
          </cell>
          <cell r="D115">
            <v>0.61402800000000002</v>
          </cell>
          <cell r="E115">
            <v>1.464156</v>
          </cell>
          <cell r="F115">
            <v>0.53473999999999999</v>
          </cell>
          <cell r="G115">
            <v>0.56585099999999999</v>
          </cell>
          <cell r="H115">
            <v>0.77013299999999996</v>
          </cell>
          <cell r="I115">
            <v>1.8707240000000001</v>
          </cell>
          <cell r="J115">
            <v>0.68451499999999998</v>
          </cell>
          <cell r="K115">
            <v>0.80650500000000003</v>
          </cell>
          <cell r="L115">
            <v>0.96954499999999999</v>
          </cell>
          <cell r="M115">
            <v>2.4605649999999999</v>
          </cell>
          <cell r="N115">
            <v>0.75544100000000003</v>
          </cell>
          <cell r="O115">
            <v>0.72506899999999996</v>
          </cell>
          <cell r="P115">
            <v>0.80758300000000005</v>
          </cell>
          <cell r="Q115">
            <v>2.2880929999999999</v>
          </cell>
          <cell r="R115">
            <v>0.70429399999999998</v>
          </cell>
          <cell r="S115">
            <v>0.74384799999999995</v>
          </cell>
          <cell r="T115">
            <v>1.058359</v>
          </cell>
          <cell r="U115">
            <v>2.5065010000000001</v>
          </cell>
          <cell r="V115">
            <v>0.92238299999999995</v>
          </cell>
          <cell r="W115">
            <v>1.042333</v>
          </cell>
          <cell r="X115">
            <v>1.4424870000000001</v>
          </cell>
          <cell r="Y115">
            <v>3.407203</v>
          </cell>
          <cell r="Z115">
            <v>1.2340850000000001</v>
          </cell>
          <cell r="AA115">
            <v>1.2964819999999999</v>
          </cell>
          <cell r="AB115">
            <v>1.5356050000000001</v>
          </cell>
          <cell r="AC115">
            <v>4.0661719999999999</v>
          </cell>
          <cell r="AD115">
            <v>1.250699</v>
          </cell>
          <cell r="AE115">
            <v>1.190955</v>
          </cell>
          <cell r="AF115">
            <v>1.3031619999999999</v>
          </cell>
          <cell r="AG115">
            <v>3.7448159999999997</v>
          </cell>
          <cell r="AH115">
            <v>1.03349</v>
          </cell>
          <cell r="AI115">
            <v>1.0911949999999999</v>
          </cell>
          <cell r="AJ115">
            <v>1.573915</v>
          </cell>
          <cell r="AK115">
            <v>3.6985999999999999</v>
          </cell>
          <cell r="AL115">
            <v>1.2970680000000001</v>
          </cell>
          <cell r="AM115">
            <v>1.4746140000000001</v>
          </cell>
          <cell r="AN115">
            <v>1.8415520000000001</v>
          </cell>
          <cell r="AO115">
            <v>4.6132340000000003</v>
          </cell>
          <cell r="AP115">
            <v>1.488289</v>
          </cell>
          <cell r="AQ115">
            <v>1.5637509999999999</v>
          </cell>
          <cell r="AR115">
            <v>1.9571419999999999</v>
          </cell>
          <cell r="AS115">
            <v>5.009182</v>
          </cell>
          <cell r="AT115">
            <v>1.685022</v>
          </cell>
          <cell r="AU115">
            <v>1.63507</v>
          </cell>
          <cell r="AV115">
            <v>1.9595720000000001</v>
          </cell>
          <cell r="AW115">
            <v>5.2796640000000004</v>
          </cell>
          <cell r="AX115">
            <v>1.5076700000000001</v>
          </cell>
          <cell r="AY115">
            <v>1.7296279999999999</v>
          </cell>
          <cell r="AZ115">
            <v>2.3586710000000002</v>
          </cell>
          <cell r="BA115">
            <v>5.5959690000000002</v>
          </cell>
          <cell r="BB115">
            <v>2.006148</v>
          </cell>
          <cell r="BC115">
            <v>2.1790699999999998</v>
          </cell>
          <cell r="BD115">
            <v>2.919397</v>
          </cell>
          <cell r="BE115">
            <v>7.1046149999999999</v>
          </cell>
        </row>
        <row r="116">
          <cell r="A116" t="str">
            <v xml:space="preserve">  % Change</v>
          </cell>
          <cell r="R116">
            <v>0.71698200603130724</v>
          </cell>
          <cell r="S116">
            <v>0.69081341561821619</v>
          </cell>
          <cell r="T116">
            <v>0.72363312422234816</v>
          </cell>
          <cell r="U116">
            <v>0.7119084305224308</v>
          </cell>
          <cell r="V116">
            <v>0.72491865205520423</v>
          </cell>
          <cell r="W116">
            <v>0.84206266313923628</v>
          </cell>
          <cell r="X116">
            <v>0.87303621582246205</v>
          </cell>
          <cell r="Y116">
            <v>0.82132853376553672</v>
          </cell>
          <cell r="Z116">
            <v>0.80286041942105002</v>
          </cell>
          <cell r="AA116">
            <v>0.60753126143049307</v>
          </cell>
          <cell r="AB116">
            <v>0.58384087381194294</v>
          </cell>
          <cell r="AC116">
            <v>0.65253590130722006</v>
          </cell>
          <cell r="AD116">
            <v>0.65558792811086497</v>
          </cell>
          <cell r="AE116">
            <v>0.6425402272059626</v>
          </cell>
          <cell r="AF116">
            <v>0.61365704825386347</v>
          </cell>
          <cell r="AG116">
            <v>0.63665375489545206</v>
          </cell>
          <cell r="AH116">
            <v>0.46741275660448633</v>
          </cell>
          <cell r="AI116">
            <v>0.46695964766995401</v>
          </cell>
          <cell r="AJ116">
            <v>0.48712771375308361</v>
          </cell>
          <cell r="AK116">
            <v>0.47560284236870443</v>
          </cell>
          <cell r="AL116">
            <v>0.40621412146581215</v>
          </cell>
          <cell r="AM116">
            <v>0.41472446905163718</v>
          </cell>
          <cell r="AN116">
            <v>0.27665067345494276</v>
          </cell>
          <cell r="AO116">
            <v>0.35396511449420553</v>
          </cell>
          <cell r="AP116">
            <v>0.2059858113501094</v>
          </cell>
          <cell r="AQ116">
            <v>0.20614941048159552</v>
          </cell>
          <cell r="AR116">
            <v>0.27450874411062731</v>
          </cell>
          <cell r="AS116">
            <v>0.23191591501785958</v>
          </cell>
          <cell r="AT116">
            <v>0.34726420985384965</v>
          </cell>
          <cell r="AU116">
            <v>0.37290661695865923</v>
          </cell>
          <cell r="AV116">
            <v>0.50370560221983163</v>
          </cell>
          <cell r="AW116">
            <v>0.40985938962021118</v>
          </cell>
          <cell r="AX116">
            <v>0.45881430879834362</v>
          </cell>
          <cell r="AY116">
            <v>0.5850769110928844</v>
          </cell>
          <cell r="AZ116">
            <v>0.49860125864484428</v>
          </cell>
          <cell r="BA116">
            <v>0.51299653923106048</v>
          </cell>
          <cell r="BB116">
            <v>0.54667912553543818</v>
          </cell>
          <cell r="BC116">
            <v>0.47772230563388085</v>
          </cell>
          <cell r="BD116">
            <v>0.5852916453078707</v>
          </cell>
          <cell r="BE116">
            <v>0.54005086236683408</v>
          </cell>
        </row>
        <row r="117">
          <cell r="A117" t="str">
            <v>Price Change</v>
          </cell>
          <cell r="R117">
            <v>2.9850746268656803E-2</v>
          </cell>
          <cell r="T117">
            <v>38</v>
          </cell>
          <cell r="U117">
            <v>2.9850746268656803E-2</v>
          </cell>
          <cell r="V117">
            <v>5307</v>
          </cell>
          <cell r="W117">
            <v>13795</v>
          </cell>
          <cell r="X117">
            <v>17570</v>
          </cell>
          <cell r="Y117">
            <v>2.9850746268656803E-2</v>
          </cell>
          <cell r="Z117">
            <v>9.2114959469417723E-2</v>
          </cell>
          <cell r="AA117">
            <v>19793</v>
          </cell>
          <cell r="AB117">
            <v>21831</v>
          </cell>
          <cell r="AC117">
            <v>0.12196570573807453</v>
          </cell>
          <cell r="AD117">
            <v>6.0053981106612753E-2</v>
          </cell>
          <cell r="AE117">
            <v>26101</v>
          </cell>
          <cell r="AF117">
            <v>29341</v>
          </cell>
          <cell r="AG117">
            <v>0.18201968684468728</v>
          </cell>
          <cell r="AH117">
            <v>29372</v>
          </cell>
          <cell r="AI117">
            <v>29578</v>
          </cell>
          <cell r="AJ117">
            <v>34526</v>
          </cell>
          <cell r="AK117">
            <v>0.15216894057603048</v>
          </cell>
          <cell r="AL117">
            <v>1.7398684489709382E-2</v>
          </cell>
          <cell r="AM117">
            <v>32656</v>
          </cell>
          <cell r="AN117">
            <v>33714</v>
          </cell>
          <cell r="AO117">
            <v>0.16956762506573986</v>
          </cell>
          <cell r="AP117">
            <v>5.0052137643378458E-2</v>
          </cell>
          <cell r="AQ117">
            <v>33732</v>
          </cell>
          <cell r="AR117">
            <v>32195</v>
          </cell>
          <cell r="AS117">
            <v>0.12750480323970059</v>
          </cell>
          <cell r="AT117">
            <v>33729</v>
          </cell>
          <cell r="AU117">
            <v>34779</v>
          </cell>
          <cell r="AV117">
            <v>36654</v>
          </cell>
          <cell r="AW117">
            <v>6.745082213308784E-2</v>
          </cell>
          <cell r="AX117">
            <v>0.12373386295928501</v>
          </cell>
          <cell r="AY117">
            <v>33565</v>
          </cell>
          <cell r="AZ117">
            <v>38069</v>
          </cell>
          <cell r="BA117">
            <v>0.19118468509237285</v>
          </cell>
          <cell r="BB117">
            <v>4.9840933191940717E-2</v>
          </cell>
          <cell r="BC117">
            <v>35081</v>
          </cell>
          <cell r="BD117">
            <v>35489</v>
          </cell>
          <cell r="BE117">
            <v>0.22362693379460419</v>
          </cell>
        </row>
        <row r="118">
          <cell r="A118" t="str">
            <v>Loprox lotion</v>
          </cell>
          <cell r="AL118">
            <v>5.2008667797248913</v>
          </cell>
          <cell r="AM118">
            <v>1.3672345052555275</v>
          </cell>
          <cell r="AN118">
            <v>0.9188389299943085</v>
          </cell>
          <cell r="AO118">
            <v>1.7071880453752182</v>
          </cell>
          <cell r="AP118">
            <v>0.7000311332503113</v>
          </cell>
          <cell r="AQ118">
            <v>0.70423887232860105</v>
          </cell>
          <cell r="AR118">
            <v>0.47473775823370445</v>
          </cell>
          <cell r="AS118">
            <v>0.62063189700472932</v>
          </cell>
          <cell r="AT118">
            <v>0.32457587181903857</v>
          </cell>
          <cell r="AU118">
            <v>0.33247768284740054</v>
          </cell>
          <cell r="AV118">
            <v>0.2492416754711837</v>
          </cell>
          <cell r="AW118">
            <v>0.29980471164066946</v>
          </cell>
          <cell r="AX118">
            <v>0.24874029688138366</v>
          </cell>
          <cell r="AY118">
            <v>0.13479613226046383</v>
          </cell>
          <cell r="AZ118">
            <v>0.10261831663094489</v>
          </cell>
          <cell r="BA118">
            <v>0.15871453635157695</v>
          </cell>
          <cell r="BB118">
            <v>8.104412300960262E-2</v>
          </cell>
          <cell r="BC118">
            <v>7.4258941695247493E-2</v>
          </cell>
          <cell r="BD118">
            <v>5.2648751260603976E-2</v>
          </cell>
          <cell r="BE118">
            <v>6.9169403090312054E-2</v>
          </cell>
        </row>
        <row r="119">
          <cell r="A119" t="str">
            <v>Loprox lotion</v>
          </cell>
          <cell r="B119">
            <v>13441</v>
          </cell>
          <cell r="C119">
            <v>12638</v>
          </cell>
          <cell r="D119">
            <v>13781</v>
          </cell>
          <cell r="E119">
            <v>39860</v>
          </cell>
          <cell r="F119">
            <v>14672</v>
          </cell>
          <cell r="G119">
            <v>15263</v>
          </cell>
          <cell r="H119">
            <v>15074</v>
          </cell>
          <cell r="I119">
            <v>45009</v>
          </cell>
          <cell r="J119">
            <v>16464</v>
          </cell>
          <cell r="K119">
            <v>16623</v>
          </cell>
          <cell r="L119">
            <v>15494</v>
          </cell>
          <cell r="M119">
            <v>48581</v>
          </cell>
          <cell r="N119">
            <v>17905</v>
          </cell>
          <cell r="O119">
            <v>17132</v>
          </cell>
          <cell r="P119">
            <v>16401</v>
          </cell>
          <cell r="Q119">
            <v>51438</v>
          </cell>
          <cell r="R119">
            <v>15533</v>
          </cell>
          <cell r="S119">
            <v>11122</v>
          </cell>
          <cell r="T119">
            <v>10121</v>
          </cell>
          <cell r="U119">
            <v>36776</v>
          </cell>
          <cell r="V119">
            <v>7575</v>
          </cell>
          <cell r="W119">
            <v>5946</v>
          </cell>
          <cell r="X119">
            <v>4468</v>
          </cell>
          <cell r="Y119">
            <v>17989</v>
          </cell>
          <cell r="Z119">
            <v>3595</v>
          </cell>
          <cell r="AA119">
            <v>2607</v>
          </cell>
          <cell r="AB119">
            <v>2077</v>
          </cell>
          <cell r="AC119">
            <v>8279</v>
          </cell>
          <cell r="AD119">
            <v>1800</v>
          </cell>
          <cell r="AE119">
            <v>1402</v>
          </cell>
          <cell r="AF119">
            <v>1389</v>
          </cell>
          <cell r="AG119">
            <v>4591</v>
          </cell>
          <cell r="AH119">
            <v>1115</v>
          </cell>
          <cell r="AI119">
            <v>989</v>
          </cell>
          <cell r="AJ119">
            <v>1060</v>
          </cell>
          <cell r="AK119">
            <v>3164</v>
          </cell>
          <cell r="AL119">
            <v>1135</v>
          </cell>
          <cell r="AM119">
            <v>688</v>
          </cell>
          <cell r="AN119">
            <v>560</v>
          </cell>
          <cell r="AO119">
            <v>2383</v>
          </cell>
          <cell r="AP119">
            <v>546</v>
          </cell>
          <cell r="AQ119">
            <v>413</v>
          </cell>
          <cell r="AR119">
            <v>320</v>
          </cell>
          <cell r="AS119">
            <v>1279</v>
          </cell>
          <cell r="AT119">
            <v>272</v>
          </cell>
          <cell r="AU119">
            <v>243</v>
          </cell>
          <cell r="AV119">
            <v>261</v>
          </cell>
          <cell r="AW119">
            <v>776</v>
          </cell>
          <cell r="AX119">
            <v>151</v>
          </cell>
          <cell r="AY119">
            <v>68</v>
          </cell>
          <cell r="AZ119">
            <v>67</v>
          </cell>
          <cell r="BA119">
            <v>286</v>
          </cell>
          <cell r="BB119">
            <v>85</v>
          </cell>
          <cell r="BC119">
            <v>50</v>
          </cell>
          <cell r="BD119">
            <v>33</v>
          </cell>
          <cell r="BE119">
            <v>168</v>
          </cell>
        </row>
        <row r="120">
          <cell r="A120" t="str">
            <v>TRx</v>
          </cell>
          <cell r="B120">
            <v>13441</v>
          </cell>
          <cell r="C120">
            <v>12638</v>
          </cell>
          <cell r="D120">
            <v>13781</v>
          </cell>
          <cell r="E120">
            <v>39860</v>
          </cell>
          <cell r="F120">
            <v>14672</v>
          </cell>
          <cell r="G120">
            <v>15263</v>
          </cell>
          <cell r="H120">
            <v>15074</v>
          </cell>
          <cell r="I120">
            <v>45009</v>
          </cell>
          <cell r="J120">
            <v>16464</v>
          </cell>
          <cell r="K120">
            <v>16623</v>
          </cell>
          <cell r="L120">
            <v>15494</v>
          </cell>
          <cell r="M120">
            <v>48581</v>
          </cell>
          <cell r="N120">
            <v>17905</v>
          </cell>
          <cell r="O120">
            <v>17132</v>
          </cell>
          <cell r="P120">
            <v>16401</v>
          </cell>
          <cell r="Q120">
            <v>51438</v>
          </cell>
          <cell r="R120">
            <v>15533</v>
          </cell>
          <cell r="S120">
            <v>11122</v>
          </cell>
          <cell r="T120">
            <v>10121</v>
          </cell>
          <cell r="U120">
            <v>36776</v>
          </cell>
          <cell r="V120">
            <v>7575</v>
          </cell>
          <cell r="W120">
            <v>5946</v>
          </cell>
          <cell r="X120">
            <v>4468</v>
          </cell>
          <cell r="Y120">
            <v>17989</v>
          </cell>
          <cell r="Z120">
            <v>3595</v>
          </cell>
          <cell r="AA120">
            <v>2607</v>
          </cell>
          <cell r="AB120">
            <v>2077</v>
          </cell>
          <cell r="AC120">
            <v>8279</v>
          </cell>
          <cell r="AD120">
            <v>1800</v>
          </cell>
          <cell r="AE120">
            <v>1402</v>
          </cell>
          <cell r="AF120">
            <v>1389</v>
          </cell>
          <cell r="AG120">
            <v>4591</v>
          </cell>
          <cell r="AH120">
            <v>1115</v>
          </cell>
          <cell r="AI120">
            <v>989</v>
          </cell>
          <cell r="AJ120">
            <v>1060</v>
          </cell>
          <cell r="AK120">
            <v>3164</v>
          </cell>
          <cell r="AL120">
            <v>1135</v>
          </cell>
          <cell r="AM120">
            <v>688</v>
          </cell>
          <cell r="AN120">
            <v>560</v>
          </cell>
          <cell r="AO120">
            <v>2383</v>
          </cell>
          <cell r="AP120">
            <v>546</v>
          </cell>
          <cell r="AQ120">
            <v>413</v>
          </cell>
          <cell r="AR120">
            <v>320</v>
          </cell>
          <cell r="AS120">
            <v>1279</v>
          </cell>
          <cell r="AT120">
            <v>272</v>
          </cell>
          <cell r="AU120">
            <v>243</v>
          </cell>
          <cell r="AV120">
            <v>261</v>
          </cell>
          <cell r="AW120">
            <v>776</v>
          </cell>
          <cell r="AX120">
            <v>151</v>
          </cell>
          <cell r="AY120">
            <v>68</v>
          </cell>
          <cell r="AZ120">
            <v>67</v>
          </cell>
          <cell r="BA120">
            <v>286</v>
          </cell>
          <cell r="BB120">
            <v>85</v>
          </cell>
          <cell r="BC120">
            <v>50</v>
          </cell>
          <cell r="BD120">
            <v>33</v>
          </cell>
          <cell r="BE120">
            <v>168</v>
          </cell>
        </row>
        <row r="121">
          <cell r="A121" t="str">
            <v xml:space="preserve">  % Change</v>
          </cell>
          <cell r="B121">
            <v>9474</v>
          </cell>
          <cell r="C121">
            <v>8999</v>
          </cell>
          <cell r="D121">
            <v>9902</v>
          </cell>
          <cell r="E121">
            <v>28375</v>
          </cell>
          <cell r="F121">
            <v>10380</v>
          </cell>
          <cell r="G121">
            <v>10841</v>
          </cell>
          <cell r="H121">
            <v>10685</v>
          </cell>
          <cell r="I121">
            <v>31906</v>
          </cell>
          <cell r="J121">
            <v>11695</v>
          </cell>
          <cell r="K121">
            <v>11845</v>
          </cell>
          <cell r="L121">
            <v>11032</v>
          </cell>
          <cell r="M121">
            <v>34572</v>
          </cell>
          <cell r="N121">
            <v>13407</v>
          </cell>
          <cell r="O121">
            <v>12626</v>
          </cell>
          <cell r="P121">
            <v>11235</v>
          </cell>
          <cell r="Q121">
            <v>37268</v>
          </cell>
          <cell r="R121">
            <v>0.15564318131091426</v>
          </cell>
          <cell r="S121">
            <v>-0.11995568919132771</v>
          </cell>
          <cell r="T121">
            <v>-0.26558304912560771</v>
          </cell>
          <cell r="U121">
            <v>-7.7370797792272961E-2</v>
          </cell>
          <cell r="V121">
            <v>-0.4837104689203926</v>
          </cell>
          <cell r="W121">
            <v>-0.61043045272882135</v>
          </cell>
          <cell r="X121">
            <v>-0.70359559506434921</v>
          </cell>
          <cell r="Y121">
            <v>-0.60032437956853069</v>
          </cell>
          <cell r="Z121">
            <v>-0.78164480077745391</v>
          </cell>
          <cell r="AA121">
            <v>-0.84316910304999104</v>
          </cell>
          <cell r="AB121">
            <v>-0.8659481089453982</v>
          </cell>
          <cell r="AC121">
            <v>-0.82958358205882954</v>
          </cell>
          <cell r="AD121">
            <v>-0.89946942194917623</v>
          </cell>
          <cell r="AE121">
            <v>-0.91816483773056268</v>
          </cell>
          <cell r="AF121">
            <v>-0.91531004207060551</v>
          </cell>
          <cell r="AG121">
            <v>-0.91074691862047508</v>
          </cell>
          <cell r="AH121">
            <v>-0.92821734371982234</v>
          </cell>
          <cell r="AI121">
            <v>-0.91107714439848952</v>
          </cell>
          <cell r="AJ121">
            <v>-0.89526726608042684</v>
          </cell>
          <cell r="AK121">
            <v>-0.91396562975853812</v>
          </cell>
          <cell r="AL121">
            <v>-0.85016501650165011</v>
          </cell>
          <cell r="AM121">
            <v>-0.88429196098217289</v>
          </cell>
          <cell r="AN121">
            <v>-0.87466427931960611</v>
          </cell>
          <cell r="AO121">
            <v>-0.86753015731836125</v>
          </cell>
          <cell r="AP121">
            <v>-0.84812239221140473</v>
          </cell>
          <cell r="AQ121">
            <v>-0.84158036056770236</v>
          </cell>
          <cell r="AR121">
            <v>-0.84593163216177181</v>
          </cell>
          <cell r="AS121">
            <v>-0.84551274308491364</v>
          </cell>
          <cell r="AT121">
            <v>-0.84888888888888892</v>
          </cell>
          <cell r="AU121">
            <v>-0.82667617689015693</v>
          </cell>
          <cell r="AV121">
            <v>-0.81209503239740821</v>
          </cell>
          <cell r="AW121">
            <v>-0.83097364408625574</v>
          </cell>
          <cell r="AX121">
            <v>-0.8645739910313901</v>
          </cell>
          <cell r="AY121">
            <v>-0.93124368048533879</v>
          </cell>
          <cell r="AZ121">
            <v>-0.93679245283018864</v>
          </cell>
          <cell r="BA121">
            <v>-0.90960809102402018</v>
          </cell>
          <cell r="BB121">
            <v>-0.92511013215859028</v>
          </cell>
          <cell r="BC121">
            <v>-0.92732558139534882</v>
          </cell>
          <cell r="BD121">
            <v>-0.94107142857142856</v>
          </cell>
          <cell r="BE121">
            <v>-0.92950062945866552</v>
          </cell>
        </row>
        <row r="122">
          <cell r="A122" t="str">
            <v>NRx</v>
          </cell>
          <cell r="B122">
            <v>9474</v>
          </cell>
          <cell r="C122">
            <v>8999</v>
          </cell>
          <cell r="D122">
            <v>9902</v>
          </cell>
          <cell r="E122">
            <v>28375</v>
          </cell>
          <cell r="F122">
            <v>10380</v>
          </cell>
          <cell r="G122">
            <v>10841</v>
          </cell>
          <cell r="H122">
            <v>10685</v>
          </cell>
          <cell r="I122">
            <v>31906</v>
          </cell>
          <cell r="J122">
            <v>11695</v>
          </cell>
          <cell r="K122">
            <v>11845</v>
          </cell>
          <cell r="L122">
            <v>11032</v>
          </cell>
          <cell r="M122">
            <v>34572</v>
          </cell>
          <cell r="N122">
            <v>13407</v>
          </cell>
          <cell r="O122">
            <v>12626</v>
          </cell>
          <cell r="P122">
            <v>11235</v>
          </cell>
          <cell r="Q122">
            <v>37268</v>
          </cell>
          <cell r="R122">
            <v>10884</v>
          </cell>
          <cell r="S122">
            <v>7708</v>
          </cell>
          <cell r="T122">
            <v>6920</v>
          </cell>
          <cell r="U122">
            <v>25512</v>
          </cell>
          <cell r="V122">
            <v>5202</v>
          </cell>
          <cell r="W122">
            <v>4115</v>
          </cell>
          <cell r="X122">
            <v>3195</v>
          </cell>
          <cell r="Y122">
            <v>12512</v>
          </cell>
          <cell r="Z122">
            <v>2647</v>
          </cell>
          <cell r="AA122">
            <v>1942</v>
          </cell>
          <cell r="AB122">
            <v>1562</v>
          </cell>
          <cell r="AC122">
            <v>6151</v>
          </cell>
          <cell r="AD122">
            <v>1384</v>
          </cell>
          <cell r="AE122">
            <v>1094</v>
          </cell>
          <cell r="AF122">
            <v>1057</v>
          </cell>
          <cell r="AG122">
            <v>3535</v>
          </cell>
          <cell r="AH122">
            <v>905</v>
          </cell>
          <cell r="AI122">
            <v>812</v>
          </cell>
          <cell r="AJ122">
            <v>835</v>
          </cell>
          <cell r="AK122">
            <v>2552</v>
          </cell>
          <cell r="AL122">
            <v>982</v>
          </cell>
          <cell r="AM122">
            <v>572</v>
          </cell>
          <cell r="AN122">
            <v>420</v>
          </cell>
          <cell r="AO122">
            <v>1974</v>
          </cell>
          <cell r="AP122">
            <v>432</v>
          </cell>
          <cell r="AQ122">
            <v>306</v>
          </cell>
          <cell r="AR122">
            <v>217</v>
          </cell>
          <cell r="AS122">
            <v>955</v>
          </cell>
          <cell r="AT122">
            <v>190</v>
          </cell>
          <cell r="AU122">
            <v>149</v>
          </cell>
          <cell r="AV122">
            <v>175</v>
          </cell>
          <cell r="AW122">
            <v>514</v>
          </cell>
          <cell r="AX122">
            <v>119</v>
          </cell>
          <cell r="AY122">
            <v>53</v>
          </cell>
          <cell r="AZ122">
            <v>50</v>
          </cell>
          <cell r="BA122">
            <v>222</v>
          </cell>
          <cell r="BB122">
            <v>78</v>
          </cell>
          <cell r="BC122">
            <v>39</v>
          </cell>
          <cell r="BD122">
            <v>31</v>
          </cell>
          <cell r="BE122">
            <v>148</v>
          </cell>
        </row>
        <row r="123">
          <cell r="A123" t="str">
            <v xml:space="preserve">  % Change</v>
          </cell>
          <cell r="B123">
            <v>0.66121200000000002</v>
          </cell>
          <cell r="C123">
            <v>0.668956</v>
          </cell>
          <cell r="D123">
            <v>0.91100099999999995</v>
          </cell>
          <cell r="E123">
            <v>2.2411690000000002</v>
          </cell>
          <cell r="F123">
            <v>0.75551800000000002</v>
          </cell>
          <cell r="G123">
            <v>0.77874699999999997</v>
          </cell>
          <cell r="H123">
            <v>1.0091270000000001</v>
          </cell>
          <cell r="I123">
            <v>2.5433919999999999</v>
          </cell>
          <cell r="J123">
            <v>0.80140999999999996</v>
          </cell>
          <cell r="K123">
            <v>0.91378499999999996</v>
          </cell>
          <cell r="L123">
            <v>1.0925769999999999</v>
          </cell>
          <cell r="M123">
            <v>2.8077719999999999</v>
          </cell>
          <cell r="N123">
            <v>0.89171400000000001</v>
          </cell>
          <cell r="O123">
            <v>0.99512800000000001</v>
          </cell>
          <cell r="P123">
            <v>1.0887519999999999</v>
          </cell>
          <cell r="Q123">
            <v>2.9755940000000001</v>
          </cell>
          <cell r="R123">
            <v>0.14882837238758717</v>
          </cell>
          <cell r="S123">
            <v>-0.14346038448716525</v>
          </cell>
          <cell r="T123">
            <v>-0.30115128256917789</v>
          </cell>
          <cell r="U123">
            <v>-0.10089867841409694</v>
          </cell>
          <cell r="V123">
            <v>-0.4988439306358381</v>
          </cell>
          <cell r="W123">
            <v>-0.62042247025182173</v>
          </cell>
          <cell r="X123">
            <v>-0.70098268600842295</v>
          </cell>
          <cell r="Y123">
            <v>-0.60784805365761918</v>
          </cell>
          <cell r="Z123">
            <v>-0.77366395895681916</v>
          </cell>
          <cell r="AA123">
            <v>-0.83604896580835797</v>
          </cell>
          <cell r="AB123">
            <v>-0.85841189267585205</v>
          </cell>
          <cell r="AC123">
            <v>-0.82208145319912074</v>
          </cell>
          <cell r="AD123">
            <v>-0.89677034385022747</v>
          </cell>
          <cell r="AE123">
            <v>-0.91335339775067326</v>
          </cell>
          <cell r="AF123">
            <v>-0.90591900311526485</v>
          </cell>
          <cell r="AG123">
            <v>-0.90514650638617578</v>
          </cell>
          <cell r="AH123">
            <v>-0.91685042263873573</v>
          </cell>
          <cell r="AI123">
            <v>-0.89465490399584846</v>
          </cell>
          <cell r="AJ123">
            <v>-0.87933526011560692</v>
          </cell>
          <cell r="AK123">
            <v>-0.89996864220758854</v>
          </cell>
          <cell r="AL123">
            <v>-0.81122645136485971</v>
          </cell>
          <cell r="AM123">
            <v>-0.86099635479951397</v>
          </cell>
          <cell r="AN123">
            <v>-0.86854460093896713</v>
          </cell>
          <cell r="AO123">
            <v>-0.84223145780051145</v>
          </cell>
          <cell r="AP123">
            <v>-0.83679637325273892</v>
          </cell>
          <cell r="AQ123">
            <v>-0.84243048403707521</v>
          </cell>
          <cell r="AR123">
            <v>-0.86107554417413579</v>
          </cell>
          <cell r="AS123">
            <v>-0.84474069257031381</v>
          </cell>
          <cell r="AT123">
            <v>-0.86271676300578037</v>
          </cell>
          <cell r="AU123">
            <v>-0.86380255941499084</v>
          </cell>
          <cell r="AV123">
            <v>-0.83443708609271527</v>
          </cell>
          <cell r="AW123">
            <v>-0.85459688826025459</v>
          </cell>
          <cell r="AX123">
            <v>-0.8685082872928177</v>
          </cell>
          <cell r="AY123">
            <v>-0.93472906403940881</v>
          </cell>
          <cell r="AZ123">
            <v>-0.94011976047904189</v>
          </cell>
          <cell r="BA123">
            <v>-0.9130094043887147</v>
          </cell>
          <cell r="BB123">
            <v>-0.92057026476578407</v>
          </cell>
          <cell r="BC123">
            <v>-0.93181818181818188</v>
          </cell>
          <cell r="BD123">
            <v>-0.92619047619047623</v>
          </cell>
          <cell r="BE123">
            <v>-0.9250253292806484</v>
          </cell>
        </row>
        <row r="124">
          <cell r="A124" t="str">
            <v>Sales (IMS)</v>
          </cell>
          <cell r="B124">
            <v>0.66121200000000002</v>
          </cell>
          <cell r="C124">
            <v>0.668956</v>
          </cell>
          <cell r="D124">
            <v>0.91100099999999995</v>
          </cell>
          <cell r="E124">
            <v>2.2411690000000002</v>
          </cell>
          <cell r="F124">
            <v>0.75551800000000002</v>
          </cell>
          <cell r="G124">
            <v>0.77874699999999997</v>
          </cell>
          <cell r="H124">
            <v>1.0091270000000001</v>
          </cell>
          <cell r="I124">
            <v>2.5433919999999999</v>
          </cell>
          <cell r="J124">
            <v>0.80140999999999996</v>
          </cell>
          <cell r="K124">
            <v>0.91378499999999996</v>
          </cell>
          <cell r="L124">
            <v>1.0925769999999999</v>
          </cell>
          <cell r="M124">
            <v>2.8077719999999999</v>
          </cell>
          <cell r="N124">
            <v>0.89171400000000001</v>
          </cell>
          <cell r="O124">
            <v>0.99512800000000001</v>
          </cell>
          <cell r="P124">
            <v>1.0887519999999999</v>
          </cell>
          <cell r="Q124">
            <v>2.9755940000000001</v>
          </cell>
          <cell r="R124">
            <v>0.76467799999999997</v>
          </cell>
          <cell r="S124">
            <v>0.56489299999999998</v>
          </cell>
          <cell r="T124">
            <v>0.28532800000000003</v>
          </cell>
          <cell r="U124">
            <v>1.6148990000000001</v>
          </cell>
          <cell r="V124">
            <v>4.0587999999999999E-2</v>
          </cell>
          <cell r="W124">
            <v>1.3018E-2</v>
          </cell>
          <cell r="X124">
            <v>5.6909999999999999E-3</v>
          </cell>
          <cell r="Y124">
            <v>5.9297000000000002E-2</v>
          </cell>
          <cell r="Z124">
            <v>3.666E-3</v>
          </cell>
          <cell r="AA124">
            <v>1.7669999999999999E-3</v>
          </cell>
          <cell r="AB124">
            <v>2.029E-3</v>
          </cell>
          <cell r="AC124">
            <v>7.4619999999999999E-3</v>
          </cell>
          <cell r="AD124">
            <v>2.098E-3</v>
          </cell>
          <cell r="AE124">
            <v>1.8649999999999999E-3</v>
          </cell>
          <cell r="AF124">
            <v>1.6609999999999999E-3</v>
          </cell>
          <cell r="AG124">
            <v>5.6239999999999997E-3</v>
          </cell>
          <cell r="AH124">
            <v>4.28E-4</v>
          </cell>
          <cell r="AI124">
            <v>6.96E-4</v>
          </cell>
          <cell r="AJ124">
            <v>1.085E-3</v>
          </cell>
          <cell r="AK124">
            <v>2.209E-3</v>
          </cell>
          <cell r="AL124">
            <v>2.1499999999999999E-4</v>
          </cell>
          <cell r="AM124">
            <v>7.3999999999999996E-5</v>
          </cell>
          <cell r="AN124">
            <v>0</v>
          </cell>
          <cell r="AO124">
            <v>2.8899999999999998E-4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 t="str">
            <v xml:space="preserve">  % Change</v>
          </cell>
          <cell r="R125">
            <v>0.15647931374506197</v>
          </cell>
          <cell r="S125">
            <v>-0.15556030590950676</v>
          </cell>
          <cell r="T125">
            <v>-0.68679727025546622</v>
          </cell>
          <cell r="U125">
            <v>-0.27943898920607957</v>
          </cell>
          <cell r="V125">
            <v>-0.94627791793180305</v>
          </cell>
          <cell r="W125">
            <v>-0.9832834026968964</v>
          </cell>
          <cell r="X125">
            <v>-0.9943604719723087</v>
          </cell>
          <cell r="Y125">
            <v>-0.97668585888451331</v>
          </cell>
          <cell r="Z125">
            <v>-0.99542556244618863</v>
          </cell>
          <cell r="AA125">
            <v>-0.99806628473875147</v>
          </cell>
          <cell r="AB125">
            <v>-0.99814292264984528</v>
          </cell>
          <cell r="AC125">
            <v>-0.9973423768026749</v>
          </cell>
          <cell r="AD125">
            <v>-0.99764722769856706</v>
          </cell>
          <cell r="AE125">
            <v>-0.99812586923491253</v>
          </cell>
          <cell r="AF125">
            <v>-0.99847440004702637</v>
          </cell>
          <cell r="AG125">
            <v>-0.99810995720518325</v>
          </cell>
          <cell r="AH125">
            <v>-0.99944028728432099</v>
          </cell>
          <cell r="AI125">
            <v>-0.99876790825873218</v>
          </cell>
          <cell r="AJ125">
            <v>-0.99619735882913696</v>
          </cell>
          <cell r="AK125">
            <v>-0.9986321125965153</v>
          </cell>
          <cell r="AL125">
            <v>-0.99470286784271211</v>
          </cell>
          <cell r="AM125">
            <v>-0.99431556306652324</v>
          </cell>
          <cell r="AN125">
            <v>-1</v>
          </cell>
          <cell r="AO125">
            <v>-0.99512622898291647</v>
          </cell>
          <cell r="AP125">
            <v>-1</v>
          </cell>
          <cell r="AQ125">
            <v>-1</v>
          </cell>
          <cell r="AR125">
            <v>-1</v>
          </cell>
          <cell r="AS125">
            <v>-1</v>
          </cell>
          <cell r="AT125">
            <v>-1</v>
          </cell>
          <cell r="AU125">
            <v>-1</v>
          </cell>
          <cell r="AV125">
            <v>-1</v>
          </cell>
          <cell r="AW125">
            <v>-1</v>
          </cell>
          <cell r="AX125">
            <v>-1</v>
          </cell>
          <cell r="AY125">
            <v>-1</v>
          </cell>
          <cell r="AZ125">
            <v>-1</v>
          </cell>
          <cell r="BA125">
            <v>-1</v>
          </cell>
          <cell r="BB125">
            <v>-1</v>
          </cell>
          <cell r="BC125">
            <v>-1</v>
          </cell>
          <cell r="BD125" t="str">
            <v>-</v>
          </cell>
          <cell r="BE125">
            <v>-1</v>
          </cell>
        </row>
        <row r="126">
          <cell r="A126" t="str">
            <v>Price Change</v>
          </cell>
          <cell r="B126">
            <v>12092</v>
          </cell>
          <cell r="C126">
            <v>11878</v>
          </cell>
          <cell r="D126">
            <v>13748</v>
          </cell>
          <cell r="E126">
            <v>37718</v>
          </cell>
          <cell r="F126">
            <v>15239</v>
          </cell>
          <cell r="G126">
            <v>16269</v>
          </cell>
          <cell r="H126">
            <v>16115</v>
          </cell>
          <cell r="I126">
            <v>47623</v>
          </cell>
          <cell r="J126">
            <v>18076</v>
          </cell>
          <cell r="K126">
            <v>19165</v>
          </cell>
          <cell r="L126">
            <v>17913</v>
          </cell>
          <cell r="M126">
            <v>55154</v>
          </cell>
          <cell r="N126">
            <v>17732</v>
          </cell>
          <cell r="O126">
            <v>15924</v>
          </cell>
          <cell r="P126">
            <v>14917</v>
          </cell>
          <cell r="Q126">
            <v>48573</v>
          </cell>
          <cell r="R126">
            <v>15384</v>
          </cell>
          <cell r="S126">
            <v>14771</v>
          </cell>
          <cell r="T126">
            <v>17550</v>
          </cell>
          <cell r="U126">
            <v>0</v>
          </cell>
          <cell r="V126">
            <v>18317</v>
          </cell>
          <cell r="W126">
            <v>19858</v>
          </cell>
          <cell r="X126">
            <v>20693</v>
          </cell>
          <cell r="Y126">
            <v>0</v>
          </cell>
          <cell r="Z126">
            <v>22820</v>
          </cell>
          <cell r="AA126">
            <v>22909</v>
          </cell>
          <cell r="AB126">
            <v>22317</v>
          </cell>
          <cell r="AC126">
            <v>0</v>
          </cell>
          <cell r="AD126">
            <v>21948</v>
          </cell>
          <cell r="AE126">
            <v>19601</v>
          </cell>
          <cell r="AF126">
            <v>19586</v>
          </cell>
          <cell r="AG126">
            <v>0</v>
          </cell>
          <cell r="AH126">
            <v>17981</v>
          </cell>
          <cell r="AI126">
            <v>17674</v>
          </cell>
          <cell r="AJ126">
            <v>21645</v>
          </cell>
          <cell r="AK126">
            <v>0</v>
          </cell>
          <cell r="AL126">
            <v>21503</v>
          </cell>
          <cell r="AM126">
            <v>22681</v>
          </cell>
          <cell r="AN126">
            <v>24337</v>
          </cell>
          <cell r="AO126">
            <v>0</v>
          </cell>
          <cell r="AP126">
            <v>23526</v>
          </cell>
          <cell r="AQ126">
            <v>23920</v>
          </cell>
          <cell r="AR126">
            <v>23914</v>
          </cell>
          <cell r="AS126">
            <v>0</v>
          </cell>
          <cell r="AT126">
            <v>24004</v>
          </cell>
          <cell r="AU126">
            <v>23034</v>
          </cell>
          <cell r="AV126">
            <v>22794</v>
          </cell>
          <cell r="AW126">
            <v>0</v>
          </cell>
          <cell r="AX126">
            <v>21636</v>
          </cell>
          <cell r="AY126">
            <v>21281</v>
          </cell>
          <cell r="AZ126">
            <v>25152</v>
          </cell>
          <cell r="BA126">
            <v>0</v>
          </cell>
          <cell r="BB126">
            <v>24875</v>
          </cell>
          <cell r="BC126">
            <v>26299</v>
          </cell>
          <cell r="BD126">
            <v>29181</v>
          </cell>
          <cell r="BE126">
            <v>0</v>
          </cell>
        </row>
        <row r="127">
          <cell r="A127" t="str">
            <v>Loprox cream</v>
          </cell>
          <cell r="R127">
            <v>0.27224611313264968</v>
          </cell>
          <cell r="S127">
            <v>0.24355952180501772</v>
          </cell>
          <cell r="T127">
            <v>0.27654931626418389</v>
          </cell>
          <cell r="U127">
            <v>0.26478074129063045</v>
          </cell>
          <cell r="V127">
            <v>0.20198175733315837</v>
          </cell>
          <cell r="W127">
            <v>0.2206036019423443</v>
          </cell>
          <cell r="X127">
            <v>0.284083152342538</v>
          </cell>
          <cell r="Y127">
            <v>0.23612540159166784</v>
          </cell>
          <cell r="Z127">
            <v>0.26244744412480636</v>
          </cell>
          <cell r="AA127">
            <v>0.19535611792329766</v>
          </cell>
          <cell r="AB127">
            <v>0.24585496566739229</v>
          </cell>
          <cell r="AC127">
            <v>0.23374551256481846</v>
          </cell>
          <cell r="AD127">
            <v>0.2377622377622377</v>
          </cell>
          <cell r="AE127">
            <v>0.23090931926651592</v>
          </cell>
          <cell r="AF127">
            <v>0.31299859221022985</v>
          </cell>
          <cell r="AG127">
            <v>0.25862104461326241</v>
          </cell>
          <cell r="AH127">
            <v>0.16881175247009872</v>
          </cell>
          <cell r="AI127">
            <v>0.19653374856137029</v>
          </cell>
          <cell r="AJ127">
            <v>0.23333333333333339</v>
          </cell>
          <cell r="AK127">
            <v>0.20113195681794371</v>
          </cell>
          <cell r="AL127">
            <v>0.1739367800403997</v>
          </cell>
          <cell r="AM127">
            <v>0.14215933125188851</v>
          </cell>
          <cell r="AN127">
            <v>0.17609819745807753</v>
          </cell>
          <cell r="AO127">
            <v>0.16397703336277769</v>
          </cell>
          <cell r="AP127">
            <v>3.0937773882559139E-2</v>
          </cell>
          <cell r="AQ127">
            <v>4.4131127504474232E-2</v>
          </cell>
          <cell r="AR127">
            <v>7.155979746381691E-2</v>
          </cell>
          <cell r="AS127">
            <v>4.870234841136889E-2</v>
          </cell>
          <cell r="AT127">
            <v>9.3675961363222093E-2</v>
          </cell>
          <cell r="AU127">
            <v>0.17514412529972967</v>
          </cell>
          <cell r="AV127">
            <v>0.16379046257530883</v>
          </cell>
          <cell r="AW127">
            <v>0.14225893514353483</v>
          </cell>
          <cell r="AX127">
            <v>0.20327011845837273</v>
          </cell>
          <cell r="AY127">
            <v>0.20408509675229158</v>
          </cell>
          <cell r="AZ127">
            <v>0.16202356202356194</v>
          </cell>
          <cell r="BA127">
            <v>0.18794066317626523</v>
          </cell>
          <cell r="BB127">
            <v>0.15681532809375431</v>
          </cell>
          <cell r="BC127">
            <v>0.15951677615625415</v>
          </cell>
          <cell r="BD127">
            <v>0.19903850104778731</v>
          </cell>
          <cell r="BE127">
            <v>0.17270617766816021</v>
          </cell>
        </row>
        <row r="128">
          <cell r="A128" t="str">
            <v>Loprox cream</v>
          </cell>
          <cell r="B128">
            <v>52568</v>
          </cell>
          <cell r="C128">
            <v>50717</v>
          </cell>
          <cell r="D128">
            <v>57711</v>
          </cell>
          <cell r="E128">
            <v>160996</v>
          </cell>
          <cell r="F128">
            <v>63722</v>
          </cell>
          <cell r="G128">
            <v>67956</v>
          </cell>
          <cell r="H128">
            <v>67744</v>
          </cell>
          <cell r="I128">
            <v>199422</v>
          </cell>
          <cell r="J128">
            <v>73995</v>
          </cell>
          <cell r="K128">
            <v>75969</v>
          </cell>
          <cell r="L128">
            <v>70211</v>
          </cell>
          <cell r="M128">
            <v>220175</v>
          </cell>
          <cell r="N128">
            <v>72598</v>
          </cell>
          <cell r="O128">
            <v>61128</v>
          </cell>
          <cell r="P128">
            <v>56941</v>
          </cell>
          <cell r="Q128">
            <v>190667</v>
          </cell>
          <cell r="R128">
            <v>57426</v>
          </cell>
          <cell r="S128">
            <v>49389</v>
          </cell>
          <cell r="T128">
            <v>54312</v>
          </cell>
          <cell r="U128">
            <v>161127</v>
          </cell>
          <cell r="V128">
            <v>54589</v>
          </cell>
          <cell r="W128">
            <v>54810</v>
          </cell>
          <cell r="X128">
            <v>54127</v>
          </cell>
          <cell r="Y128">
            <v>163526</v>
          </cell>
          <cell r="Z128">
            <v>57140</v>
          </cell>
          <cell r="AA128">
            <v>54832</v>
          </cell>
          <cell r="AB128">
            <v>52150</v>
          </cell>
          <cell r="AC128">
            <v>164122</v>
          </cell>
          <cell r="AD128">
            <v>51857</v>
          </cell>
          <cell r="AE128">
            <v>43865</v>
          </cell>
          <cell r="AF128">
            <v>44276</v>
          </cell>
          <cell r="AG128">
            <v>139998</v>
          </cell>
          <cell r="AH128">
            <v>41128</v>
          </cell>
          <cell r="AI128">
            <v>39249</v>
          </cell>
          <cell r="AJ128">
            <v>46307</v>
          </cell>
          <cell r="AK128">
            <v>126684</v>
          </cell>
          <cell r="AL128">
            <v>43204</v>
          </cell>
          <cell r="AM128">
            <v>43511</v>
          </cell>
          <cell r="AN128">
            <v>46363</v>
          </cell>
          <cell r="AO128">
            <v>133078</v>
          </cell>
          <cell r="AP128">
            <v>45712</v>
          </cell>
          <cell r="AQ128">
            <v>47245</v>
          </cell>
          <cell r="AR128">
            <v>45695</v>
          </cell>
          <cell r="AS128">
            <v>138652</v>
          </cell>
          <cell r="AT128">
            <v>45335</v>
          </cell>
          <cell r="AU128">
            <v>44187</v>
          </cell>
          <cell r="AV128">
            <v>44370</v>
          </cell>
          <cell r="AW128">
            <v>133892</v>
          </cell>
          <cell r="AX128">
            <v>32426</v>
          </cell>
          <cell r="AY128">
            <v>18708</v>
          </cell>
          <cell r="AZ128">
            <v>16744</v>
          </cell>
          <cell r="BA128">
            <v>67878</v>
          </cell>
          <cell r="BB128">
            <v>13617</v>
          </cell>
          <cell r="BC128">
            <v>11790</v>
          </cell>
          <cell r="BD128">
            <v>12090</v>
          </cell>
          <cell r="BE128">
            <v>37497</v>
          </cell>
        </row>
        <row r="129">
          <cell r="A129" t="str">
            <v>TRx</v>
          </cell>
          <cell r="B129">
            <v>52568</v>
          </cell>
          <cell r="C129">
            <v>50717</v>
          </cell>
          <cell r="D129">
            <v>57711</v>
          </cell>
          <cell r="E129">
            <v>160996</v>
          </cell>
          <cell r="F129">
            <v>63722</v>
          </cell>
          <cell r="G129">
            <v>67956</v>
          </cell>
          <cell r="H129">
            <v>67744</v>
          </cell>
          <cell r="I129">
            <v>199422</v>
          </cell>
          <cell r="J129">
            <v>73995</v>
          </cell>
          <cell r="K129">
            <v>75969</v>
          </cell>
          <cell r="L129">
            <v>70211</v>
          </cell>
          <cell r="M129">
            <v>220175</v>
          </cell>
          <cell r="N129">
            <v>72598</v>
          </cell>
          <cell r="O129">
            <v>61128</v>
          </cell>
          <cell r="P129">
            <v>56941</v>
          </cell>
          <cell r="Q129">
            <v>190667</v>
          </cell>
          <cell r="R129">
            <v>57426</v>
          </cell>
          <cell r="S129">
            <v>49389</v>
          </cell>
          <cell r="T129">
            <v>54312</v>
          </cell>
          <cell r="U129">
            <v>161127</v>
          </cell>
          <cell r="V129">
            <v>54589</v>
          </cell>
          <cell r="W129">
            <v>54810</v>
          </cell>
          <cell r="X129">
            <v>54127</v>
          </cell>
          <cell r="Y129">
            <v>163526</v>
          </cell>
          <cell r="Z129">
            <v>57140</v>
          </cell>
          <cell r="AA129">
            <v>54832</v>
          </cell>
          <cell r="AB129">
            <v>52150</v>
          </cell>
          <cell r="AC129">
            <v>164122</v>
          </cell>
          <cell r="AD129">
            <v>51857</v>
          </cell>
          <cell r="AE129">
            <v>43865</v>
          </cell>
          <cell r="AF129">
            <v>44276</v>
          </cell>
          <cell r="AG129">
            <v>139998</v>
          </cell>
          <cell r="AH129">
            <v>41128</v>
          </cell>
          <cell r="AI129">
            <v>39249</v>
          </cell>
          <cell r="AJ129">
            <v>46307</v>
          </cell>
          <cell r="AK129">
            <v>126684</v>
          </cell>
          <cell r="AL129">
            <v>43204</v>
          </cell>
          <cell r="AM129">
            <v>43511</v>
          </cell>
          <cell r="AN129">
            <v>46363</v>
          </cell>
          <cell r="AO129">
            <v>133078</v>
          </cell>
          <cell r="AP129">
            <v>45712</v>
          </cell>
          <cell r="AQ129">
            <v>47245</v>
          </cell>
          <cell r="AR129">
            <v>45695</v>
          </cell>
          <cell r="AS129">
            <v>138652</v>
          </cell>
          <cell r="AT129">
            <v>45335</v>
          </cell>
          <cell r="AU129">
            <v>44187</v>
          </cell>
          <cell r="AV129">
            <v>44370</v>
          </cell>
          <cell r="AW129">
            <v>133892</v>
          </cell>
          <cell r="AX129">
            <v>32426</v>
          </cell>
          <cell r="AY129">
            <v>18708</v>
          </cell>
          <cell r="AZ129">
            <v>16744</v>
          </cell>
          <cell r="BA129">
            <v>67878</v>
          </cell>
          <cell r="BB129">
            <v>13617</v>
          </cell>
          <cell r="BC129">
            <v>11790</v>
          </cell>
          <cell r="BD129">
            <v>12090</v>
          </cell>
          <cell r="BE129">
            <v>37497</v>
          </cell>
        </row>
        <row r="130">
          <cell r="A130" t="str">
            <v xml:space="preserve">  % Change</v>
          </cell>
          <cell r="B130">
            <v>37950</v>
          </cell>
          <cell r="C130">
            <v>36642</v>
          </cell>
          <cell r="D130">
            <v>42209</v>
          </cell>
          <cell r="E130">
            <v>116801</v>
          </cell>
          <cell r="F130">
            <v>47615</v>
          </cell>
          <cell r="G130">
            <v>50557</v>
          </cell>
          <cell r="H130">
            <v>50620</v>
          </cell>
          <cell r="I130">
            <v>148792</v>
          </cell>
          <cell r="J130">
            <v>55585</v>
          </cell>
          <cell r="K130">
            <v>56872</v>
          </cell>
          <cell r="L130">
            <v>52270</v>
          </cell>
          <cell r="M130">
            <v>164727</v>
          </cell>
          <cell r="N130">
            <v>53546</v>
          </cell>
          <cell r="O130">
            <v>43323</v>
          </cell>
          <cell r="P130">
            <v>38365</v>
          </cell>
          <cell r="Q130">
            <v>135234</v>
          </cell>
          <cell r="R130">
            <v>9.2413635671891647E-2</v>
          </cell>
          <cell r="S130">
            <v>-2.6184514068261167E-2</v>
          </cell>
          <cell r="T130">
            <v>-5.8896917398762794E-2</v>
          </cell>
          <cell r="U130">
            <v>8.1368481204502352E-4</v>
          </cell>
          <cell r="V130">
            <v>-0.1433256959919651</v>
          </cell>
          <cell r="W130">
            <v>-0.19344870210135967</v>
          </cell>
          <cell r="X130">
            <v>-0.20100673122342938</v>
          </cell>
          <cell r="Y130">
            <v>-0.18000020057967525</v>
          </cell>
          <cell r="Z130">
            <v>-0.22778566119332389</v>
          </cell>
          <cell r="AA130">
            <v>-0.2782319103844989</v>
          </cell>
          <cell r="AB130">
            <v>-0.25723889419036905</v>
          </cell>
          <cell r="AC130">
            <v>-0.25458385375269676</v>
          </cell>
          <cell r="AD130">
            <v>-0.28569657566324136</v>
          </cell>
          <cell r="AE130">
            <v>-0.28240740740740744</v>
          </cell>
          <cell r="AF130">
            <v>-0.22242320998928711</v>
          </cell>
          <cell r="AG130">
            <v>-0.26574603890552639</v>
          </cell>
          <cell r="AH130">
            <v>-0.28380872775397903</v>
          </cell>
          <cell r="AI130">
            <v>-0.20530887444572676</v>
          </cell>
          <cell r="AJ130">
            <v>-0.14738915893356896</v>
          </cell>
          <cell r="AK130">
            <v>-0.21376305647098248</v>
          </cell>
          <cell r="AL130">
            <v>-0.20855850079686389</v>
          </cell>
          <cell r="AM130">
            <v>-0.20614851304506476</v>
          </cell>
          <cell r="AN130">
            <v>-0.14344042714356975</v>
          </cell>
          <cell r="AO130">
            <v>-0.18619669043454867</v>
          </cell>
          <cell r="AP130">
            <v>-0.2</v>
          </cell>
          <cell r="AQ130">
            <v>-0.13836810621534867</v>
          </cell>
          <cell r="AR130">
            <v>-0.12377756471716206</v>
          </cell>
          <cell r="AS130">
            <v>-0.15518943225161774</v>
          </cell>
          <cell r="AT130">
            <v>-0.12576894151223561</v>
          </cell>
          <cell r="AU130">
            <v>7.3407044340589866E-3</v>
          </cell>
          <cell r="AV130">
            <v>2.1230463456500814E-3</v>
          </cell>
          <cell r="AW130">
            <v>-4.361490878441121E-2</v>
          </cell>
          <cell r="AX130">
            <v>-0.21158334954289049</v>
          </cell>
          <cell r="AY130">
            <v>-0.52335091339906747</v>
          </cell>
          <cell r="AZ130">
            <v>-0.63841319886842163</v>
          </cell>
          <cell r="BA130">
            <v>-0.46419437340153458</v>
          </cell>
          <cell r="BB130">
            <v>-0.68482084992130354</v>
          </cell>
          <cell r="BC130">
            <v>-0.7290340373698605</v>
          </cell>
          <cell r="BD130">
            <v>-0.73923171494510709</v>
          </cell>
          <cell r="BE130">
            <v>-0.71823291603420558</v>
          </cell>
        </row>
        <row r="131">
          <cell r="A131" t="str">
            <v>NRx</v>
          </cell>
          <cell r="B131">
            <v>37950</v>
          </cell>
          <cell r="C131">
            <v>36642</v>
          </cell>
          <cell r="D131">
            <v>42209</v>
          </cell>
          <cell r="E131">
            <v>116801</v>
          </cell>
          <cell r="F131">
            <v>47615</v>
          </cell>
          <cell r="G131">
            <v>50557</v>
          </cell>
          <cell r="H131">
            <v>50620</v>
          </cell>
          <cell r="I131">
            <v>148792</v>
          </cell>
          <cell r="J131">
            <v>55585</v>
          </cell>
          <cell r="K131">
            <v>56872</v>
          </cell>
          <cell r="L131">
            <v>52270</v>
          </cell>
          <cell r="M131">
            <v>164727</v>
          </cell>
          <cell r="N131">
            <v>53546</v>
          </cell>
          <cell r="O131">
            <v>43323</v>
          </cell>
          <cell r="P131">
            <v>38365</v>
          </cell>
          <cell r="Q131">
            <v>135234</v>
          </cell>
          <cell r="R131">
            <v>40635</v>
          </cell>
          <cell r="S131">
            <v>34605</v>
          </cell>
          <cell r="T131">
            <v>38281</v>
          </cell>
          <cell r="U131">
            <v>113521</v>
          </cell>
          <cell r="V131">
            <v>38457</v>
          </cell>
          <cell r="W131">
            <v>38654</v>
          </cell>
          <cell r="X131">
            <v>38580</v>
          </cell>
          <cell r="Y131">
            <v>115691</v>
          </cell>
          <cell r="Z131">
            <v>40650</v>
          </cell>
          <cell r="AA131">
            <v>39392</v>
          </cell>
          <cell r="AB131">
            <v>37062</v>
          </cell>
          <cell r="AC131">
            <v>117104</v>
          </cell>
          <cell r="AD131">
            <v>37359</v>
          </cell>
          <cell r="AE131">
            <v>30783</v>
          </cell>
          <cell r="AF131">
            <v>30376</v>
          </cell>
          <cell r="AG131">
            <v>98518</v>
          </cell>
          <cell r="AH131">
            <v>28837</v>
          </cell>
          <cell r="AI131">
            <v>28010</v>
          </cell>
          <cell r="AJ131">
            <v>33340</v>
          </cell>
          <cell r="AK131">
            <v>90187</v>
          </cell>
          <cell r="AL131">
            <v>31467</v>
          </cell>
          <cell r="AM131">
            <v>31656</v>
          </cell>
          <cell r="AN131">
            <v>33704</v>
          </cell>
          <cell r="AO131">
            <v>96827</v>
          </cell>
          <cell r="AP131">
            <v>33355</v>
          </cell>
          <cell r="AQ131">
            <v>34680</v>
          </cell>
          <cell r="AR131">
            <v>33876</v>
          </cell>
          <cell r="AS131">
            <v>101911</v>
          </cell>
          <cell r="AT131">
            <v>33346</v>
          </cell>
          <cell r="AU131">
            <v>32216</v>
          </cell>
          <cell r="AV131">
            <v>31426</v>
          </cell>
          <cell r="AW131">
            <v>96988</v>
          </cell>
          <cell r="AX131">
            <v>22226</v>
          </cell>
          <cell r="AY131">
            <v>12059</v>
          </cell>
          <cell r="AZ131">
            <v>10569</v>
          </cell>
          <cell r="BA131">
            <v>44854</v>
          </cell>
          <cell r="BB131">
            <v>8473</v>
          </cell>
          <cell r="BC131">
            <v>7260</v>
          </cell>
          <cell r="BD131">
            <v>7923</v>
          </cell>
          <cell r="BE131">
            <v>23656</v>
          </cell>
        </row>
        <row r="132">
          <cell r="A132" t="str">
            <v xml:space="preserve">  % Change</v>
          </cell>
          <cell r="B132">
            <v>1.730539</v>
          </cell>
          <cell r="C132">
            <v>1.819167</v>
          </cell>
          <cell r="D132">
            <v>2.5270510000000002</v>
          </cell>
          <cell r="E132">
            <v>6.0767570000000006</v>
          </cell>
          <cell r="F132">
            <v>2.2556449999999999</v>
          </cell>
          <cell r="G132">
            <v>2.296786</v>
          </cell>
          <cell r="H132">
            <v>3.0927760000000002</v>
          </cell>
          <cell r="I132">
            <v>7.645207000000001</v>
          </cell>
          <cell r="J132">
            <v>2.567631</v>
          </cell>
          <cell r="K132">
            <v>3.0739550000000002</v>
          </cell>
          <cell r="L132">
            <v>3.8354180000000002</v>
          </cell>
          <cell r="M132">
            <v>9.4770040000000009</v>
          </cell>
          <cell r="N132">
            <v>2.935981</v>
          </cell>
          <cell r="O132">
            <v>2.5476290000000001</v>
          </cell>
          <cell r="P132">
            <v>2.7500529999999999</v>
          </cell>
          <cell r="Q132">
            <v>8.233663</v>
          </cell>
          <cell r="R132">
            <v>7.0750988142292526E-2</v>
          </cell>
          <cell r="S132">
            <v>-5.5591943671197019E-2</v>
          </cell>
          <cell r="T132">
            <v>-9.3060721647042155E-2</v>
          </cell>
          <cell r="U132">
            <v>-2.8081951353156276E-2</v>
          </cell>
          <cell r="V132">
            <v>-0.19233434841961572</v>
          </cell>
          <cell r="W132">
            <v>-0.23543722926597699</v>
          </cell>
          <cell r="X132">
            <v>-0.23785065191623866</v>
          </cell>
          <cell r="Y132">
            <v>-0.22246491746868113</v>
          </cell>
          <cell r="Z132">
            <v>-0.26868759557434563</v>
          </cell>
          <cell r="AA132">
            <v>-0.30735687157124769</v>
          </cell>
          <cell r="AB132">
            <v>-0.29095083221733309</v>
          </cell>
          <cell r="AC132">
            <v>-0.28910257577689147</v>
          </cell>
          <cell r="AD132">
            <v>-0.30230082545848425</v>
          </cell>
          <cell r="AE132">
            <v>-0.28945363894467147</v>
          </cell>
          <cell r="AF132">
            <v>-0.20823667405187019</v>
          </cell>
          <cell r="AG132">
            <v>-0.27149977076770637</v>
          </cell>
          <cell r="AH132">
            <v>-0.29034083917804843</v>
          </cell>
          <cell r="AI132">
            <v>-0.19057939604103458</v>
          </cell>
          <cell r="AJ132">
            <v>-0.12907186332645437</v>
          </cell>
          <cell r="AK132">
            <v>-0.20554787219985726</v>
          </cell>
          <cell r="AL132">
            <v>-0.18176144785084636</v>
          </cell>
          <cell r="AM132">
            <v>-0.18104206550421686</v>
          </cell>
          <cell r="AN132">
            <v>-0.12638672887506475</v>
          </cell>
          <cell r="AO132">
            <v>-0.16305503453164027</v>
          </cell>
          <cell r="AP132">
            <v>-0.17945879458794589</v>
          </cell>
          <cell r="AQ132">
            <v>-0.11961819658813977</v>
          </cell>
          <cell r="AR132">
            <v>-8.5964060223409411E-2</v>
          </cell>
          <cell r="AS132">
            <v>-0.12973937696406612</v>
          </cell>
          <cell r="AT132">
            <v>-0.10741722208838567</v>
          </cell>
          <cell r="AU132">
            <v>4.6551668128512524E-2</v>
          </cell>
          <cell r="AV132">
            <v>3.4566763234132214E-2</v>
          </cell>
          <cell r="AW132">
            <v>-1.5530156925637972E-2</v>
          </cell>
          <cell r="AX132">
            <v>-0.22925408329576591</v>
          </cell>
          <cell r="AY132">
            <v>-0.56947518743305969</v>
          </cell>
          <cell r="AZ132">
            <v>-0.68299340131973607</v>
          </cell>
          <cell r="BA132">
            <v>-0.50265559337820309</v>
          </cell>
          <cell r="BB132">
            <v>-0.73073378459973948</v>
          </cell>
          <cell r="BC132">
            <v>-0.77065959059893863</v>
          </cell>
          <cell r="BD132">
            <v>-0.76492404462378349</v>
          </cell>
          <cell r="BE132">
            <v>-0.75568797959246903</v>
          </cell>
        </row>
        <row r="133">
          <cell r="A133" t="str">
            <v>Sales (IMS)</v>
          </cell>
          <cell r="B133">
            <v>1.730539</v>
          </cell>
          <cell r="C133">
            <v>1.819167</v>
          </cell>
          <cell r="D133">
            <v>2.5270510000000002</v>
          </cell>
          <cell r="E133">
            <v>6.0767570000000006</v>
          </cell>
          <cell r="F133">
            <v>2.2556449999999999</v>
          </cell>
          <cell r="G133">
            <v>2.296786</v>
          </cell>
          <cell r="H133">
            <v>3.0927760000000002</v>
          </cell>
          <cell r="I133">
            <v>7.645207000000001</v>
          </cell>
          <cell r="J133">
            <v>2.567631</v>
          </cell>
          <cell r="K133">
            <v>3.0739550000000002</v>
          </cell>
          <cell r="L133">
            <v>3.8354180000000002</v>
          </cell>
          <cell r="M133">
            <v>9.4770040000000009</v>
          </cell>
          <cell r="N133">
            <v>2.935981</v>
          </cell>
          <cell r="O133">
            <v>2.5476290000000001</v>
          </cell>
          <cell r="P133">
            <v>2.7500529999999999</v>
          </cell>
          <cell r="Q133">
            <v>8.233663</v>
          </cell>
          <cell r="R133">
            <v>2.3147959999999999</v>
          </cell>
          <cell r="S133">
            <v>2.2787929999999998</v>
          </cell>
          <cell r="T133">
            <v>2.9733689999999999</v>
          </cell>
          <cell r="U133">
            <v>7.5669579999999996</v>
          </cell>
          <cell r="V133">
            <v>2.3585880000000001</v>
          </cell>
          <cell r="W133">
            <v>2.4505840000000001</v>
          </cell>
          <cell r="X133">
            <v>3.2015829999999998</v>
          </cell>
          <cell r="Y133">
            <v>8.0107549999999996</v>
          </cell>
          <cell r="Z133">
            <v>2.6257670000000002</v>
          </cell>
          <cell r="AA133">
            <v>2.68391</v>
          </cell>
          <cell r="AB133">
            <v>3.0808620000000002</v>
          </cell>
          <cell r="AC133">
            <v>8.3905390000000004</v>
          </cell>
          <cell r="AD133">
            <v>2.4967290000000002</v>
          </cell>
          <cell r="AE133">
            <v>2.399489</v>
          </cell>
          <cell r="AF133">
            <v>2.6300880000000002</v>
          </cell>
          <cell r="AG133">
            <v>7.5263059999999999</v>
          </cell>
          <cell r="AH133">
            <v>2.1024500000000002</v>
          </cell>
          <cell r="AI133">
            <v>2.1174469999999999</v>
          </cell>
          <cell r="AJ133">
            <v>2.8877259999999998</v>
          </cell>
          <cell r="AK133">
            <v>7.1076229999999994</v>
          </cell>
          <cell r="AL133">
            <v>2.4673080000000001</v>
          </cell>
          <cell r="AM133">
            <v>2.6069260000000001</v>
          </cell>
          <cell r="AN133">
            <v>3.150102</v>
          </cell>
          <cell r="AO133">
            <v>8.224336000000001</v>
          </cell>
          <cell r="AP133">
            <v>2.520213</v>
          </cell>
          <cell r="AQ133">
            <v>2.7218819999999999</v>
          </cell>
          <cell r="AR133">
            <v>3.4748610000000002</v>
          </cell>
          <cell r="AS133">
            <v>8.7169559999999997</v>
          </cell>
          <cell r="AT133">
            <v>2.8610890000000002</v>
          </cell>
          <cell r="AU133">
            <v>2.935921</v>
          </cell>
          <cell r="AV133">
            <v>3.4995039999999999</v>
          </cell>
          <cell r="AW133">
            <v>9.2965140000000002</v>
          </cell>
          <cell r="AX133">
            <v>2.59985</v>
          </cell>
          <cell r="AY133">
            <v>1.3265720000000001</v>
          </cell>
          <cell r="AZ133">
            <v>1.335888</v>
          </cell>
          <cell r="BA133">
            <v>5.2623100000000003</v>
          </cell>
          <cell r="BB133">
            <v>0.94354700000000002</v>
          </cell>
          <cell r="BC133">
            <v>0.91162699999999997</v>
          </cell>
          <cell r="BD133">
            <v>1.1287450000000001</v>
          </cell>
          <cell r="BE133">
            <v>2.9839190000000002</v>
          </cell>
        </row>
        <row r="134">
          <cell r="A134" t="str">
            <v xml:space="preserve">  % Change</v>
          </cell>
          <cell r="R134">
            <v>0.33761562149133861</v>
          </cell>
          <cell r="S134">
            <v>0.25265739758911621</v>
          </cell>
          <cell r="T134">
            <v>0.17661614268964088</v>
          </cell>
          <cell r="U134">
            <v>0.24522965127616581</v>
          </cell>
          <cell r="V134">
            <v>4.5637943914046852E-2</v>
          </cell>
          <cell r="W134">
            <v>6.6962268143397008E-2</v>
          </cell>
          <cell r="X134">
            <v>3.5181015372597102E-2</v>
          </cell>
          <cell r="Y134">
            <v>4.7814009483327036E-2</v>
          </cell>
          <cell r="Z134">
            <v>2.2641882731591956E-2</v>
          </cell>
          <cell r="AA134">
            <v>-0.1268870233949424</v>
          </cell>
          <cell r="AB134">
            <v>-0.19673370673027035</v>
          </cell>
          <cell r="AC134">
            <v>-0.11464224347694696</v>
          </cell>
          <cell r="AD134">
            <v>-0.14960996000995908</v>
          </cell>
          <cell r="AE134">
            <v>-5.8148184056626806E-2</v>
          </cell>
          <cell r="AF134">
            <v>-4.3622795633393108E-2</v>
          </cell>
          <cell r="AG134">
            <v>-8.59103657752327E-2</v>
          </cell>
          <cell r="AH134">
            <v>-9.1734217615720648E-2</v>
          </cell>
          <cell r="AI134">
            <v>-7.0803271732008954E-2</v>
          </cell>
          <cell r="AJ134">
            <v>-2.8803354040484064E-2</v>
          </cell>
          <cell r="AK134">
            <v>-6.0702728890526414E-2</v>
          </cell>
          <cell r="AL134">
            <v>4.6095375707838615E-2</v>
          </cell>
          <cell r="AM134">
            <v>6.379785389931536E-2</v>
          </cell>
          <cell r="AN134">
            <v>-1.6079857995247915E-2</v>
          </cell>
          <cell r="AO134">
            <v>2.6661781567405507E-2</v>
          </cell>
          <cell r="AP134">
            <v>-4.0199301765922124E-2</v>
          </cell>
          <cell r="AQ134">
            <v>1.4148015395449187E-2</v>
          </cell>
          <cell r="AR134">
            <v>0.12788596178601952</v>
          </cell>
          <cell r="AS134">
            <v>3.890298346745058E-2</v>
          </cell>
          <cell r="AT134">
            <v>0.14593494127716711</v>
          </cell>
          <cell r="AU134">
            <v>0.22356093318202341</v>
          </cell>
          <cell r="AV134">
            <v>0.33056536511325851</v>
          </cell>
          <cell r="AW134">
            <v>0.23520276746653668</v>
          </cell>
          <cell r="AX134">
            <v>0.23658113153701632</v>
          </cell>
          <cell r="AY134">
            <v>-0.37350403575626678</v>
          </cell>
          <cell r="AZ134">
            <v>-0.53739101285925317</v>
          </cell>
          <cell r="BA134">
            <v>-0.25962449049421998</v>
          </cell>
          <cell r="BB134">
            <v>-0.61758037504843333</v>
          </cell>
          <cell r="BC134">
            <v>-0.65030576241903304</v>
          </cell>
          <cell r="BD134">
            <v>-0.64167985671575067</v>
          </cell>
          <cell r="BE134">
            <v>-0.63718420550911348</v>
          </cell>
        </row>
        <row r="135">
          <cell r="A135" t="str">
            <v>Price Change</v>
          </cell>
          <cell r="B135">
            <v>13441</v>
          </cell>
          <cell r="C135">
            <v>12638</v>
          </cell>
          <cell r="D135">
            <v>13781</v>
          </cell>
          <cell r="E135">
            <v>39860</v>
          </cell>
          <cell r="F135">
            <v>14672</v>
          </cell>
          <cell r="G135">
            <v>15263</v>
          </cell>
          <cell r="H135">
            <v>15074</v>
          </cell>
          <cell r="I135">
            <v>45009</v>
          </cell>
          <cell r="J135">
            <v>16464</v>
          </cell>
          <cell r="K135">
            <v>16623</v>
          </cell>
          <cell r="L135">
            <v>15494</v>
          </cell>
          <cell r="M135">
            <v>48581</v>
          </cell>
          <cell r="N135">
            <v>17905</v>
          </cell>
          <cell r="O135">
            <v>17132</v>
          </cell>
          <cell r="P135">
            <v>16401</v>
          </cell>
          <cell r="Q135">
            <v>51438</v>
          </cell>
          <cell r="R135">
            <v>2.844243792325063E-2</v>
          </cell>
          <cell r="S135">
            <v>11122</v>
          </cell>
          <cell r="T135">
            <v>10121</v>
          </cell>
          <cell r="U135">
            <v>2.844243792325063E-2</v>
          </cell>
          <cell r="V135">
            <v>7575</v>
          </cell>
          <cell r="W135">
            <v>5946</v>
          </cell>
          <cell r="X135">
            <v>4468</v>
          </cell>
          <cell r="Y135">
            <v>2.844243792325063E-2</v>
          </cell>
          <cell r="Z135">
            <v>9.2114959469417723E-2</v>
          </cell>
          <cell r="AA135">
            <v>2607</v>
          </cell>
          <cell r="AB135">
            <v>2077</v>
          </cell>
          <cell r="AC135">
            <v>0.12055739739266835</v>
          </cell>
          <cell r="AD135">
            <v>6.0053981106612753E-2</v>
          </cell>
          <cell r="AE135">
            <v>1402</v>
          </cell>
          <cell r="AF135">
            <v>1389</v>
          </cell>
          <cell r="AG135">
            <v>0.18061137849928111</v>
          </cell>
          <cell r="AH135">
            <v>1115</v>
          </cell>
          <cell r="AI135">
            <v>989</v>
          </cell>
          <cell r="AJ135">
            <v>1060</v>
          </cell>
          <cell r="AK135">
            <v>0.15216894057603048</v>
          </cell>
          <cell r="AL135">
            <v>1.7398684489709382E-2</v>
          </cell>
          <cell r="AM135">
            <v>688</v>
          </cell>
          <cell r="AN135">
            <v>560</v>
          </cell>
          <cell r="AO135">
            <v>0.16956762506573986</v>
          </cell>
          <cell r="AP135">
            <v>8.0083420229405622E-2</v>
          </cell>
          <cell r="AQ135">
            <v>413</v>
          </cell>
          <cell r="AR135">
            <v>320</v>
          </cell>
          <cell r="AS135">
            <v>0.15753608582572776</v>
          </cell>
          <cell r="AT135">
            <v>272</v>
          </cell>
          <cell r="AU135">
            <v>243</v>
          </cell>
          <cell r="AV135">
            <v>261</v>
          </cell>
          <cell r="AW135">
            <v>9.7482104719115004E-2</v>
          </cell>
          <cell r="AX135">
            <v>0.15522593997930323</v>
          </cell>
          <cell r="AY135">
            <v>68</v>
          </cell>
          <cell r="AZ135">
            <v>67</v>
          </cell>
          <cell r="BA135">
            <v>0.25270804469841823</v>
          </cell>
          <cell r="BB135">
            <v>7.0170200059719301E-2</v>
          </cell>
          <cell r="BC135">
            <v>50</v>
          </cell>
          <cell r="BD135">
            <v>33</v>
          </cell>
          <cell r="BE135">
            <v>0.30547956026842815</v>
          </cell>
        </row>
        <row r="136">
          <cell r="A136" t="str">
            <v>Loprox TS</v>
          </cell>
          <cell r="R136">
            <v>0.15564318131091426</v>
          </cell>
          <cell r="S136">
            <v>-0.11995568919132771</v>
          </cell>
          <cell r="T136">
            <v>-0.26558304912560771</v>
          </cell>
          <cell r="U136">
            <v>-7.7370797792272961E-2</v>
          </cell>
          <cell r="V136">
            <v>-0.4837104689203926</v>
          </cell>
          <cell r="W136">
            <v>-0.61043045272882135</v>
          </cell>
          <cell r="X136">
            <v>-0.70359559506434921</v>
          </cell>
          <cell r="Y136">
            <v>-0.60032437956853069</v>
          </cell>
          <cell r="Z136">
            <v>-0.78164480077745391</v>
          </cell>
          <cell r="AA136">
            <v>-0.84316910304999104</v>
          </cell>
          <cell r="AB136">
            <v>-0.8659481089453982</v>
          </cell>
          <cell r="AC136">
            <v>-0.82958358205882954</v>
          </cell>
          <cell r="AD136">
            <v>-0.89946942194917623</v>
          </cell>
          <cell r="AE136">
            <v>-0.91816483773056268</v>
          </cell>
          <cell r="AF136">
            <v>-0.91531004207060551</v>
          </cell>
          <cell r="AG136">
            <v>-0.91074691862047508</v>
          </cell>
          <cell r="AH136">
            <v>-0.92821734371982234</v>
          </cell>
          <cell r="AI136">
            <v>-0.91107714439848952</v>
          </cell>
          <cell r="AJ136">
            <v>-0.89526726608042684</v>
          </cell>
          <cell r="AK136">
            <v>-0.91396562975853812</v>
          </cell>
          <cell r="AL136">
            <v>-0.85016501650165011</v>
          </cell>
          <cell r="AM136">
            <v>-0.88429196098217289</v>
          </cell>
          <cell r="AN136">
            <v>-0.87466427931960611</v>
          </cell>
          <cell r="AO136">
            <v>-0.86753015731836125</v>
          </cell>
          <cell r="AP136">
            <v>-0.84812239221140473</v>
          </cell>
          <cell r="AQ136">
            <v>-0.84158036056770236</v>
          </cell>
          <cell r="AR136">
            <v>-0.84593163216177181</v>
          </cell>
          <cell r="AS136">
            <v>-0.84551274308491364</v>
          </cell>
          <cell r="AT136">
            <v>-0.84888888888888892</v>
          </cell>
          <cell r="AU136">
            <v>-0.82667617689015693</v>
          </cell>
          <cell r="AV136">
            <v>-0.81209503239740821</v>
          </cell>
          <cell r="AW136">
            <v>-0.83097364408625574</v>
          </cell>
          <cell r="AX136">
            <v>-0.8645739910313901</v>
          </cell>
          <cell r="AY136">
            <v>-0.93124368048533879</v>
          </cell>
          <cell r="AZ136">
            <v>-0.93679245283018864</v>
          </cell>
          <cell r="BA136">
            <v>-0.90960809102402018</v>
          </cell>
          <cell r="BB136">
            <v>-0.92511013215859028</v>
          </cell>
          <cell r="BC136">
            <v>-0.92732558139534882</v>
          </cell>
          <cell r="BD136">
            <v>-0.94107142857142856</v>
          </cell>
          <cell r="BE136">
            <v>-0.92950062945866552</v>
          </cell>
        </row>
        <row r="137">
          <cell r="A137" t="str">
            <v>Loprox TS</v>
          </cell>
          <cell r="B137">
            <v>9474</v>
          </cell>
          <cell r="C137">
            <v>8999</v>
          </cell>
          <cell r="D137">
            <v>9902</v>
          </cell>
          <cell r="E137">
            <v>28375</v>
          </cell>
          <cell r="F137">
            <v>10380</v>
          </cell>
          <cell r="G137">
            <v>10841</v>
          </cell>
          <cell r="H137">
            <v>10685</v>
          </cell>
          <cell r="I137">
            <v>31906</v>
          </cell>
          <cell r="J137">
            <v>11695</v>
          </cell>
          <cell r="K137">
            <v>11845</v>
          </cell>
          <cell r="L137">
            <v>21</v>
          </cell>
          <cell r="M137">
            <v>21</v>
          </cell>
          <cell r="N137">
            <v>3486</v>
          </cell>
          <cell r="O137">
            <v>8318</v>
          </cell>
          <cell r="P137">
            <v>11079</v>
          </cell>
          <cell r="Q137">
            <v>22883</v>
          </cell>
          <cell r="R137">
            <v>14350</v>
          </cell>
          <cell r="S137">
            <v>18228</v>
          </cell>
          <cell r="T137">
            <v>26917</v>
          </cell>
          <cell r="U137">
            <v>59495</v>
          </cell>
          <cell r="V137">
            <v>34600</v>
          </cell>
          <cell r="W137">
            <v>39680</v>
          </cell>
          <cell r="X137">
            <v>44663</v>
          </cell>
          <cell r="Y137">
            <v>118943</v>
          </cell>
          <cell r="Z137">
            <v>49528</v>
          </cell>
          <cell r="AA137">
            <v>48837</v>
          </cell>
          <cell r="AB137">
            <v>47867</v>
          </cell>
          <cell r="AC137">
            <v>146232</v>
          </cell>
          <cell r="AD137">
            <v>48702</v>
          </cell>
          <cell r="AE137">
            <v>42806</v>
          </cell>
          <cell r="AF137">
            <v>43227</v>
          </cell>
          <cell r="AG137">
            <v>134735</v>
          </cell>
          <cell r="AH137">
            <v>41502</v>
          </cell>
          <cell r="AI137">
            <v>41020</v>
          </cell>
          <cell r="AJ137">
            <v>49679</v>
          </cell>
          <cell r="AK137">
            <v>132201</v>
          </cell>
          <cell r="AL137">
            <v>48754</v>
          </cell>
          <cell r="AM137">
            <v>50085</v>
          </cell>
          <cell r="AN137">
            <v>53309</v>
          </cell>
          <cell r="AO137">
            <v>152148</v>
          </cell>
          <cell r="AP137">
            <v>51058</v>
          </cell>
          <cell r="AQ137">
            <v>45960</v>
          </cell>
          <cell r="AR137">
            <v>26150</v>
          </cell>
          <cell r="AS137">
            <v>123168</v>
          </cell>
          <cell r="AT137">
            <v>18331</v>
          </cell>
          <cell r="AU137">
            <v>14531</v>
          </cell>
          <cell r="AV137">
            <v>11821</v>
          </cell>
          <cell r="AW137">
            <v>44683</v>
          </cell>
          <cell r="AX137">
            <v>9591</v>
          </cell>
          <cell r="AY137">
            <v>8173</v>
          </cell>
          <cell r="AZ137">
            <v>8273</v>
          </cell>
          <cell r="BA137">
            <v>26037</v>
          </cell>
          <cell r="BB137">
            <v>7308</v>
          </cell>
          <cell r="BC137">
            <v>6524</v>
          </cell>
          <cell r="BD137">
            <v>6599</v>
          </cell>
          <cell r="BE137">
            <v>20431</v>
          </cell>
        </row>
        <row r="138">
          <cell r="A138" t="str">
            <v>TRx</v>
          </cell>
          <cell r="L138">
            <v>21</v>
          </cell>
          <cell r="M138">
            <v>21</v>
          </cell>
          <cell r="N138">
            <v>3486</v>
          </cell>
          <cell r="O138">
            <v>8318</v>
          </cell>
          <cell r="P138">
            <v>11079</v>
          </cell>
          <cell r="Q138">
            <v>22883</v>
          </cell>
          <cell r="R138">
            <v>14350</v>
          </cell>
          <cell r="S138">
            <v>18228</v>
          </cell>
          <cell r="T138">
            <v>26917</v>
          </cell>
          <cell r="U138">
            <v>59495</v>
          </cell>
          <cell r="V138">
            <v>34600</v>
          </cell>
          <cell r="W138">
            <v>39680</v>
          </cell>
          <cell r="X138">
            <v>44663</v>
          </cell>
          <cell r="Y138">
            <v>118943</v>
          </cell>
          <cell r="Z138">
            <v>49528</v>
          </cell>
          <cell r="AA138">
            <v>48837</v>
          </cell>
          <cell r="AB138">
            <v>47867</v>
          </cell>
          <cell r="AC138">
            <v>146232</v>
          </cell>
          <cell r="AD138">
            <v>48702</v>
          </cell>
          <cell r="AE138">
            <v>42806</v>
          </cell>
          <cell r="AF138">
            <v>43227</v>
          </cell>
          <cell r="AG138">
            <v>134735</v>
          </cell>
          <cell r="AH138">
            <v>41502</v>
          </cell>
          <cell r="AI138">
            <v>41020</v>
          </cell>
          <cell r="AJ138">
            <v>49679</v>
          </cell>
          <cell r="AK138">
            <v>132201</v>
          </cell>
          <cell r="AL138">
            <v>48754</v>
          </cell>
          <cell r="AM138">
            <v>50085</v>
          </cell>
          <cell r="AN138">
            <v>53309</v>
          </cell>
          <cell r="AO138">
            <v>152148</v>
          </cell>
          <cell r="AP138">
            <v>51058</v>
          </cell>
          <cell r="AQ138">
            <v>45960</v>
          </cell>
          <cell r="AR138">
            <v>26150</v>
          </cell>
          <cell r="AS138">
            <v>123168</v>
          </cell>
          <cell r="AT138">
            <v>18331</v>
          </cell>
          <cell r="AU138">
            <v>14531</v>
          </cell>
          <cell r="AV138">
            <v>11821</v>
          </cell>
          <cell r="AW138">
            <v>44683</v>
          </cell>
          <cell r="AX138">
            <v>9591</v>
          </cell>
          <cell r="AY138">
            <v>8173</v>
          </cell>
          <cell r="AZ138">
            <v>8273</v>
          </cell>
          <cell r="BA138">
            <v>26037</v>
          </cell>
          <cell r="BB138">
            <v>7308</v>
          </cell>
          <cell r="BC138">
            <v>6524</v>
          </cell>
          <cell r="BD138">
            <v>6599</v>
          </cell>
          <cell r="BE138">
            <v>20431</v>
          </cell>
        </row>
        <row r="139">
          <cell r="A139" t="str">
            <v xml:space="preserve">  % Change</v>
          </cell>
          <cell r="B139">
            <v>0.66121200000000002</v>
          </cell>
          <cell r="C139">
            <v>0.668956</v>
          </cell>
          <cell r="D139">
            <v>0.91100099999999995</v>
          </cell>
          <cell r="E139">
            <v>2.2411690000000002</v>
          </cell>
          <cell r="F139">
            <v>0.75551800000000002</v>
          </cell>
          <cell r="G139">
            <v>0.77874699999999997</v>
          </cell>
          <cell r="H139">
            <v>1.0091270000000001</v>
          </cell>
          <cell r="I139">
            <v>2.5433919999999999</v>
          </cell>
          <cell r="J139">
            <v>0.80140999999999996</v>
          </cell>
          <cell r="K139">
            <v>0.91378499999999996</v>
          </cell>
          <cell r="L139">
            <v>21</v>
          </cell>
          <cell r="M139">
            <v>21</v>
          </cell>
          <cell r="N139">
            <v>3395</v>
          </cell>
          <cell r="O139">
            <v>7746</v>
          </cell>
          <cell r="P139">
            <v>9720</v>
          </cell>
          <cell r="Q139">
            <v>20861</v>
          </cell>
          <cell r="R139">
            <v>12459</v>
          </cell>
          <cell r="S139">
            <v>15348</v>
          </cell>
          <cell r="T139">
            <v>22381</v>
          </cell>
          <cell r="U139">
            <v>50188</v>
          </cell>
          <cell r="V139">
            <v>28464</v>
          </cell>
          <cell r="W139">
            <v>31884</v>
          </cell>
          <cell r="X139">
            <v>35414</v>
          </cell>
          <cell r="Y139">
            <v>95762</v>
          </cell>
          <cell r="Z139">
            <v>38536</v>
          </cell>
          <cell r="AA139">
            <v>37009</v>
          </cell>
          <cell r="AB139">
            <v>35798</v>
          </cell>
          <cell r="AC139">
            <v>111343</v>
          </cell>
          <cell r="AD139">
            <v>36326</v>
          </cell>
          <cell r="AE139">
            <v>31616</v>
          </cell>
          <cell r="AF139">
            <v>30761</v>
          </cell>
          <cell r="AG139">
            <v>4.8879954551413709</v>
          </cell>
          <cell r="AH139">
            <v>1.8921254355400698</v>
          </cell>
          <cell r="AI139">
            <v>1.2503840245775728</v>
          </cell>
          <cell r="AJ139">
            <v>0.84563658654381979</v>
          </cell>
          <cell r="AK139">
            <v>1.2220522733002772</v>
          </cell>
          <cell r="AL139">
            <v>0.40907514450867044</v>
          </cell>
          <cell r="AM139">
            <v>0.2622227822580645</v>
          </cell>
          <cell r="AN139">
            <v>0.19358305532543718</v>
          </cell>
          <cell r="AO139">
            <v>0.27916733225158263</v>
          </cell>
          <cell r="AP139">
            <v>3.0891616863188531E-2</v>
          </cell>
          <cell r="AQ139">
            <v>-5.8910252472510582E-2</v>
          </cell>
          <cell r="AR139">
            <v>-0.45369461215451146</v>
          </cell>
          <cell r="AS139">
            <v>-0.15772197603807647</v>
          </cell>
          <cell r="AT139">
            <v>-0.62360888669869818</v>
          </cell>
          <cell r="AU139">
            <v>-0.66053824230248104</v>
          </cell>
          <cell r="AV139">
            <v>-0.72653665533115874</v>
          </cell>
          <cell r="AW139">
            <v>-0.66836382528667382</v>
          </cell>
          <cell r="AX139">
            <v>-0.76890270348416945</v>
          </cell>
          <cell r="AY139">
            <v>-0.80075572891272551</v>
          </cell>
          <cell r="AZ139">
            <v>-0.83347088306930495</v>
          </cell>
          <cell r="BA139">
            <v>-0.80304990128667708</v>
          </cell>
          <cell r="BB139">
            <v>-0.85010460680149325</v>
          </cell>
          <cell r="BC139">
            <v>-0.86974143955276029</v>
          </cell>
          <cell r="BD139">
            <v>-0.87621227184903117</v>
          </cell>
          <cell r="BE139">
            <v>-0.86571627625732839</v>
          </cell>
        </row>
        <row r="140">
          <cell r="A140" t="str">
            <v>NRx</v>
          </cell>
          <cell r="L140">
            <v>21</v>
          </cell>
          <cell r="M140">
            <v>21</v>
          </cell>
          <cell r="N140">
            <v>3395</v>
          </cell>
          <cell r="O140">
            <v>7746</v>
          </cell>
          <cell r="P140">
            <v>9720</v>
          </cell>
          <cell r="Q140">
            <v>20861</v>
          </cell>
          <cell r="R140">
            <v>12459</v>
          </cell>
          <cell r="S140">
            <v>15348</v>
          </cell>
          <cell r="T140">
            <v>22381</v>
          </cell>
          <cell r="U140">
            <v>50188</v>
          </cell>
          <cell r="V140">
            <v>28464</v>
          </cell>
          <cell r="W140">
            <v>31884</v>
          </cell>
          <cell r="X140">
            <v>35414</v>
          </cell>
          <cell r="Y140">
            <v>95762</v>
          </cell>
          <cell r="Z140">
            <v>38536</v>
          </cell>
          <cell r="AA140">
            <v>37009</v>
          </cell>
          <cell r="AB140">
            <v>35798</v>
          </cell>
          <cell r="AC140">
            <v>111343</v>
          </cell>
          <cell r="AD140">
            <v>36326</v>
          </cell>
          <cell r="AE140">
            <v>31616</v>
          </cell>
          <cell r="AF140">
            <v>30761</v>
          </cell>
          <cell r="AG140">
            <v>98703</v>
          </cell>
          <cell r="AH140">
            <v>30450</v>
          </cell>
          <cell r="AI140">
            <v>30772</v>
          </cell>
          <cell r="AJ140">
            <v>37336</v>
          </cell>
          <cell r="AK140">
            <v>98558</v>
          </cell>
          <cell r="AL140">
            <v>36464</v>
          </cell>
          <cell r="AM140">
            <v>37466</v>
          </cell>
          <cell r="AN140">
            <v>39594</v>
          </cell>
          <cell r="AO140">
            <v>113524</v>
          </cell>
          <cell r="AP140">
            <v>37073</v>
          </cell>
          <cell r="AQ140">
            <v>32729</v>
          </cell>
          <cell r="AR140">
            <v>17013</v>
          </cell>
          <cell r="AS140">
            <v>86815</v>
          </cell>
          <cell r="AT140">
            <v>11391</v>
          </cell>
          <cell r="AU140">
            <v>8781</v>
          </cell>
          <cell r="AV140">
            <v>6923</v>
          </cell>
          <cell r="AW140">
            <v>27095</v>
          </cell>
          <cell r="AX140">
            <v>5730</v>
          </cell>
          <cell r="AY140">
            <v>4957</v>
          </cell>
          <cell r="AZ140">
            <v>4988</v>
          </cell>
          <cell r="BA140">
            <v>15675</v>
          </cell>
          <cell r="BB140">
            <v>4406</v>
          </cell>
          <cell r="BC140">
            <v>4038</v>
          </cell>
          <cell r="BD140">
            <v>4021</v>
          </cell>
          <cell r="BE140">
            <v>12465</v>
          </cell>
        </row>
        <row r="141">
          <cell r="A141" t="str">
            <v xml:space="preserve">  % Change</v>
          </cell>
          <cell r="M141">
            <v>0</v>
          </cell>
          <cell r="N141">
            <v>0.382162</v>
          </cell>
          <cell r="O141">
            <v>0.61833300000000002</v>
          </cell>
          <cell r="P141">
            <v>0.82899400000000001</v>
          </cell>
          <cell r="Q141">
            <v>1.8294889999999999</v>
          </cell>
          <cell r="R141">
            <v>0.93543600000000005</v>
          </cell>
          <cell r="S141">
            <v>1.246</v>
          </cell>
          <cell r="T141">
            <v>2.2817400000000001</v>
          </cell>
          <cell r="U141">
            <v>4.4631760000000007</v>
          </cell>
          <cell r="V141">
            <v>2.1660599999999999</v>
          </cell>
          <cell r="W141">
            <v>2.4381020000000002</v>
          </cell>
          <cell r="X141">
            <v>3.4760170000000001</v>
          </cell>
          <cell r="Y141">
            <v>8.0801790000000011</v>
          </cell>
          <cell r="Z141">
            <v>2.9209179999999999</v>
          </cell>
          <cell r="AA141">
            <v>3.002154</v>
          </cell>
          <cell r="AB141">
            <v>3.522656</v>
          </cell>
          <cell r="AC141">
            <v>9.445727999999999</v>
          </cell>
          <cell r="AD141">
            <v>2.9298380000000002</v>
          </cell>
          <cell r="AE141">
            <v>2.9146619999999999</v>
          </cell>
          <cell r="AF141">
            <v>3.1751369999999999</v>
          </cell>
          <cell r="AG141">
            <v>3.7314606202962466</v>
          </cell>
          <cell r="AH141">
            <v>1.4440163737057548</v>
          </cell>
          <cell r="AI141">
            <v>1.0049517852488923</v>
          </cell>
          <cell r="AJ141">
            <v>0.66820070595594472</v>
          </cell>
          <cell r="AK141">
            <v>0.96377620148242604</v>
          </cell>
          <cell r="AL141">
            <v>0.28105677346824054</v>
          </cell>
          <cell r="AM141">
            <v>0.17507213649479358</v>
          </cell>
          <cell r="AN141">
            <v>0.11803241655842323</v>
          </cell>
          <cell r="AO141">
            <v>0.18548067082976538</v>
          </cell>
          <cell r="AP141">
            <v>-3.7964500726593298E-2</v>
          </cell>
          <cell r="AQ141">
            <v>-0.11564754519171017</v>
          </cell>
          <cell r="AR141">
            <v>-0.52474998603273926</v>
          </cell>
          <cell r="AS141">
            <v>-0.22029225007409536</v>
          </cell>
          <cell r="AT141">
            <v>-0.68642294775092227</v>
          </cell>
          <cell r="AU141">
            <v>-0.7222608805668016</v>
          </cell>
          <cell r="AV141">
            <v>-0.77494229706446471</v>
          </cell>
          <cell r="AW141">
            <v>-0.72548960011347174</v>
          </cell>
          <cell r="AX141">
            <v>-0.81182266009852211</v>
          </cell>
          <cell r="AY141">
            <v>-0.83891199792018722</v>
          </cell>
          <cell r="AZ141">
            <v>-0.86640239982858369</v>
          </cell>
          <cell r="BA141">
            <v>-0.84095659408673062</v>
          </cell>
          <cell r="BB141">
            <v>-0.87916849495392713</v>
          </cell>
          <cell r="BC141">
            <v>-0.89222228153525862</v>
          </cell>
          <cell r="BD141">
            <v>-0.89844420871849273</v>
          </cell>
          <cell r="BE141">
            <v>-0.89019942919558859</v>
          </cell>
        </row>
        <row r="142">
          <cell r="A142" t="str">
            <v>Sales (IMS)</v>
          </cell>
          <cell r="M142">
            <v>0</v>
          </cell>
          <cell r="N142">
            <v>0.382162</v>
          </cell>
          <cell r="O142">
            <v>0.61833300000000002</v>
          </cell>
          <cell r="P142">
            <v>0.82899400000000001</v>
          </cell>
          <cell r="Q142">
            <v>1.8294889999999999</v>
          </cell>
          <cell r="R142">
            <v>0.93543600000000005</v>
          </cell>
          <cell r="S142">
            <v>1.246</v>
          </cell>
          <cell r="T142">
            <v>2.2817400000000001</v>
          </cell>
          <cell r="U142">
            <v>4.4631760000000007</v>
          </cell>
          <cell r="V142">
            <v>2.1660599999999999</v>
          </cell>
          <cell r="W142">
            <v>2.4381020000000002</v>
          </cell>
          <cell r="X142">
            <v>3.4760170000000001</v>
          </cell>
          <cell r="Y142">
            <v>8.0801790000000011</v>
          </cell>
          <cell r="Z142">
            <v>2.9209179999999999</v>
          </cell>
          <cell r="AA142">
            <v>3.002154</v>
          </cell>
          <cell r="AB142">
            <v>3.522656</v>
          </cell>
          <cell r="AC142">
            <v>9.445727999999999</v>
          </cell>
          <cell r="AD142">
            <v>2.9298380000000002</v>
          </cell>
          <cell r="AE142">
            <v>2.9146619999999999</v>
          </cell>
          <cell r="AF142">
            <v>3.1751369999999999</v>
          </cell>
          <cell r="AG142">
            <v>9.0196369999999995</v>
          </cell>
          <cell r="AH142">
            <v>2.609372</v>
          </cell>
          <cell r="AI142">
            <v>2.7257479999999998</v>
          </cell>
          <cell r="AJ142">
            <v>3.8056169999999998</v>
          </cell>
          <cell r="AK142">
            <v>9.1407369999999997</v>
          </cell>
          <cell r="AL142">
            <v>3.1991079999999998</v>
          </cell>
          <cell r="AM142">
            <v>3.6146440000000002</v>
          </cell>
          <cell r="AN142">
            <v>4.3418999999999999</v>
          </cell>
          <cell r="AO142">
            <v>11.155652</v>
          </cell>
          <cell r="AP142">
            <v>3.4571900000000002</v>
          </cell>
          <cell r="AQ142">
            <v>3.387921</v>
          </cell>
          <cell r="AR142">
            <v>2.4556789999999999</v>
          </cell>
          <cell r="AS142">
            <v>9.3007899999999992</v>
          </cell>
          <cell r="AT142">
            <v>1.391483</v>
          </cell>
          <cell r="AU142">
            <v>1.089137</v>
          </cell>
          <cell r="AV142">
            <v>1.0998030000000001</v>
          </cell>
          <cell r="AW142">
            <v>3.5804230000000001</v>
          </cell>
          <cell r="AX142">
            <v>0.72975500000000004</v>
          </cell>
          <cell r="AY142">
            <v>0.70398099999999997</v>
          </cell>
          <cell r="AZ142">
            <v>0.81673399999999996</v>
          </cell>
          <cell r="BA142">
            <v>2.25047</v>
          </cell>
          <cell r="BB142">
            <v>0.64484200000000003</v>
          </cell>
          <cell r="BC142">
            <v>0.64833399999999997</v>
          </cell>
          <cell r="BD142">
            <v>0.773567</v>
          </cell>
          <cell r="BE142">
            <v>2.0667429999999998</v>
          </cell>
        </row>
        <row r="143">
          <cell r="A143" t="str">
            <v xml:space="preserve">  % Change</v>
          </cell>
          <cell r="Z143">
            <v>0.1461538461538463</v>
          </cell>
          <cell r="AC143">
            <v>0.1461538461538463</v>
          </cell>
          <cell r="AD143">
            <v>6.0178970917225794E-2</v>
          </cell>
          <cell r="AG143">
            <v>3.9301400555018366</v>
          </cell>
          <cell r="AH143">
            <v>1.7894714336416389</v>
          </cell>
          <cell r="AI143">
            <v>1.1875987158908505</v>
          </cell>
          <cell r="AJ143">
            <v>0.66785742459701791</v>
          </cell>
          <cell r="AK143">
            <v>1.0480341801443633</v>
          </cell>
          <cell r="AL143">
            <v>0.47692492359399097</v>
          </cell>
          <cell r="AM143">
            <v>0.48256471632441955</v>
          </cell>
          <cell r="AN143">
            <v>0.24910206135355484</v>
          </cell>
          <cell r="AO143">
            <v>0.38061941449564407</v>
          </cell>
          <cell r="AP143">
            <v>0.1835970746183222</v>
          </cell>
          <cell r="AQ143">
            <v>0.12849673934115313</v>
          </cell>
          <cell r="AR143">
            <v>-0.30288992169544804</v>
          </cell>
          <cell r="AS143">
            <v>-1.5344291091168416E-2</v>
          </cell>
          <cell r="AT143">
            <v>-0.52506486706773559</v>
          </cell>
          <cell r="AU143">
            <v>-0.6263247676746051</v>
          </cell>
          <cell r="AV143">
            <v>-0.65362030047837294</v>
          </cell>
          <cell r="AW143">
            <v>-0.60304134190766212</v>
          </cell>
          <cell r="AX143">
            <v>-0.72033309164044068</v>
          </cell>
          <cell r="AY143">
            <v>-0.74172924276198682</v>
          </cell>
          <cell r="AZ143">
            <v>-0.78538723155798396</v>
          </cell>
          <cell r="BA143">
            <v>-0.75379775175677843</v>
          </cell>
          <cell r="BB143">
            <v>-0.79843068755415569</v>
          </cell>
          <cell r="BC143">
            <v>-0.82063683173225366</v>
          </cell>
          <cell r="BD143">
            <v>-0.82183675349501373</v>
          </cell>
          <cell r="BE143">
            <v>-0.81473579491364556</v>
          </cell>
        </row>
        <row r="144">
          <cell r="A144" t="str">
            <v>Price Change</v>
          </cell>
          <cell r="B144">
            <v>52568</v>
          </cell>
          <cell r="C144">
            <v>50717</v>
          </cell>
          <cell r="D144">
            <v>57711</v>
          </cell>
          <cell r="E144">
            <v>160996</v>
          </cell>
          <cell r="F144">
            <v>63722</v>
          </cell>
          <cell r="G144">
            <v>67956</v>
          </cell>
          <cell r="H144">
            <v>67744</v>
          </cell>
          <cell r="I144">
            <v>199422</v>
          </cell>
          <cell r="J144">
            <v>73995</v>
          </cell>
          <cell r="K144">
            <v>75969</v>
          </cell>
          <cell r="L144">
            <v>70211</v>
          </cell>
          <cell r="M144">
            <v>220175</v>
          </cell>
          <cell r="N144">
            <v>72598</v>
          </cell>
          <cell r="O144">
            <v>61128</v>
          </cell>
          <cell r="P144">
            <v>56941</v>
          </cell>
          <cell r="Q144">
            <v>190667</v>
          </cell>
          <cell r="R144">
            <v>57426</v>
          </cell>
          <cell r="S144">
            <v>49389</v>
          </cell>
          <cell r="T144">
            <v>54312</v>
          </cell>
          <cell r="U144">
            <v>161127</v>
          </cell>
          <cell r="V144">
            <v>54589</v>
          </cell>
          <cell r="W144">
            <v>54810</v>
          </cell>
          <cell r="X144">
            <v>54127</v>
          </cell>
          <cell r="Y144">
            <v>163526</v>
          </cell>
          <cell r="Z144">
            <v>0.1461538461538463</v>
          </cell>
          <cell r="AA144">
            <v>54832</v>
          </cell>
          <cell r="AB144">
            <v>52150</v>
          </cell>
          <cell r="AC144">
            <v>0.1461538461538463</v>
          </cell>
          <cell r="AD144">
            <v>6.0178970917225794E-2</v>
          </cell>
          <cell r="AE144">
            <v>43865</v>
          </cell>
          <cell r="AF144">
            <v>44276</v>
          </cell>
          <cell r="AG144">
            <v>0.20633281707107209</v>
          </cell>
          <cell r="AH144">
            <v>37987</v>
          </cell>
          <cell r="AI144">
            <v>38018</v>
          </cell>
          <cell r="AJ144">
            <v>38047</v>
          </cell>
          <cell r="AK144">
            <v>0.20633281707107209</v>
          </cell>
          <cell r="AL144">
            <v>1.7514243511289163E-2</v>
          </cell>
          <cell r="AM144">
            <v>38108</v>
          </cell>
          <cell r="AN144">
            <v>38139</v>
          </cell>
          <cell r="AO144">
            <v>0.22384706058236126</v>
          </cell>
          <cell r="AP144">
            <v>7.9842389050186702E-2</v>
          </cell>
          <cell r="AQ144">
            <v>38200</v>
          </cell>
          <cell r="AR144">
            <v>38231</v>
          </cell>
          <cell r="AS144">
            <v>0.15753560347870166</v>
          </cell>
          <cell r="AT144">
            <v>38261</v>
          </cell>
          <cell r="AU144">
            <v>38292</v>
          </cell>
          <cell r="AV144">
            <v>38322</v>
          </cell>
          <cell r="AW144">
            <v>9.7356632561475864E-2</v>
          </cell>
          <cell r="AX144">
            <v>0.17726137891300175</v>
          </cell>
          <cell r="AY144">
            <v>38384</v>
          </cell>
          <cell r="AZ144">
            <v>38412</v>
          </cell>
          <cell r="BA144">
            <v>0.27461801147447762</v>
          </cell>
          <cell r="BB144">
            <v>38443</v>
          </cell>
          <cell r="BC144">
            <v>38473</v>
          </cell>
          <cell r="BD144">
            <v>38504</v>
          </cell>
          <cell r="BE144">
            <v>0.25710376796318846</v>
          </cell>
        </row>
        <row r="145">
          <cell r="A145" t="str">
            <v xml:space="preserve">  % Change</v>
          </cell>
          <cell r="R145">
            <v>9.2413635671891647E-2</v>
          </cell>
          <cell r="S145">
            <v>-2.6184514068261167E-2</v>
          </cell>
          <cell r="T145">
            <v>-5.8896917398762794E-2</v>
          </cell>
          <cell r="U145">
            <v>8.1368481204502352E-4</v>
          </cell>
          <cell r="V145">
            <v>-0.1433256959919651</v>
          </cell>
          <cell r="W145">
            <v>-0.19344870210135967</v>
          </cell>
          <cell r="X145">
            <v>-0.20100673122342938</v>
          </cell>
          <cell r="Y145">
            <v>-0.18000020057967525</v>
          </cell>
          <cell r="Z145">
            <v>-0.22778566119332389</v>
          </cell>
          <cell r="AA145">
            <v>-0.2782319103844989</v>
          </cell>
          <cell r="AB145">
            <v>-0.25723889419036905</v>
          </cell>
          <cell r="AC145">
            <v>-0.25458385375269676</v>
          </cell>
          <cell r="AD145">
            <v>-0.28569657566324136</v>
          </cell>
          <cell r="AE145">
            <v>-0.28240740740740744</v>
          </cell>
          <cell r="AF145">
            <v>-0.22242320998928711</v>
          </cell>
          <cell r="AG145">
            <v>-0.26574603890552639</v>
          </cell>
          <cell r="AH145">
            <v>-0.28380872775397903</v>
          </cell>
          <cell r="AI145">
            <v>-0.20530887444572676</v>
          </cell>
          <cell r="AJ145">
            <v>-0.14738915893356896</v>
          </cell>
          <cell r="AK145">
            <v>-0.21376305647098248</v>
          </cell>
          <cell r="AL145">
            <v>-0.20855850079686389</v>
          </cell>
          <cell r="AM145">
            <v>-0.20614851304506476</v>
          </cell>
          <cell r="AN145">
            <v>-0.14344042714356975</v>
          </cell>
          <cell r="AO145">
            <v>-0.18619669043454867</v>
          </cell>
          <cell r="AP145">
            <v>-0.19999999999999996</v>
          </cell>
          <cell r="AQ145">
            <v>-0.13836810621534867</v>
          </cell>
          <cell r="AR145">
            <v>-0.12377756471716206</v>
          </cell>
          <cell r="AS145">
            <v>-0.15518943225161774</v>
          </cell>
          <cell r="AT145">
            <v>-0.12576894151223561</v>
          </cell>
          <cell r="AU145">
            <v>7.3407044340589866E-3</v>
          </cell>
          <cell r="AV145">
            <v>2.1230463456500814E-3</v>
          </cell>
          <cell r="AW145">
            <v>-4.361490878441121E-2</v>
          </cell>
          <cell r="AX145">
            <v>-0.21158334954289049</v>
          </cell>
          <cell r="AY145">
            <v>-0.52335091339906747</v>
          </cell>
          <cell r="AZ145">
            <v>-0.63841319886842163</v>
          </cell>
          <cell r="BA145">
            <v>-0.46419437340153458</v>
          </cell>
          <cell r="BB145">
            <v>-0.68482084992130354</v>
          </cell>
          <cell r="BC145">
            <v>-0.7290340373698605</v>
          </cell>
          <cell r="BD145">
            <v>-0.73923171494510709</v>
          </cell>
          <cell r="BE145">
            <v>-0.71823291603420558</v>
          </cell>
        </row>
        <row r="146">
          <cell r="A146" t="str">
            <v>Product</v>
          </cell>
          <cell r="B146">
            <v>37950</v>
          </cell>
          <cell r="C146">
            <v>36642</v>
          </cell>
          <cell r="D146">
            <v>42209</v>
          </cell>
          <cell r="E146">
            <v>116801</v>
          </cell>
          <cell r="F146">
            <v>47615</v>
          </cell>
          <cell r="G146">
            <v>50557</v>
          </cell>
          <cell r="H146">
            <v>50620</v>
          </cell>
          <cell r="I146">
            <v>148792</v>
          </cell>
          <cell r="J146">
            <v>55585</v>
          </cell>
          <cell r="K146">
            <v>56872</v>
          </cell>
          <cell r="L146">
            <v>52270</v>
          </cell>
          <cell r="M146">
            <v>164727</v>
          </cell>
          <cell r="N146">
            <v>53546</v>
          </cell>
          <cell r="O146">
            <v>43323</v>
          </cell>
          <cell r="P146">
            <v>38365</v>
          </cell>
          <cell r="Q146">
            <v>135234</v>
          </cell>
          <cell r="R146">
            <v>40635</v>
          </cell>
          <cell r="S146">
            <v>34605</v>
          </cell>
          <cell r="T146">
            <v>38281</v>
          </cell>
          <cell r="U146">
            <v>113521</v>
          </cell>
          <cell r="V146">
            <v>38457</v>
          </cell>
          <cell r="W146">
            <v>38654</v>
          </cell>
          <cell r="X146">
            <v>38580</v>
          </cell>
          <cell r="Y146">
            <v>115691</v>
          </cell>
          <cell r="Z146">
            <v>40650</v>
          </cell>
          <cell r="AA146">
            <v>39392</v>
          </cell>
          <cell r="AB146">
            <v>37062</v>
          </cell>
          <cell r="AC146">
            <v>117104</v>
          </cell>
          <cell r="AD146">
            <v>37359</v>
          </cell>
          <cell r="AE146">
            <v>30783</v>
          </cell>
          <cell r="AF146">
            <v>30376</v>
          </cell>
          <cell r="AG146" t="str">
            <v>Q2:F04</v>
          </cell>
          <cell r="AH146">
            <v>37987</v>
          </cell>
          <cell r="AI146">
            <v>38018</v>
          </cell>
          <cell r="AJ146">
            <v>38047</v>
          </cell>
          <cell r="AK146" t="str">
            <v>Q3:F04</v>
          </cell>
          <cell r="AL146">
            <v>38078</v>
          </cell>
          <cell r="AM146">
            <v>38108</v>
          </cell>
          <cell r="AN146">
            <v>38139</v>
          </cell>
          <cell r="AO146" t="str">
            <v>Q4:F04</v>
          </cell>
          <cell r="AP146">
            <v>38169</v>
          </cell>
          <cell r="AQ146">
            <v>38200</v>
          </cell>
          <cell r="AR146">
            <v>38231</v>
          </cell>
          <cell r="AS146" t="str">
            <v>Q1:F05</v>
          </cell>
          <cell r="AT146">
            <v>38261</v>
          </cell>
          <cell r="AU146">
            <v>38292</v>
          </cell>
          <cell r="AV146">
            <v>38322</v>
          </cell>
          <cell r="AW146" t="str">
            <v>Q2:F05</v>
          </cell>
          <cell r="AX146">
            <v>38353</v>
          </cell>
          <cell r="AY146">
            <v>38384</v>
          </cell>
          <cell r="AZ146">
            <v>38412</v>
          </cell>
          <cell r="BA146" t="str">
            <v>Q3:F05</v>
          </cell>
          <cell r="BB146">
            <v>38443</v>
          </cell>
          <cell r="BC146">
            <v>38473</v>
          </cell>
          <cell r="BD146">
            <v>38504</v>
          </cell>
          <cell r="BE146" t="str">
            <v>Q4:F05</v>
          </cell>
        </row>
        <row r="147">
          <cell r="A147" t="str">
            <v>TRx</v>
          </cell>
          <cell r="B147">
            <v>13126</v>
          </cell>
          <cell r="C147">
            <v>11440</v>
          </cell>
          <cell r="D147">
            <v>11998</v>
          </cell>
          <cell r="E147">
            <v>36564</v>
          </cell>
          <cell r="F147">
            <v>11560</v>
          </cell>
          <cell r="G147">
            <v>11619</v>
          </cell>
          <cell r="H147">
            <v>10463</v>
          </cell>
          <cell r="I147">
            <v>33642</v>
          </cell>
          <cell r="J147">
            <v>10602</v>
          </cell>
          <cell r="K147">
            <v>9847</v>
          </cell>
          <cell r="L147">
            <v>9019</v>
          </cell>
          <cell r="M147">
            <v>29468</v>
          </cell>
          <cell r="N147">
            <v>9556</v>
          </cell>
          <cell r="O147">
            <v>9111</v>
          </cell>
          <cell r="P147">
            <v>9265</v>
          </cell>
          <cell r="Q147">
            <v>27932</v>
          </cell>
          <cell r="R147">
            <v>9219</v>
          </cell>
          <cell r="S147">
            <v>7676</v>
          </cell>
          <cell r="T147">
            <v>8027</v>
          </cell>
          <cell r="U147">
            <v>24922</v>
          </cell>
          <cell r="V147">
            <v>7982</v>
          </cell>
          <cell r="W147">
            <v>7503</v>
          </cell>
          <cell r="X147">
            <v>7509</v>
          </cell>
          <cell r="Y147">
            <v>22994</v>
          </cell>
          <cell r="Z147">
            <v>7384</v>
          </cell>
          <cell r="AA147">
            <v>6501</v>
          </cell>
          <cell r="AB147">
            <v>6449</v>
          </cell>
          <cell r="AC147">
            <v>20334</v>
          </cell>
          <cell r="AD147">
            <v>6324</v>
          </cell>
          <cell r="AE147">
            <v>5798</v>
          </cell>
          <cell r="AF147">
            <v>6898</v>
          </cell>
          <cell r="AG147">
            <v>19020</v>
          </cell>
          <cell r="AH147">
            <v>5717</v>
          </cell>
          <cell r="AI147">
            <v>5489</v>
          </cell>
          <cell r="AJ147">
            <v>5728</v>
          </cell>
          <cell r="AK147">
            <v>16934</v>
          </cell>
          <cell r="AL147">
            <v>5176</v>
          </cell>
          <cell r="AM147">
            <v>5077</v>
          </cell>
          <cell r="AN147">
            <v>5233</v>
          </cell>
          <cell r="AO147">
            <v>15486</v>
          </cell>
          <cell r="AP147">
            <v>4708</v>
          </cell>
          <cell r="AQ147">
            <v>4580</v>
          </cell>
          <cell r="AR147">
            <v>4086</v>
          </cell>
          <cell r="AS147">
            <v>13374</v>
          </cell>
          <cell r="AT147">
            <v>4354</v>
          </cell>
          <cell r="AU147">
            <v>4384</v>
          </cell>
          <cell r="AV147">
            <v>4453</v>
          </cell>
          <cell r="AW147">
            <v>13191</v>
          </cell>
          <cell r="AX147">
            <v>3136</v>
          </cell>
          <cell r="AY147">
            <v>3655</v>
          </cell>
          <cell r="AZ147">
            <v>3457</v>
          </cell>
          <cell r="BA147">
            <v>10248</v>
          </cell>
          <cell r="BB147">
            <v>3909</v>
          </cell>
          <cell r="BC147">
            <v>3583</v>
          </cell>
          <cell r="BD147">
            <v>3801</v>
          </cell>
          <cell r="BE147">
            <v>11293</v>
          </cell>
        </row>
        <row r="148">
          <cell r="A148" t="str">
            <v>Lidex</v>
          </cell>
          <cell r="B148">
            <v>1.730539</v>
          </cell>
          <cell r="C148">
            <v>1.819167</v>
          </cell>
          <cell r="D148">
            <v>2.5270510000000002</v>
          </cell>
          <cell r="E148">
            <v>6.0767570000000006</v>
          </cell>
          <cell r="F148">
            <v>2.2556449999999999</v>
          </cell>
          <cell r="G148">
            <v>2.296786</v>
          </cell>
          <cell r="H148">
            <v>3.0927760000000002</v>
          </cell>
          <cell r="I148">
            <v>7.645207000000001</v>
          </cell>
          <cell r="J148">
            <v>2.567631</v>
          </cell>
          <cell r="K148">
            <v>3.0739550000000002</v>
          </cell>
          <cell r="L148">
            <v>3.8354180000000002</v>
          </cell>
          <cell r="M148">
            <v>9.4770040000000009</v>
          </cell>
          <cell r="N148">
            <v>2.935981</v>
          </cell>
          <cell r="O148">
            <v>2.5476290000000001</v>
          </cell>
          <cell r="P148">
            <v>2.7500529999999999</v>
          </cell>
          <cell r="Q148">
            <v>8.233663</v>
          </cell>
          <cell r="R148">
            <v>-0.29765351211336277</v>
          </cell>
          <cell r="S148">
            <v>-0.32902097902097904</v>
          </cell>
          <cell r="T148">
            <v>-0.33097182863810637</v>
          </cell>
          <cell r="U148">
            <v>-0.31840061262443931</v>
          </cell>
          <cell r="V148">
            <v>-0.30951557093425608</v>
          </cell>
          <cell r="W148">
            <v>-0.35424735347276015</v>
          </cell>
          <cell r="X148">
            <v>-0.2823282041479499</v>
          </cell>
          <cell r="Y148">
            <v>-0.31650912549788957</v>
          </cell>
          <cell r="Z148">
            <v>-0.30352763629503865</v>
          </cell>
          <cell r="AA148">
            <v>-0.33979892353000918</v>
          </cell>
          <cell r="AB148">
            <v>-0.28495398602949329</v>
          </cell>
          <cell r="AC148">
            <v>-0.30996335007465725</v>
          </cell>
          <cell r="AD148">
            <v>-0.33821682712431977</v>
          </cell>
          <cell r="AE148">
            <v>-0.36362638568763028</v>
          </cell>
          <cell r="AF148">
            <v>-0.25547760388559093</v>
          </cell>
          <cell r="AG148">
            <v>-0.31906057568380353</v>
          </cell>
          <cell r="AH148">
            <v>-0.37986766460570565</v>
          </cell>
          <cell r="AI148">
            <v>-0.2849140177175612</v>
          </cell>
          <cell r="AJ148">
            <v>-0.28640837174535938</v>
          </cell>
          <cell r="AK148">
            <v>-0.32052002247010669</v>
          </cell>
          <cell r="AL148">
            <v>-0.35154096717614636</v>
          </cell>
          <cell r="AM148">
            <v>-0.32333733173397305</v>
          </cell>
          <cell r="AN148">
            <v>-0.30310294313490482</v>
          </cell>
          <cell r="AO148">
            <v>-0.32651996172914677</v>
          </cell>
          <cell r="AP148">
            <v>-0.36240520043336943</v>
          </cell>
          <cell r="AQ148">
            <v>-0.29549300107675747</v>
          </cell>
          <cell r="AR148">
            <v>-0.36641339742595747</v>
          </cell>
          <cell r="AS148">
            <v>-0.34228385954558871</v>
          </cell>
          <cell r="AT148">
            <v>-0.31151170145477547</v>
          </cell>
          <cell r="AU148">
            <v>-0.24387719903414973</v>
          </cell>
          <cell r="AV148">
            <v>-0.35445056538126996</v>
          </cell>
          <cell r="AW148">
            <v>-0.30646687697160879</v>
          </cell>
          <cell r="AX148">
            <v>-0.45146055623578796</v>
          </cell>
          <cell r="AY148">
            <v>-0.33412279103661868</v>
          </cell>
          <cell r="AZ148">
            <v>-0.39647346368715086</v>
          </cell>
          <cell r="BA148">
            <v>-0.39482697531593247</v>
          </cell>
          <cell r="BB148">
            <v>-0.24478361669242654</v>
          </cell>
          <cell r="BC148">
            <v>-0.29426826866259603</v>
          </cell>
          <cell r="BD148">
            <v>-0.27364800305751957</v>
          </cell>
          <cell r="BE148">
            <v>-0.27076068707219425</v>
          </cell>
        </row>
        <row r="149">
          <cell r="A149" t="str">
            <v>TRx</v>
          </cell>
          <cell r="B149">
            <v>13126</v>
          </cell>
          <cell r="C149">
            <v>11440</v>
          </cell>
          <cell r="D149">
            <v>11998</v>
          </cell>
          <cell r="E149">
            <v>36564</v>
          </cell>
          <cell r="F149">
            <v>11560</v>
          </cell>
          <cell r="G149">
            <v>11619</v>
          </cell>
          <cell r="H149">
            <v>10463</v>
          </cell>
          <cell r="I149">
            <v>33642</v>
          </cell>
          <cell r="J149">
            <v>10602</v>
          </cell>
          <cell r="K149">
            <v>9847</v>
          </cell>
          <cell r="L149">
            <v>9019</v>
          </cell>
          <cell r="M149">
            <v>29468</v>
          </cell>
          <cell r="N149">
            <v>9556</v>
          </cell>
          <cell r="O149">
            <v>9111</v>
          </cell>
          <cell r="P149">
            <v>9265</v>
          </cell>
          <cell r="Q149">
            <v>27932</v>
          </cell>
          <cell r="R149">
            <v>9219</v>
          </cell>
          <cell r="S149">
            <v>7676</v>
          </cell>
          <cell r="T149">
            <v>8027</v>
          </cell>
          <cell r="U149">
            <v>24922</v>
          </cell>
          <cell r="V149">
            <v>7982</v>
          </cell>
          <cell r="W149">
            <v>7503</v>
          </cell>
          <cell r="X149">
            <v>7509</v>
          </cell>
          <cell r="Y149">
            <v>22994</v>
          </cell>
          <cell r="Z149">
            <v>7384</v>
          </cell>
          <cell r="AA149">
            <v>6501</v>
          </cell>
          <cell r="AB149">
            <v>6449</v>
          </cell>
          <cell r="AC149">
            <v>20334</v>
          </cell>
          <cell r="AD149">
            <v>6324</v>
          </cell>
          <cell r="AE149">
            <v>5798</v>
          </cell>
          <cell r="AF149">
            <v>6898</v>
          </cell>
          <cell r="AG149">
            <v>19020</v>
          </cell>
          <cell r="AH149">
            <v>5717</v>
          </cell>
          <cell r="AI149">
            <v>5489</v>
          </cell>
          <cell r="AJ149">
            <v>5728</v>
          </cell>
          <cell r="AK149">
            <v>16934</v>
          </cell>
          <cell r="AL149">
            <v>5176</v>
          </cell>
          <cell r="AM149">
            <v>5077</v>
          </cell>
          <cell r="AN149">
            <v>5233</v>
          </cell>
          <cell r="AO149">
            <v>15486</v>
          </cell>
          <cell r="AP149">
            <v>4708</v>
          </cell>
          <cell r="AQ149">
            <v>4580</v>
          </cell>
          <cell r="AR149">
            <v>4086</v>
          </cell>
          <cell r="AS149">
            <v>13374</v>
          </cell>
          <cell r="AT149">
            <v>4354</v>
          </cell>
          <cell r="AU149">
            <v>4384</v>
          </cell>
          <cell r="AV149">
            <v>4453</v>
          </cell>
          <cell r="AW149">
            <v>13191</v>
          </cell>
          <cell r="AX149">
            <v>3136</v>
          </cell>
          <cell r="AY149">
            <v>3655</v>
          </cell>
          <cell r="AZ149">
            <v>3457</v>
          </cell>
          <cell r="BA149">
            <v>10248</v>
          </cell>
          <cell r="BB149">
            <v>3909</v>
          </cell>
          <cell r="BC149">
            <v>3583</v>
          </cell>
          <cell r="BD149">
            <v>3801</v>
          </cell>
          <cell r="BE149">
            <v>11293</v>
          </cell>
        </row>
        <row r="150">
          <cell r="A150" t="str">
            <v xml:space="preserve">  % Change</v>
          </cell>
          <cell r="R150">
            <v>-0.29765351211336277</v>
          </cell>
          <cell r="S150">
            <v>-0.32902097902097904</v>
          </cell>
          <cell r="T150">
            <v>-0.33097182863810637</v>
          </cell>
          <cell r="U150">
            <v>-0.31840061262443931</v>
          </cell>
          <cell r="V150">
            <v>-0.30951557093425608</v>
          </cell>
          <cell r="W150">
            <v>-0.35424735347276015</v>
          </cell>
          <cell r="X150">
            <v>-0.2823282041479499</v>
          </cell>
          <cell r="Y150">
            <v>-0.31650912549788957</v>
          </cell>
          <cell r="Z150">
            <v>-0.30352763629503865</v>
          </cell>
          <cell r="AA150">
            <v>-0.33979892353000918</v>
          </cell>
          <cell r="AB150">
            <v>-0.28495398602949329</v>
          </cell>
          <cell r="AC150">
            <v>-0.30996335007465725</v>
          </cell>
          <cell r="AD150">
            <v>-0.33821682712431977</v>
          </cell>
          <cell r="AE150">
            <v>-0.36362638568763028</v>
          </cell>
          <cell r="AF150">
            <v>-0.25547760388559093</v>
          </cell>
          <cell r="AG150">
            <v>-0.31906057568380353</v>
          </cell>
          <cell r="AH150">
            <v>-0.37986766460570565</v>
          </cell>
          <cell r="AI150">
            <v>-0.2849140177175612</v>
          </cell>
          <cell r="AJ150">
            <v>-0.28640837174535938</v>
          </cell>
          <cell r="AK150">
            <v>-0.32052002247010669</v>
          </cell>
          <cell r="AL150">
            <v>-0.35154096717614636</v>
          </cell>
          <cell r="AM150">
            <v>-0.32333733173397305</v>
          </cell>
          <cell r="AN150">
            <v>-0.30310294313490482</v>
          </cell>
          <cell r="AO150">
            <v>-0.32651996172914677</v>
          </cell>
          <cell r="AP150">
            <v>-0.36240520043336943</v>
          </cell>
          <cell r="AQ150">
            <v>-0.29549300107675747</v>
          </cell>
          <cell r="AR150">
            <v>-0.36641339742595747</v>
          </cell>
          <cell r="AS150">
            <v>-0.34228385954558871</v>
          </cell>
          <cell r="AT150">
            <v>-0.31151170145477547</v>
          </cell>
          <cell r="AU150">
            <v>-0.24387719903414973</v>
          </cell>
          <cell r="AV150">
            <v>-0.35445056538126996</v>
          </cell>
          <cell r="AW150">
            <v>-0.30646687697160879</v>
          </cell>
          <cell r="AX150">
            <v>-0.45146055623578796</v>
          </cell>
          <cell r="AY150">
            <v>-0.33412279103661868</v>
          </cell>
          <cell r="AZ150">
            <v>-0.39647346368715086</v>
          </cell>
          <cell r="BA150">
            <v>-0.39482697531593247</v>
          </cell>
          <cell r="BB150">
            <v>-0.24478361669242654</v>
          </cell>
          <cell r="BC150">
            <v>-0.29426826866259603</v>
          </cell>
          <cell r="BD150">
            <v>-0.27364800305751957</v>
          </cell>
          <cell r="BE150">
            <v>-0.27076068707219425</v>
          </cell>
        </row>
        <row r="151">
          <cell r="A151" t="str">
            <v>NRx</v>
          </cell>
          <cell r="B151">
            <v>8915</v>
          </cell>
          <cell r="C151">
            <v>7673</v>
          </cell>
          <cell r="D151">
            <v>7988</v>
          </cell>
          <cell r="E151">
            <v>24576</v>
          </cell>
          <cell r="F151">
            <v>7767</v>
          </cell>
          <cell r="G151">
            <v>7845</v>
          </cell>
          <cell r="H151">
            <v>6984</v>
          </cell>
          <cell r="I151">
            <v>22596</v>
          </cell>
          <cell r="J151">
            <v>6798</v>
          </cell>
          <cell r="K151">
            <v>6447</v>
          </cell>
          <cell r="L151">
            <v>5818</v>
          </cell>
          <cell r="M151">
            <v>19063</v>
          </cell>
          <cell r="N151">
            <v>6200</v>
          </cell>
          <cell r="O151">
            <v>5788</v>
          </cell>
          <cell r="P151">
            <v>5778</v>
          </cell>
          <cell r="Q151">
            <v>17766</v>
          </cell>
          <cell r="R151">
            <v>6238</v>
          </cell>
          <cell r="S151">
            <v>4992</v>
          </cell>
          <cell r="T151">
            <v>5225</v>
          </cell>
          <cell r="U151">
            <v>16455</v>
          </cell>
          <cell r="V151">
            <v>5398</v>
          </cell>
          <cell r="W151">
            <v>4873</v>
          </cell>
          <cell r="X151">
            <v>4978</v>
          </cell>
          <cell r="Y151">
            <v>15249</v>
          </cell>
          <cell r="Z151">
            <v>4948</v>
          </cell>
          <cell r="AA151">
            <v>4355</v>
          </cell>
          <cell r="AB151">
            <v>4165</v>
          </cell>
          <cell r="AC151">
            <v>13468</v>
          </cell>
          <cell r="AD151">
            <v>4177</v>
          </cell>
          <cell r="AE151">
            <v>3700</v>
          </cell>
          <cell r="AF151">
            <v>4333</v>
          </cell>
          <cell r="AG151">
            <v>12210</v>
          </cell>
          <cell r="AH151">
            <v>3786</v>
          </cell>
          <cell r="AI151">
            <v>3670</v>
          </cell>
          <cell r="AJ151">
            <v>3740</v>
          </cell>
          <cell r="AK151">
            <v>11196</v>
          </cell>
          <cell r="AL151">
            <v>3419</v>
          </cell>
          <cell r="AM151">
            <v>3377</v>
          </cell>
          <cell r="AN151">
            <v>3572</v>
          </cell>
          <cell r="AO151">
            <v>10368</v>
          </cell>
          <cell r="AP151">
            <v>3152</v>
          </cell>
          <cell r="AQ151">
            <v>3060</v>
          </cell>
          <cell r="AR151">
            <v>2768</v>
          </cell>
          <cell r="AS151">
            <v>8980</v>
          </cell>
          <cell r="AT151">
            <v>2936</v>
          </cell>
          <cell r="AU151">
            <v>2887</v>
          </cell>
          <cell r="AV151">
            <v>2896</v>
          </cell>
          <cell r="AW151">
            <v>8719</v>
          </cell>
          <cell r="AX151">
            <v>1976</v>
          </cell>
          <cell r="AY151">
            <v>2442</v>
          </cell>
          <cell r="AZ151">
            <v>2364</v>
          </cell>
          <cell r="BA151">
            <v>6782</v>
          </cell>
          <cell r="BB151">
            <v>2629</v>
          </cell>
          <cell r="BC151">
            <v>2416</v>
          </cell>
          <cell r="BD151">
            <v>2555</v>
          </cell>
          <cell r="BE151">
            <v>7600</v>
          </cell>
        </row>
        <row r="152">
          <cell r="A152" t="str">
            <v xml:space="preserve">  % Change</v>
          </cell>
          <cell r="R152">
            <v>-0.30028042624789675</v>
          </cell>
          <cell r="S152">
            <v>-0.3494070115991138</v>
          </cell>
          <cell r="T152">
            <v>-0.34589384076114171</v>
          </cell>
          <cell r="U152">
            <v>-0.3304443359375</v>
          </cell>
          <cell r="V152">
            <v>-0.30500836873953907</v>
          </cell>
          <cell r="W152">
            <v>-0.37884002549394524</v>
          </cell>
          <cell r="X152">
            <v>-0.2872279495990836</v>
          </cell>
          <cell r="Y152">
            <v>-0.32514604354753052</v>
          </cell>
          <cell r="Z152">
            <v>-0.27213886437187407</v>
          </cell>
          <cell r="AA152">
            <v>-0.32449201178842868</v>
          </cell>
          <cell r="AB152">
            <v>-0.28411825369542798</v>
          </cell>
          <cell r="AC152">
            <v>-0.29350049834758429</v>
          </cell>
          <cell r="AD152">
            <v>-0.32629032258064516</v>
          </cell>
          <cell r="AE152">
            <v>-0.36074637180373181</v>
          </cell>
          <cell r="AF152">
            <v>-0.25008653513326407</v>
          </cell>
          <cell r="AG152">
            <v>-0.31273218507261058</v>
          </cell>
          <cell r="AH152">
            <v>-0.3930747034305867</v>
          </cell>
          <cell r="AI152">
            <v>-0.26482371794871795</v>
          </cell>
          <cell r="AJ152">
            <v>-0.28421052631578947</v>
          </cell>
          <cell r="AK152">
            <v>-0.31959890610756614</v>
          </cell>
          <cell r="AL152">
            <v>-0.36661726565394592</v>
          </cell>
          <cell r="AM152">
            <v>-0.30699774266365687</v>
          </cell>
          <cell r="AN152">
            <v>-0.28244274809160308</v>
          </cell>
          <cell r="AO152">
            <v>-0.32008656305331495</v>
          </cell>
          <cell r="AP152">
            <v>-0.36297493936944225</v>
          </cell>
          <cell r="AQ152">
            <v>-0.29735935706084959</v>
          </cell>
          <cell r="AR152">
            <v>-0.33541416566626647</v>
          </cell>
          <cell r="AS152">
            <v>-0.33323433323433327</v>
          </cell>
          <cell r="AT152">
            <v>-0.29710318410342351</v>
          </cell>
          <cell r="AU152">
            <v>-0.21972972972972971</v>
          </cell>
          <cell r="AV152">
            <v>-0.3316408954534964</v>
          </cell>
          <cell r="AW152">
            <v>-0.28591318591318593</v>
          </cell>
          <cell r="AX152">
            <v>-0.47807712625462229</v>
          </cell>
          <cell r="AY152">
            <v>-0.33460490463215253</v>
          </cell>
          <cell r="AZ152">
            <v>-0.3679144385026738</v>
          </cell>
          <cell r="BA152">
            <v>-0.39424794569489108</v>
          </cell>
          <cell r="BB152">
            <v>-0.23106171395144781</v>
          </cell>
          <cell r="BC152">
            <v>-0.2845721054190109</v>
          </cell>
          <cell r="BD152">
            <v>-0.28471444568868975</v>
          </cell>
          <cell r="BE152">
            <v>-0.26697530864197527</v>
          </cell>
        </row>
        <row r="153">
          <cell r="A153" t="str">
            <v>Sales (IMS)</v>
          </cell>
          <cell r="B153">
            <v>0.64192300000000002</v>
          </cell>
          <cell r="C153">
            <v>0.59473100000000001</v>
          </cell>
          <cell r="D153">
            <v>0.77373100000000006</v>
          </cell>
          <cell r="E153">
            <v>2.0103850000000003</v>
          </cell>
          <cell r="F153">
            <v>0.575017</v>
          </cell>
          <cell r="G153">
            <v>0.55046899999999999</v>
          </cell>
          <cell r="H153">
            <v>0.66270799999999996</v>
          </cell>
          <cell r="I153">
            <v>1.7881939999999998</v>
          </cell>
          <cell r="J153">
            <v>0.50257700000000005</v>
          </cell>
          <cell r="K153">
            <v>0.47787199999999996</v>
          </cell>
          <cell r="L153">
            <v>0.59567400000000004</v>
          </cell>
          <cell r="M153">
            <v>1.5761229999999999</v>
          </cell>
          <cell r="N153">
            <v>0.47009200000000001</v>
          </cell>
          <cell r="O153">
            <v>0.47850500000000001</v>
          </cell>
          <cell r="P153">
            <v>0.58941699999999997</v>
          </cell>
          <cell r="Q153">
            <v>1.538014</v>
          </cell>
          <cell r="R153">
            <v>0.49414999999999998</v>
          </cell>
          <cell r="S153">
            <v>0.47244700000000001</v>
          </cell>
          <cell r="T153">
            <v>0.56508700000000001</v>
          </cell>
          <cell r="U153">
            <v>1.5316839999999998</v>
          </cell>
          <cell r="V153">
            <v>0.43707799999999997</v>
          </cell>
          <cell r="W153">
            <v>0.43834200000000001</v>
          </cell>
          <cell r="X153">
            <v>0.55357400000000001</v>
          </cell>
          <cell r="Y153">
            <v>1.4289939999999999</v>
          </cell>
          <cell r="Z153">
            <v>0.42115900000000001</v>
          </cell>
          <cell r="AA153">
            <v>0.40579599999999999</v>
          </cell>
          <cell r="AB153">
            <v>0.492676</v>
          </cell>
          <cell r="AC153">
            <v>1.319631</v>
          </cell>
          <cell r="AD153">
            <v>0.384268</v>
          </cell>
          <cell r="AE153">
            <v>0.38088099999999997</v>
          </cell>
          <cell r="AF153">
            <v>0.47683300000000001</v>
          </cell>
          <cell r="AG153">
            <v>1.2419819999999999</v>
          </cell>
          <cell r="AH153">
            <v>0.38541999999999998</v>
          </cell>
          <cell r="AI153">
            <v>0.360568</v>
          </cell>
          <cell r="AJ153">
            <v>0.42214200000000002</v>
          </cell>
          <cell r="AK153">
            <v>1.1681300000000001</v>
          </cell>
          <cell r="AL153">
            <v>0.34108499999999997</v>
          </cell>
          <cell r="AM153">
            <v>0.33226600000000001</v>
          </cell>
          <cell r="AN153">
            <v>0.40702500000000003</v>
          </cell>
          <cell r="AO153">
            <v>1.080376</v>
          </cell>
          <cell r="AP153">
            <v>0.31394299999999997</v>
          </cell>
          <cell r="AQ153">
            <v>0.31551699999999999</v>
          </cell>
          <cell r="AR153">
            <v>0.38985500000000001</v>
          </cell>
          <cell r="AS153">
            <v>1.019315</v>
          </cell>
          <cell r="AT153">
            <v>0.308531</v>
          </cell>
          <cell r="AU153">
            <v>0.32122399999999995</v>
          </cell>
          <cell r="AV153">
            <v>0.39043899999999998</v>
          </cell>
          <cell r="AW153">
            <v>1.020194</v>
          </cell>
          <cell r="AX153">
            <v>0.30137400000000003</v>
          </cell>
          <cell r="AY153">
            <v>0.32424500000000001</v>
          </cell>
          <cell r="AZ153">
            <v>0.31824399999999997</v>
          </cell>
          <cell r="BA153">
            <v>0.94386300000000001</v>
          </cell>
          <cell r="BB153">
            <v>0.23539099999999999</v>
          </cell>
          <cell r="BC153">
            <v>0.242891</v>
          </cell>
          <cell r="BD153">
            <v>0.290659</v>
          </cell>
          <cell r="BE153">
            <v>0.76894099999999999</v>
          </cell>
        </row>
        <row r="154">
          <cell r="A154" t="str">
            <v xml:space="preserve">  % Change</v>
          </cell>
          <cell r="R154">
            <v>-0.23020362255286075</v>
          </cell>
          <cell r="S154">
            <v>-0.20561228521802299</v>
          </cell>
          <cell r="T154">
            <v>-0.26965961038138586</v>
          </cell>
          <cell r="U154">
            <v>-0.23811409257430816</v>
          </cell>
          <cell r="V154">
            <v>-0.23988682073747392</v>
          </cell>
          <cell r="W154">
            <v>-0.20369357765832408</v>
          </cell>
          <cell r="X154">
            <v>-0.16467886308902258</v>
          </cell>
          <cell r="Y154">
            <v>-0.20087305963446922</v>
          </cell>
          <cell r="Z154">
            <v>-0.16200104660579384</v>
          </cell>
          <cell r="AA154">
            <v>-0.15082699969866409</v>
          </cell>
          <cell r="AB154">
            <v>-0.17291001453815347</v>
          </cell>
          <cell r="AC154">
            <v>-0.16273603011947668</v>
          </cell>
          <cell r="AD154">
            <v>-0.18256851850276123</v>
          </cell>
          <cell r="AE154">
            <v>-0.20401876678404618</v>
          </cell>
          <cell r="AF154">
            <v>-0.19100908185546051</v>
          </cell>
          <cell r="AG154">
            <v>-0.19247679149864705</v>
          </cell>
          <cell r="AH154">
            <v>-0.22003440250935946</v>
          </cell>
          <cell r="AI154">
            <v>-0.23680751491701713</v>
          </cell>
          <cell r="AJ154">
            <v>-0.25296104847572143</v>
          </cell>
          <cell r="AK154">
            <v>-0.23735574700786832</v>
          </cell>
          <cell r="AL154">
            <v>-0.21962441486416617</v>
          </cell>
          <cell r="AM154">
            <v>-0.24199369442125096</v>
          </cell>
          <cell r="AN154">
            <v>-0.26473244769443649</v>
          </cell>
          <cell r="AO154">
            <v>-0.24396043650288235</v>
          </cell>
          <cell r="AP154">
            <v>-0.25457368832198768</v>
          </cell>
          <cell r="AQ154">
            <v>-0.22247385385760332</v>
          </cell>
          <cell r="AR154">
            <v>-0.20869902329319878</v>
          </cell>
          <cell r="AS154">
            <v>-0.22757573897551664</v>
          </cell>
          <cell r="AT154">
            <v>-0.19709421549543549</v>
          </cell>
          <cell r="AU154">
            <v>-0.15662897335388226</v>
          </cell>
          <cell r="AV154">
            <v>-0.18118292987272278</v>
          </cell>
          <cell r="AW154">
            <v>-0.17857585697699319</v>
          </cell>
          <cell r="AX154">
            <v>-0.2180634113434694</v>
          </cell>
          <cell r="AY154">
            <v>-0.10073827960329251</v>
          </cell>
          <cell r="AZ154">
            <v>-0.24612097351128304</v>
          </cell>
          <cell r="BA154">
            <v>-0.19198804927533752</v>
          </cell>
          <cell r="BB154">
            <v>-0.30987583740123426</v>
          </cell>
          <cell r="BC154">
            <v>-0.2689862941137523</v>
          </cell>
          <cell r="BD154">
            <v>-0.28589398685584433</v>
          </cell>
          <cell r="BE154">
            <v>-0.28826538168193294</v>
          </cell>
        </row>
        <row r="155">
          <cell r="A155" t="str">
            <v>Price Change</v>
          </cell>
          <cell r="L155">
            <v>21</v>
          </cell>
          <cell r="M155">
            <v>21</v>
          </cell>
          <cell r="N155">
            <v>3395</v>
          </cell>
          <cell r="O155">
            <v>7746</v>
          </cell>
          <cell r="P155">
            <v>9720</v>
          </cell>
          <cell r="Q155">
            <v>20861</v>
          </cell>
          <cell r="R155">
            <v>12459</v>
          </cell>
          <cell r="S155">
            <v>15348</v>
          </cell>
          <cell r="T155">
            <v>22381</v>
          </cell>
          <cell r="U155">
            <v>0</v>
          </cell>
          <cell r="V155">
            <v>28464</v>
          </cell>
          <cell r="W155">
            <v>31884</v>
          </cell>
          <cell r="X155">
            <v>35414</v>
          </cell>
          <cell r="Y155">
            <v>0</v>
          </cell>
          <cell r="Z155">
            <v>38536</v>
          </cell>
          <cell r="AA155">
            <v>37009</v>
          </cell>
          <cell r="AB155">
            <v>35798</v>
          </cell>
          <cell r="AC155">
            <v>0</v>
          </cell>
          <cell r="AD155">
            <v>36326</v>
          </cell>
          <cell r="AE155">
            <v>31616</v>
          </cell>
          <cell r="AF155">
            <v>30761</v>
          </cell>
          <cell r="AG155">
            <v>0</v>
          </cell>
          <cell r="AH155">
            <v>30450</v>
          </cell>
          <cell r="AI155">
            <v>30772</v>
          </cell>
          <cell r="AJ155">
            <v>37336</v>
          </cell>
          <cell r="AK155">
            <v>0</v>
          </cell>
          <cell r="AL155">
            <v>36464</v>
          </cell>
          <cell r="AM155">
            <v>37466</v>
          </cell>
          <cell r="AN155">
            <v>39594</v>
          </cell>
          <cell r="AO155">
            <v>0</v>
          </cell>
          <cell r="AP155">
            <v>37073</v>
          </cell>
          <cell r="AQ155">
            <v>32729</v>
          </cell>
          <cell r="AR155">
            <v>17013</v>
          </cell>
          <cell r="AS155">
            <v>0</v>
          </cell>
          <cell r="AT155">
            <v>11391</v>
          </cell>
          <cell r="AU155">
            <v>8781</v>
          </cell>
          <cell r="AV155">
            <v>6923</v>
          </cell>
          <cell r="AW155">
            <v>0</v>
          </cell>
          <cell r="AX155">
            <v>5730</v>
          </cell>
          <cell r="AY155">
            <v>4957</v>
          </cell>
          <cell r="AZ155">
            <v>4988</v>
          </cell>
          <cell r="BA155">
            <v>0</v>
          </cell>
          <cell r="BB155">
            <v>4406</v>
          </cell>
          <cell r="BC155">
            <v>4038</v>
          </cell>
          <cell r="BD155">
            <v>4021</v>
          </cell>
          <cell r="BE155">
            <v>0</v>
          </cell>
        </row>
        <row r="156">
          <cell r="A156" t="str">
            <v>TRx</v>
          </cell>
          <cell r="B156">
            <v>4011</v>
          </cell>
          <cell r="C156">
            <v>3435</v>
          </cell>
          <cell r="D156">
            <v>3679</v>
          </cell>
          <cell r="E156">
            <v>11125</v>
          </cell>
          <cell r="F156">
            <v>3546</v>
          </cell>
          <cell r="G156">
            <v>3169</v>
          </cell>
          <cell r="H156">
            <v>3065</v>
          </cell>
          <cell r="I156">
            <v>9780</v>
          </cell>
          <cell r="J156">
            <v>2987</v>
          </cell>
          <cell r="K156">
            <v>2675</v>
          </cell>
          <cell r="L156">
            <v>2657</v>
          </cell>
          <cell r="M156">
            <v>8319</v>
          </cell>
          <cell r="N156">
            <v>2889</v>
          </cell>
          <cell r="O156">
            <v>2683</v>
          </cell>
          <cell r="P156">
            <v>2872</v>
          </cell>
          <cell r="Q156">
            <v>8444</v>
          </cell>
          <cell r="R156">
            <v>2803</v>
          </cell>
          <cell r="S156">
            <v>2469</v>
          </cell>
          <cell r="T156">
            <v>2609</v>
          </cell>
          <cell r="U156">
            <v>7881</v>
          </cell>
          <cell r="V156">
            <v>2467</v>
          </cell>
          <cell r="W156">
            <v>2332</v>
          </cell>
          <cell r="X156">
            <v>2137</v>
          </cell>
          <cell r="Y156">
            <v>6936</v>
          </cell>
          <cell r="Z156">
            <v>2258</v>
          </cell>
          <cell r="AA156">
            <v>2013</v>
          </cell>
          <cell r="AB156">
            <v>2008</v>
          </cell>
          <cell r="AC156">
            <v>6279</v>
          </cell>
          <cell r="AD156">
            <v>2076</v>
          </cell>
          <cell r="AE156">
            <v>1927</v>
          </cell>
          <cell r="AF156">
            <v>2161</v>
          </cell>
          <cell r="AG156">
            <v>6164</v>
          </cell>
          <cell r="AH156">
            <v>1898</v>
          </cell>
          <cell r="AI156">
            <v>1780</v>
          </cell>
          <cell r="AJ156">
            <v>1821</v>
          </cell>
          <cell r="AK156">
            <v>5499</v>
          </cell>
          <cell r="AL156">
            <v>1797</v>
          </cell>
          <cell r="AM156">
            <v>1586</v>
          </cell>
          <cell r="AN156">
            <v>1625</v>
          </cell>
          <cell r="AO156">
            <v>5008</v>
          </cell>
          <cell r="AP156">
            <v>1599</v>
          </cell>
          <cell r="AQ156">
            <v>1556</v>
          </cell>
          <cell r="AR156">
            <v>1443</v>
          </cell>
          <cell r="AS156">
            <v>4598</v>
          </cell>
          <cell r="AT156">
            <v>1529</v>
          </cell>
          <cell r="AU156">
            <v>1419</v>
          </cell>
          <cell r="AV156">
            <v>1836</v>
          </cell>
          <cell r="AW156">
            <v>4784</v>
          </cell>
          <cell r="AX156">
            <v>1403</v>
          </cell>
          <cell r="AY156">
            <v>1376</v>
          </cell>
          <cell r="AZ156">
            <v>1635</v>
          </cell>
          <cell r="BA156">
            <v>4414</v>
          </cell>
          <cell r="BB156">
            <v>1424</v>
          </cell>
          <cell r="BC156">
            <v>1195</v>
          </cell>
          <cell r="BD156">
            <v>1340</v>
          </cell>
          <cell r="BE156">
            <v>3959</v>
          </cell>
        </row>
        <row r="157">
          <cell r="A157" t="str">
            <v>Synalar</v>
          </cell>
          <cell r="M157">
            <v>0</v>
          </cell>
          <cell r="N157">
            <v>0.382162</v>
          </cell>
          <cell r="O157">
            <v>0.61833300000000002</v>
          </cell>
          <cell r="P157">
            <v>0.82899400000000001</v>
          </cell>
          <cell r="Q157">
            <v>1.8294889999999999</v>
          </cell>
          <cell r="R157">
            <v>-0.30117177761156821</v>
          </cell>
          <cell r="S157">
            <v>-0.2812227074235808</v>
          </cell>
          <cell r="T157">
            <v>-0.29083990214732269</v>
          </cell>
          <cell r="U157">
            <v>-0.29159550561797754</v>
          </cell>
          <cell r="V157">
            <v>-0.30428652002256062</v>
          </cell>
          <cell r="W157">
            <v>-0.26412117387188383</v>
          </cell>
          <cell r="X157">
            <v>-0.30277324632952696</v>
          </cell>
          <cell r="Y157">
            <v>-0.29079754601226993</v>
          </cell>
          <cell r="Z157">
            <v>-0.24405758285905588</v>
          </cell>
          <cell r="AA157">
            <v>-0.24747663551401866</v>
          </cell>
          <cell r="AB157">
            <v>-0.24426044410989833</v>
          </cell>
          <cell r="AC157">
            <v>-0.24522178146411833</v>
          </cell>
          <cell r="AD157">
            <v>-0.28141225337487019</v>
          </cell>
          <cell r="AE157">
            <v>-0.28177413343272462</v>
          </cell>
          <cell r="AF157">
            <v>-0.24756267409470756</v>
          </cell>
          <cell r="AG157">
            <v>-0.2700142112742776</v>
          </cell>
          <cell r="AH157">
            <v>-0.32286835533357117</v>
          </cell>
          <cell r="AI157">
            <v>-0.2790603483191576</v>
          </cell>
          <cell r="AJ157">
            <v>-0.30203142966653895</v>
          </cell>
          <cell r="AK157">
            <v>-0.30224590787971073</v>
          </cell>
          <cell r="AL157">
            <v>-0.27158492095662745</v>
          </cell>
          <cell r="AM157">
            <v>-0.31989708404802741</v>
          </cell>
          <cell r="AN157">
            <v>-0.23958820776789891</v>
          </cell>
          <cell r="AO157">
            <v>-0.27797001153402534</v>
          </cell>
          <cell r="AP157">
            <v>-0.29185119574844998</v>
          </cell>
          <cell r="AQ157">
            <v>-0.22702434177844011</v>
          </cell>
          <cell r="AR157">
            <v>-0.28137450199203184</v>
          </cell>
          <cell r="AS157">
            <v>-0.26771778945691993</v>
          </cell>
          <cell r="AT157">
            <v>-0.26348747591522159</v>
          </cell>
          <cell r="AU157">
            <v>-0.26362221069019198</v>
          </cell>
          <cell r="AV157">
            <v>-0.15039333641832486</v>
          </cell>
          <cell r="AW157">
            <v>-0.22388059701492535</v>
          </cell>
          <cell r="AX157">
            <v>-0.26080084299262385</v>
          </cell>
          <cell r="AY157">
            <v>-0.22696629213483144</v>
          </cell>
          <cell r="AZ157">
            <v>-0.10214168039538718</v>
          </cell>
          <cell r="BA157">
            <v>-0.19730860156392072</v>
          </cell>
          <cell r="BB157">
            <v>-0.20756816917084031</v>
          </cell>
          <cell r="BC157">
            <v>-0.2465321563682219</v>
          </cell>
          <cell r="BD157">
            <v>-0.17538461538461536</v>
          </cell>
          <cell r="BE157">
            <v>-0.20946485623003197</v>
          </cell>
        </row>
        <row r="158">
          <cell r="A158" t="str">
            <v>TRx</v>
          </cell>
          <cell r="B158">
            <v>4011</v>
          </cell>
          <cell r="C158">
            <v>3435</v>
          </cell>
          <cell r="D158">
            <v>3679</v>
          </cell>
          <cell r="E158">
            <v>11125</v>
          </cell>
          <cell r="F158">
            <v>3546</v>
          </cell>
          <cell r="G158">
            <v>3169</v>
          </cell>
          <cell r="H158">
            <v>3065</v>
          </cell>
          <cell r="I158">
            <v>9780</v>
          </cell>
          <cell r="J158">
            <v>2987</v>
          </cell>
          <cell r="K158">
            <v>2675</v>
          </cell>
          <cell r="L158">
            <v>2657</v>
          </cell>
          <cell r="M158">
            <v>8319</v>
          </cell>
          <cell r="N158">
            <v>2889</v>
          </cell>
          <cell r="O158">
            <v>2683</v>
          </cell>
          <cell r="P158">
            <v>2872</v>
          </cell>
          <cell r="Q158">
            <v>8444</v>
          </cell>
          <cell r="R158">
            <v>2803</v>
          </cell>
          <cell r="S158">
            <v>2469</v>
          </cell>
          <cell r="T158">
            <v>2609</v>
          </cell>
          <cell r="U158">
            <v>7881</v>
          </cell>
          <cell r="V158">
            <v>2467</v>
          </cell>
          <cell r="W158">
            <v>2332</v>
          </cell>
          <cell r="X158">
            <v>2137</v>
          </cell>
          <cell r="Y158">
            <v>6936</v>
          </cell>
          <cell r="Z158">
            <v>2258</v>
          </cell>
          <cell r="AA158">
            <v>2013</v>
          </cell>
          <cell r="AB158">
            <v>2008</v>
          </cell>
          <cell r="AC158">
            <v>6279</v>
          </cell>
          <cell r="AD158">
            <v>2076</v>
          </cell>
          <cell r="AE158">
            <v>1927</v>
          </cell>
          <cell r="AF158">
            <v>2161</v>
          </cell>
          <cell r="AG158">
            <v>6164</v>
          </cell>
          <cell r="AH158">
            <v>1898</v>
          </cell>
          <cell r="AI158">
            <v>1780</v>
          </cell>
          <cell r="AJ158">
            <v>1821</v>
          </cell>
          <cell r="AK158">
            <v>5499</v>
          </cell>
          <cell r="AL158">
            <v>1797</v>
          </cell>
          <cell r="AM158">
            <v>1586</v>
          </cell>
          <cell r="AN158">
            <v>1625</v>
          </cell>
          <cell r="AO158">
            <v>5008</v>
          </cell>
          <cell r="AP158">
            <v>1599</v>
          </cell>
          <cell r="AQ158">
            <v>1556</v>
          </cell>
          <cell r="AR158">
            <v>1443</v>
          </cell>
          <cell r="AS158">
            <v>4598</v>
          </cell>
          <cell r="AT158">
            <v>1529</v>
          </cell>
          <cell r="AU158">
            <v>1419</v>
          </cell>
          <cell r="AV158">
            <v>1836</v>
          </cell>
          <cell r="AW158">
            <v>4784</v>
          </cell>
          <cell r="AX158">
            <v>1403</v>
          </cell>
          <cell r="AY158">
            <v>1376</v>
          </cell>
          <cell r="AZ158">
            <v>1635</v>
          </cell>
          <cell r="BA158">
            <v>4414</v>
          </cell>
          <cell r="BB158">
            <v>1424</v>
          </cell>
          <cell r="BC158">
            <v>1195</v>
          </cell>
          <cell r="BD158">
            <v>1340</v>
          </cell>
          <cell r="BE158">
            <v>3959</v>
          </cell>
        </row>
        <row r="159">
          <cell r="A159" t="str">
            <v xml:space="preserve">  % Change</v>
          </cell>
          <cell r="R159">
            <v>-0.30117177761156821</v>
          </cell>
          <cell r="S159">
            <v>-0.2812227074235808</v>
          </cell>
          <cell r="T159">
            <v>-0.29083990214732269</v>
          </cell>
          <cell r="U159">
            <v>-0.29159550561797754</v>
          </cell>
          <cell r="V159">
            <v>-0.30428652002256062</v>
          </cell>
          <cell r="W159">
            <v>-0.26412117387188383</v>
          </cell>
          <cell r="X159">
            <v>-0.30277324632952696</v>
          </cell>
          <cell r="Y159">
            <v>-0.29079754601226993</v>
          </cell>
          <cell r="Z159">
            <v>-0.24405758285905588</v>
          </cell>
          <cell r="AA159">
            <v>-0.24747663551401866</v>
          </cell>
          <cell r="AB159">
            <v>-0.24426044410989833</v>
          </cell>
          <cell r="AC159">
            <v>-0.24522178146411833</v>
          </cell>
          <cell r="AD159">
            <v>-0.28141225337487019</v>
          </cell>
          <cell r="AE159">
            <v>-0.28177413343272462</v>
          </cell>
          <cell r="AF159">
            <v>-0.24756267409470756</v>
          </cell>
          <cell r="AG159">
            <v>-0.2700142112742776</v>
          </cell>
          <cell r="AH159">
            <v>-0.32286835533357117</v>
          </cell>
          <cell r="AI159">
            <v>-0.2790603483191576</v>
          </cell>
          <cell r="AJ159">
            <v>-0.30203142966653895</v>
          </cell>
          <cell r="AK159">
            <v>-0.30224590787971073</v>
          </cell>
          <cell r="AL159">
            <v>-0.27158492095662745</v>
          </cell>
          <cell r="AM159">
            <v>-0.31989708404802741</v>
          </cell>
          <cell r="AN159">
            <v>-0.23958820776789891</v>
          </cell>
          <cell r="AO159">
            <v>-0.27797001153402534</v>
          </cell>
          <cell r="AP159">
            <v>-0.29185119574844998</v>
          </cell>
          <cell r="AQ159">
            <v>-0.22702434177844011</v>
          </cell>
          <cell r="AR159">
            <v>-0.28137450199203184</v>
          </cell>
          <cell r="AS159">
            <v>-0.26771778945691993</v>
          </cell>
          <cell r="AT159">
            <v>-0.26348747591522159</v>
          </cell>
          <cell r="AU159">
            <v>-0.26362221069019198</v>
          </cell>
          <cell r="AV159">
            <v>-0.15039333641832486</v>
          </cell>
          <cell r="AW159">
            <v>-0.22388059701492535</v>
          </cell>
          <cell r="AX159">
            <v>-0.26080084299262385</v>
          </cell>
          <cell r="AY159">
            <v>-0.22696629213483144</v>
          </cell>
          <cell r="AZ159">
            <v>-0.10214168039538718</v>
          </cell>
          <cell r="BA159">
            <v>-0.19730860156392072</v>
          </cell>
          <cell r="BB159">
            <v>-0.20756816917084031</v>
          </cell>
          <cell r="BC159">
            <v>-0.2465321563682219</v>
          </cell>
          <cell r="BD159">
            <v>-0.17538461538461536</v>
          </cell>
          <cell r="BE159">
            <v>-0.20946485623003197</v>
          </cell>
        </row>
        <row r="160">
          <cell r="A160" t="str">
            <v>NRx</v>
          </cell>
          <cell r="B160">
            <v>3008</v>
          </cell>
          <cell r="C160">
            <v>2426</v>
          </cell>
          <cell r="D160">
            <v>2658</v>
          </cell>
          <cell r="E160">
            <v>8092</v>
          </cell>
          <cell r="F160">
            <v>2511</v>
          </cell>
          <cell r="G160">
            <v>2275</v>
          </cell>
          <cell r="H160">
            <v>2178</v>
          </cell>
          <cell r="I160">
            <v>6964</v>
          </cell>
          <cell r="J160">
            <v>2113</v>
          </cell>
          <cell r="K160">
            <v>1914</v>
          </cell>
          <cell r="L160">
            <v>1922</v>
          </cell>
          <cell r="M160">
            <v>5949</v>
          </cell>
          <cell r="N160">
            <v>2110</v>
          </cell>
          <cell r="O160">
            <v>1890</v>
          </cell>
          <cell r="P160">
            <v>1939</v>
          </cell>
          <cell r="Q160">
            <v>5939</v>
          </cell>
          <cell r="R160">
            <v>2078</v>
          </cell>
          <cell r="S160">
            <v>1728</v>
          </cell>
          <cell r="T160">
            <v>1811</v>
          </cell>
          <cell r="U160">
            <v>5617</v>
          </cell>
          <cell r="V160">
            <v>1838</v>
          </cell>
          <cell r="W160">
            <v>1680</v>
          </cell>
          <cell r="X160">
            <v>1571</v>
          </cell>
          <cell r="Y160">
            <v>5089</v>
          </cell>
          <cell r="Z160">
            <v>1615</v>
          </cell>
          <cell r="AA160">
            <v>1463</v>
          </cell>
          <cell r="AB160">
            <v>1434</v>
          </cell>
          <cell r="AC160">
            <v>4512</v>
          </cell>
          <cell r="AD160">
            <v>1478</v>
          </cell>
          <cell r="AE160">
            <v>1410</v>
          </cell>
          <cell r="AF160">
            <v>1562</v>
          </cell>
          <cell r="AG160">
            <v>4450</v>
          </cell>
          <cell r="AH160">
            <v>1423</v>
          </cell>
          <cell r="AI160">
            <v>1262</v>
          </cell>
          <cell r="AJ160">
            <v>1345</v>
          </cell>
          <cell r="AK160">
            <v>4030</v>
          </cell>
          <cell r="AL160">
            <v>1348</v>
          </cell>
          <cell r="AM160">
            <v>1185</v>
          </cell>
          <cell r="AN160">
            <v>1163</v>
          </cell>
          <cell r="AO160">
            <v>3696</v>
          </cell>
          <cell r="AP160">
            <v>1138</v>
          </cell>
          <cell r="AQ160">
            <v>1137</v>
          </cell>
          <cell r="AR160">
            <v>1072</v>
          </cell>
          <cell r="AS160">
            <v>3347</v>
          </cell>
          <cell r="AT160">
            <v>1123</v>
          </cell>
          <cell r="AU160">
            <v>1105</v>
          </cell>
          <cell r="AV160">
            <v>1424</v>
          </cell>
          <cell r="AW160">
            <v>3652</v>
          </cell>
          <cell r="AX160">
            <v>1035</v>
          </cell>
          <cell r="AY160">
            <v>1024</v>
          </cell>
          <cell r="AZ160">
            <v>1213</v>
          </cell>
          <cell r="BA160">
            <v>3272</v>
          </cell>
          <cell r="BB160">
            <v>1069</v>
          </cell>
          <cell r="BC160">
            <v>922</v>
          </cell>
          <cell r="BD160">
            <v>991</v>
          </cell>
          <cell r="BE160">
            <v>2982</v>
          </cell>
        </row>
        <row r="161">
          <cell r="A161" t="str">
            <v xml:space="preserve">  % Change</v>
          </cell>
          <cell r="R161">
            <v>-0.30917553191489366</v>
          </cell>
          <cell r="S161">
            <v>-0.2877164056059357</v>
          </cell>
          <cell r="T161">
            <v>-0.31866064710308506</v>
          </cell>
          <cell r="U161">
            <v>-0.30585763717251602</v>
          </cell>
          <cell r="V161">
            <v>-0.26802070888092389</v>
          </cell>
          <cell r="W161">
            <v>-0.2615384615384615</v>
          </cell>
          <cell r="X161">
            <v>-0.2786960514233241</v>
          </cell>
          <cell r="Y161">
            <v>-0.2692418150488225</v>
          </cell>
          <cell r="Z161">
            <v>-0.23568386180785617</v>
          </cell>
          <cell r="AA161">
            <v>-0.23563218390804597</v>
          </cell>
          <cell r="AB161">
            <v>-0.25390218522372532</v>
          </cell>
          <cell r="AC161">
            <v>-0.24155320221886034</v>
          </cell>
          <cell r="AD161">
            <v>-0.29952606635071088</v>
          </cell>
          <cell r="AE161">
            <v>-0.25396825396825395</v>
          </cell>
          <cell r="AF161">
            <v>-0.19443011861784421</v>
          </cell>
          <cell r="AG161">
            <v>-0.25071560868833132</v>
          </cell>
          <cell r="AH161">
            <v>-0.31520692974013476</v>
          </cell>
          <cell r="AI161">
            <v>-0.26967592592592593</v>
          </cell>
          <cell r="AJ161">
            <v>-0.25731639977912757</v>
          </cell>
          <cell r="AK161">
            <v>-0.28253516111803456</v>
          </cell>
          <cell r="AL161">
            <v>-0.26659412404787808</v>
          </cell>
          <cell r="AM161">
            <v>-0.2946428571428571</v>
          </cell>
          <cell r="AN161">
            <v>-0.25970719287078292</v>
          </cell>
          <cell r="AO161">
            <v>-0.27372764786795045</v>
          </cell>
          <cell r="AP161">
            <v>-0.29535603715170278</v>
          </cell>
          <cell r="AQ161">
            <v>-0.22282980177717016</v>
          </cell>
          <cell r="AR161">
            <v>-0.25244072524407257</v>
          </cell>
          <cell r="AS161">
            <v>-0.25820035460992907</v>
          </cell>
          <cell r="AT161">
            <v>-0.2401894451962111</v>
          </cell>
          <cell r="AU161">
            <v>-0.21631205673758869</v>
          </cell>
          <cell r="AV161">
            <v>-8.8348271446862969E-2</v>
          </cell>
          <cell r="AW161">
            <v>-0.17932584269662921</v>
          </cell>
          <cell r="AX161">
            <v>-0.27266338721011951</v>
          </cell>
          <cell r="AY161">
            <v>-0.18858954041204434</v>
          </cell>
          <cell r="AZ161">
            <v>-9.8141263940520473E-2</v>
          </cell>
          <cell r="BA161">
            <v>-0.18808933002481387</v>
          </cell>
          <cell r="BB161">
            <v>-0.20697329376854601</v>
          </cell>
          <cell r="BC161">
            <v>-0.22194092827004219</v>
          </cell>
          <cell r="BD161">
            <v>-0.1478933791917455</v>
          </cell>
          <cell r="BE161">
            <v>-0.19318181818181823</v>
          </cell>
        </row>
        <row r="162">
          <cell r="A162" t="str">
            <v>Sales (IMS)</v>
          </cell>
          <cell r="B162">
            <v>0.15116499999999999</v>
          </cell>
          <cell r="C162">
            <v>0.13930799999999999</v>
          </cell>
          <cell r="D162">
            <v>0.17319999999999999</v>
          </cell>
          <cell r="E162">
            <v>0.463673</v>
          </cell>
          <cell r="F162">
            <v>0.132101</v>
          </cell>
          <cell r="G162">
            <v>0.12169199999999999</v>
          </cell>
          <cell r="H162">
            <v>0.14842900000000001</v>
          </cell>
          <cell r="I162">
            <v>0.40222199999999997</v>
          </cell>
          <cell r="J162">
            <v>0.11096499999999999</v>
          </cell>
          <cell r="K162">
            <v>0.107727</v>
          </cell>
          <cell r="L162">
            <v>0.13608100000000001</v>
          </cell>
          <cell r="M162">
            <v>0.35477300000000001</v>
          </cell>
          <cell r="N162">
            <v>0.11369600000000001</v>
          </cell>
          <cell r="O162">
            <v>0.115476</v>
          </cell>
          <cell r="P162">
            <v>0.135131</v>
          </cell>
          <cell r="Q162">
            <v>0.36430299999999999</v>
          </cell>
          <cell r="R162">
            <v>0.114401</v>
          </cell>
          <cell r="S162">
            <v>0.116771</v>
          </cell>
          <cell r="T162">
            <v>0.13396</v>
          </cell>
          <cell r="U162">
            <v>0.36513200000000001</v>
          </cell>
          <cell r="V162">
            <v>9.8183999999999994E-2</v>
          </cell>
          <cell r="W162">
            <v>9.8780000000000007E-2</v>
          </cell>
          <cell r="X162">
            <v>0.120467</v>
          </cell>
          <cell r="Y162">
            <v>0.31743100000000002</v>
          </cell>
          <cell r="Z162">
            <v>9.1274999999999995E-2</v>
          </cell>
          <cell r="AA162">
            <v>8.9762999999999996E-2</v>
          </cell>
          <cell r="AB162">
            <v>0.114922</v>
          </cell>
          <cell r="AC162">
            <v>0.29596</v>
          </cell>
          <cell r="AD162">
            <v>9.6315999999999999E-2</v>
          </cell>
          <cell r="AE162">
            <v>8.7722999999999995E-2</v>
          </cell>
          <cell r="AF162">
            <v>0.110166</v>
          </cell>
          <cell r="AG162">
            <v>0.29420499999999999</v>
          </cell>
          <cell r="AH162">
            <v>8.8376999999999997E-2</v>
          </cell>
          <cell r="AI162">
            <v>8.8566000000000006E-2</v>
          </cell>
          <cell r="AJ162">
            <v>0.108568</v>
          </cell>
          <cell r="AK162">
            <v>0.28551100000000001</v>
          </cell>
          <cell r="AL162">
            <v>9.0816999999999995E-2</v>
          </cell>
          <cell r="AM162">
            <v>8.6613999999999997E-2</v>
          </cell>
          <cell r="AN162">
            <v>9.6398999999999999E-2</v>
          </cell>
          <cell r="AO162">
            <v>0.27383000000000002</v>
          </cell>
          <cell r="AP162">
            <v>8.0877000000000004E-2</v>
          </cell>
          <cell r="AQ162">
            <v>8.6749000000000007E-2</v>
          </cell>
          <cell r="AR162">
            <v>0.10932</v>
          </cell>
          <cell r="AS162">
            <v>0.27694600000000003</v>
          </cell>
          <cell r="AT162">
            <v>8.8229000000000002E-2</v>
          </cell>
          <cell r="AU162">
            <v>8.7947999999999998E-2</v>
          </cell>
          <cell r="AV162">
            <v>0.11933100000000001</v>
          </cell>
          <cell r="AW162">
            <v>0.29550799999999999</v>
          </cell>
          <cell r="AX162">
            <v>9.2826000000000006E-2</v>
          </cell>
          <cell r="AY162">
            <v>8.1990999999999994E-2</v>
          </cell>
          <cell r="AZ162">
            <v>0.10798099999999999</v>
          </cell>
          <cell r="BA162">
            <v>0.28279799999999999</v>
          </cell>
          <cell r="BB162">
            <v>8.0444000000000002E-2</v>
          </cell>
          <cell r="BC162">
            <v>7.3149000000000006E-2</v>
          </cell>
          <cell r="BD162">
            <v>9.5506000000000008E-2</v>
          </cell>
          <cell r="BE162">
            <v>0.24909900000000001</v>
          </cell>
        </row>
        <row r="163">
          <cell r="A163" t="str">
            <v xml:space="preserve">  % Change</v>
          </cell>
          <cell r="R163">
            <v>-0.24320444547348918</v>
          </cell>
          <cell r="S163">
            <v>-0.16177821804921466</v>
          </cell>
          <cell r="T163">
            <v>-0.22655889145496533</v>
          </cell>
          <cell r="U163">
            <v>-0.21252261831074915</v>
          </cell>
          <cell r="V163">
            <v>-0.25675051665013893</v>
          </cell>
          <cell r="W163">
            <v>-0.18827860500279381</v>
          </cell>
          <cell r="X163">
            <v>-0.18838636654562113</v>
          </cell>
          <cell r="Y163">
            <v>-0.21080647005882314</v>
          </cell>
          <cell r="Z163">
            <v>-0.17744333798945611</v>
          </cell>
          <cell r="AA163">
            <v>-0.16675485254393052</v>
          </cell>
          <cell r="AB163">
            <v>-0.15548827536540744</v>
          </cell>
          <cell r="AC163">
            <v>-0.16577642605271536</v>
          </cell>
          <cell r="AD163">
            <v>-0.15286377708978338</v>
          </cell>
          <cell r="AE163">
            <v>-0.24033565416190383</v>
          </cell>
          <cell r="AF163">
            <v>-0.18474665324758943</v>
          </cell>
          <cell r="AG163">
            <v>-0.19241675198941544</v>
          </cell>
          <cell r="AH163">
            <v>-0.22748052901635485</v>
          </cell>
          <cell r="AI163">
            <v>-0.24154113606974326</v>
          </cell>
          <cell r="AJ163">
            <v>-0.1895491191400418</v>
          </cell>
          <cell r="AK163">
            <v>-0.2180608656595423</v>
          </cell>
          <cell r="AL163">
            <v>-7.5032591868328891E-2</v>
          </cell>
          <cell r="AM163">
            <v>-0.12316258351893106</v>
          </cell>
          <cell r="AN163">
            <v>-0.19978915387616525</v>
          </cell>
          <cell r="AO163">
            <v>-0.13735583481134483</v>
          </cell>
          <cell r="AP163">
            <v>-0.11391947411668024</v>
          </cell>
          <cell r="AQ163">
            <v>-3.3577309136280986E-2</v>
          </cell>
          <cell r="AR163">
            <v>-4.8746106054541327E-2</v>
          </cell>
          <cell r="AS163">
            <v>-6.4245168265981811E-2</v>
          </cell>
          <cell r="AT163">
            <v>-8.3963204452012108E-2</v>
          </cell>
          <cell r="AU163">
            <v>2.5648917615677114E-3</v>
          </cell>
          <cell r="AV163">
            <v>8.319263656663578E-2</v>
          </cell>
          <cell r="AW163">
            <v>4.4288846212674482E-3</v>
          </cell>
          <cell r="AX163">
            <v>5.0341152109711906E-2</v>
          </cell>
          <cell r="AY163">
            <v>-7.4238421064516946E-2</v>
          </cell>
          <cell r="AZ163">
            <v>-5.4067496868323017E-3</v>
          </cell>
          <cell r="BA163">
            <v>-9.5022608586009527E-3</v>
          </cell>
          <cell r="BB163">
            <v>-0.11421870354669272</v>
          </cell>
          <cell r="BC163">
            <v>-0.15545985637425808</v>
          </cell>
          <cell r="BD163">
            <v>-9.2635815724229076E-3</v>
          </cell>
          <cell r="BE163">
            <v>-9.0315159040280424E-2</v>
          </cell>
        </row>
        <row r="164">
          <cell r="A164" t="str">
            <v>Price Change</v>
          </cell>
          <cell r="B164">
            <v>13126</v>
          </cell>
          <cell r="C164">
            <v>11440</v>
          </cell>
          <cell r="D164">
            <v>11998</v>
          </cell>
          <cell r="E164">
            <v>36564</v>
          </cell>
          <cell r="F164">
            <v>11560</v>
          </cell>
          <cell r="G164">
            <v>11619</v>
          </cell>
          <cell r="H164">
            <v>10463</v>
          </cell>
          <cell r="I164">
            <v>33642</v>
          </cell>
          <cell r="J164">
            <v>10602</v>
          </cell>
          <cell r="K164">
            <v>9847</v>
          </cell>
          <cell r="L164">
            <v>9019</v>
          </cell>
          <cell r="M164">
            <v>29468</v>
          </cell>
          <cell r="N164">
            <v>9556</v>
          </cell>
          <cell r="O164">
            <v>9111</v>
          </cell>
          <cell r="P164">
            <v>9265</v>
          </cell>
          <cell r="Q164">
            <v>27932</v>
          </cell>
          <cell r="R164">
            <v>9219</v>
          </cell>
          <cell r="S164">
            <v>7676</v>
          </cell>
          <cell r="T164">
            <v>8027</v>
          </cell>
          <cell r="U164">
            <v>0</v>
          </cell>
          <cell r="V164">
            <v>7982</v>
          </cell>
          <cell r="W164">
            <v>7503</v>
          </cell>
          <cell r="X164">
            <v>7509</v>
          </cell>
          <cell r="Y164">
            <v>0</v>
          </cell>
          <cell r="Z164">
            <v>7384</v>
          </cell>
          <cell r="AA164">
            <v>6501</v>
          </cell>
          <cell r="AB164">
            <v>6449</v>
          </cell>
          <cell r="AC164">
            <v>0</v>
          </cell>
          <cell r="AD164">
            <v>6324</v>
          </cell>
          <cell r="AE164">
            <v>5798</v>
          </cell>
          <cell r="AF164">
            <v>6898</v>
          </cell>
          <cell r="AG164">
            <v>0</v>
          </cell>
          <cell r="AH164">
            <v>5717</v>
          </cell>
          <cell r="AI164">
            <v>5489</v>
          </cell>
          <cell r="AJ164">
            <v>5728</v>
          </cell>
          <cell r="AK164">
            <v>0</v>
          </cell>
          <cell r="AL164">
            <v>5176</v>
          </cell>
          <cell r="AM164">
            <v>5077</v>
          </cell>
          <cell r="AN164">
            <v>5233</v>
          </cell>
          <cell r="AO164">
            <v>0</v>
          </cell>
          <cell r="AP164">
            <v>4708</v>
          </cell>
          <cell r="AQ164">
            <v>4580</v>
          </cell>
          <cell r="AR164">
            <v>4086</v>
          </cell>
          <cell r="AS164">
            <v>0</v>
          </cell>
          <cell r="AT164">
            <v>4354</v>
          </cell>
          <cell r="AU164">
            <v>4384</v>
          </cell>
          <cell r="AV164">
            <v>4453</v>
          </cell>
          <cell r="AW164">
            <v>0</v>
          </cell>
          <cell r="AX164">
            <v>3136</v>
          </cell>
          <cell r="AY164">
            <v>3655</v>
          </cell>
          <cell r="AZ164">
            <v>3457</v>
          </cell>
          <cell r="BA164">
            <v>0</v>
          </cell>
          <cell r="BB164">
            <v>3909</v>
          </cell>
          <cell r="BC164">
            <v>3583</v>
          </cell>
          <cell r="BD164">
            <v>3801</v>
          </cell>
          <cell r="BE164">
            <v>0</v>
          </cell>
        </row>
        <row r="165">
          <cell r="A165" t="str">
            <v>TRx</v>
          </cell>
          <cell r="B165">
            <v>306579</v>
          </cell>
          <cell r="C165">
            <v>333076</v>
          </cell>
          <cell r="D165">
            <v>317254</v>
          </cell>
          <cell r="E165">
            <v>956909</v>
          </cell>
          <cell r="F165">
            <v>267197</v>
          </cell>
          <cell r="G165">
            <v>254917</v>
          </cell>
          <cell r="H165">
            <v>186432</v>
          </cell>
          <cell r="I165">
            <v>708546</v>
          </cell>
          <cell r="J165">
            <v>170210</v>
          </cell>
          <cell r="K165">
            <v>181516</v>
          </cell>
          <cell r="L165">
            <v>224677</v>
          </cell>
          <cell r="M165">
            <v>576403</v>
          </cell>
          <cell r="N165">
            <v>282240</v>
          </cell>
          <cell r="O165">
            <v>350157</v>
          </cell>
          <cell r="P165">
            <v>395583</v>
          </cell>
          <cell r="Q165">
            <v>1027980</v>
          </cell>
          <cell r="R165">
            <v>401848</v>
          </cell>
          <cell r="S165">
            <v>459774</v>
          </cell>
          <cell r="T165">
            <v>445611</v>
          </cell>
          <cell r="U165">
            <v>1307233</v>
          </cell>
          <cell r="V165">
            <v>386632</v>
          </cell>
          <cell r="W165">
            <v>341207</v>
          </cell>
          <cell r="X165">
            <v>279817</v>
          </cell>
          <cell r="Y165">
            <v>1007656</v>
          </cell>
          <cell r="Z165">
            <v>237615</v>
          </cell>
          <cell r="AA165">
            <v>246726</v>
          </cell>
          <cell r="AB165">
            <v>330328</v>
          </cell>
          <cell r="AC165">
            <v>814669</v>
          </cell>
          <cell r="AD165">
            <v>412403</v>
          </cell>
          <cell r="AE165">
            <v>472706</v>
          </cell>
          <cell r="AF165">
            <v>718330</v>
          </cell>
          <cell r="AG165">
            <v>1603439</v>
          </cell>
          <cell r="AH165">
            <v>534633</v>
          </cell>
          <cell r="AI165">
            <v>575272</v>
          </cell>
          <cell r="AJ165">
            <v>575717</v>
          </cell>
          <cell r="AK165">
            <v>1685622</v>
          </cell>
          <cell r="AL165">
            <v>465204</v>
          </cell>
          <cell r="AM165">
            <v>401456</v>
          </cell>
          <cell r="AN165">
            <v>338651</v>
          </cell>
          <cell r="AO165">
            <v>1205311</v>
          </cell>
          <cell r="AP165">
            <v>279511</v>
          </cell>
          <cell r="AQ165">
            <v>307986</v>
          </cell>
          <cell r="AR165">
            <v>375141</v>
          </cell>
          <cell r="AS165">
            <v>962638</v>
          </cell>
          <cell r="AT165">
            <v>461842</v>
          </cell>
          <cell r="AU165">
            <v>596703</v>
          </cell>
          <cell r="AV165">
            <v>719157</v>
          </cell>
          <cell r="AW165">
            <v>1777702</v>
          </cell>
          <cell r="AX165">
            <v>725485</v>
          </cell>
          <cell r="AY165">
            <v>895238</v>
          </cell>
          <cell r="AZ165">
            <v>893295</v>
          </cell>
          <cell r="BA165">
            <v>2514018</v>
          </cell>
          <cell r="BB165">
            <v>679064</v>
          </cell>
          <cell r="BC165">
            <v>634689</v>
          </cell>
          <cell r="BD165">
            <v>471399</v>
          </cell>
          <cell r="BE165">
            <v>1785152</v>
          </cell>
        </row>
        <row r="166">
          <cell r="A166" t="str">
            <v>Omnicef</v>
          </cell>
          <cell r="B166">
            <v>8915</v>
          </cell>
          <cell r="C166">
            <v>7673</v>
          </cell>
          <cell r="D166">
            <v>7988</v>
          </cell>
          <cell r="E166">
            <v>24576</v>
          </cell>
          <cell r="F166">
            <v>7767</v>
          </cell>
          <cell r="G166">
            <v>7845</v>
          </cell>
          <cell r="H166">
            <v>6984</v>
          </cell>
          <cell r="I166">
            <v>22596</v>
          </cell>
          <cell r="J166">
            <v>6798</v>
          </cell>
          <cell r="K166">
            <v>6447</v>
          </cell>
          <cell r="L166">
            <v>5818</v>
          </cell>
          <cell r="M166">
            <v>19063</v>
          </cell>
          <cell r="N166">
            <v>6200</v>
          </cell>
          <cell r="O166">
            <v>5788</v>
          </cell>
          <cell r="P166">
            <v>5778</v>
          </cell>
          <cell r="Q166">
            <v>17766</v>
          </cell>
          <cell r="R166">
            <v>0.3107486161804951</v>
          </cell>
          <cell r="S166">
            <v>0.3803876592729587</v>
          </cell>
          <cell r="T166">
            <v>0.40458749141066774</v>
          </cell>
          <cell r="U166">
            <v>0.36609959776739487</v>
          </cell>
          <cell r="V166">
            <v>0.44699229407515806</v>
          </cell>
          <cell r="W166">
            <v>0.33850233605448055</v>
          </cell>
          <cell r="X166">
            <v>0.50090649673875731</v>
          </cell>
          <cell r="Y166">
            <v>0.42214619798855679</v>
          </cell>
          <cell r="Z166">
            <v>0.39601081017566542</v>
          </cell>
          <cell r="AA166">
            <v>0.35925207695189409</v>
          </cell>
          <cell r="AB166">
            <v>0.47023504853634335</v>
          </cell>
          <cell r="AC166">
            <v>0.41336703660459784</v>
          </cell>
          <cell r="AD166">
            <v>0.4611784297052155</v>
          </cell>
          <cell r="AE166">
            <v>0.34998300762229517</v>
          </cell>
          <cell r="AF166">
            <v>0.81587681978244775</v>
          </cell>
          <cell r="AG166">
            <v>0.55979591042627286</v>
          </cell>
          <cell r="AH166">
            <v>0.3304358862057295</v>
          </cell>
          <cell r="AI166">
            <v>0.25120602730906927</v>
          </cell>
          <cell r="AJ166">
            <v>0.29197214610949906</v>
          </cell>
          <cell r="AK166">
            <v>0.28945796197005436</v>
          </cell>
          <cell r="AL166">
            <v>0.20322166814955822</v>
          </cell>
          <cell r="AM166">
            <v>0.17657609603554447</v>
          </cell>
          <cell r="AN166">
            <v>0.21025884774692027</v>
          </cell>
          <cell r="AO166">
            <v>0.19615325071254475</v>
          </cell>
          <cell r="AP166">
            <v>0.17631883509037727</v>
          </cell>
          <cell r="AQ166">
            <v>0.2482916271491451</v>
          </cell>
          <cell r="AR166">
            <v>0.13566212976193359</v>
          </cell>
          <cell r="AS166">
            <v>0.18163082184298163</v>
          </cell>
          <cell r="AT166">
            <v>0.11988031124894816</v>
          </cell>
          <cell r="AU166">
            <v>0.26231315024560731</v>
          </cell>
          <cell r="AV166">
            <v>1.1512814444614161E-3</v>
          </cell>
          <cell r="AW166">
            <v>0.10868077925009922</v>
          </cell>
          <cell r="AX166">
            <v>0.35697759023479647</v>
          </cell>
          <cell r="AY166">
            <v>0.55619950214854885</v>
          </cell>
          <cell r="AZ166">
            <v>0.5516217169199451</v>
          </cell>
          <cell r="BA166">
            <v>0.49144826064206559</v>
          </cell>
          <cell r="BB166">
            <v>0.45971229826054816</v>
          </cell>
          <cell r="BC166">
            <v>0.58096777729066207</v>
          </cell>
          <cell r="BD166">
            <v>0.39199057436712126</v>
          </cell>
          <cell r="BE166">
            <v>0.4810716902110741</v>
          </cell>
        </row>
        <row r="167">
          <cell r="A167" t="str">
            <v>TRx</v>
          </cell>
          <cell r="B167">
            <v>306579</v>
          </cell>
          <cell r="C167">
            <v>333076</v>
          </cell>
          <cell r="D167">
            <v>317254</v>
          </cell>
          <cell r="E167">
            <v>956909</v>
          </cell>
          <cell r="F167">
            <v>267197</v>
          </cell>
          <cell r="G167">
            <v>254917</v>
          </cell>
          <cell r="H167">
            <v>186432</v>
          </cell>
          <cell r="I167">
            <v>708546</v>
          </cell>
          <cell r="J167">
            <v>170210</v>
          </cell>
          <cell r="K167">
            <v>181516</v>
          </cell>
          <cell r="L167">
            <v>224677</v>
          </cell>
          <cell r="M167">
            <v>576403</v>
          </cell>
          <cell r="N167">
            <v>282240</v>
          </cell>
          <cell r="O167">
            <v>350157</v>
          </cell>
          <cell r="P167">
            <v>395583</v>
          </cell>
          <cell r="Q167">
            <v>1027980</v>
          </cell>
          <cell r="R167">
            <v>401848</v>
          </cell>
          <cell r="S167">
            <v>459774</v>
          </cell>
          <cell r="T167">
            <v>445611</v>
          </cell>
          <cell r="U167">
            <v>1307233</v>
          </cell>
          <cell r="V167">
            <v>386632</v>
          </cell>
          <cell r="W167">
            <v>341207</v>
          </cell>
          <cell r="X167">
            <v>279817</v>
          </cell>
          <cell r="Y167">
            <v>1007656</v>
          </cell>
          <cell r="Z167">
            <v>237615</v>
          </cell>
          <cell r="AA167">
            <v>246726</v>
          </cell>
          <cell r="AB167">
            <v>330328</v>
          </cell>
          <cell r="AC167">
            <v>814669</v>
          </cell>
          <cell r="AD167">
            <v>412403</v>
          </cell>
          <cell r="AE167">
            <v>472706</v>
          </cell>
          <cell r="AF167">
            <v>718330</v>
          </cell>
          <cell r="AG167">
            <v>1603439</v>
          </cell>
          <cell r="AH167">
            <v>534633</v>
          </cell>
          <cell r="AI167">
            <v>575272</v>
          </cell>
          <cell r="AJ167">
            <v>575717</v>
          </cell>
          <cell r="AK167">
            <v>1685622</v>
          </cell>
          <cell r="AL167">
            <v>465204</v>
          </cell>
          <cell r="AM167">
            <v>401456</v>
          </cell>
          <cell r="AN167">
            <v>338651</v>
          </cell>
          <cell r="AO167">
            <v>1205311</v>
          </cell>
          <cell r="AP167">
            <v>279511</v>
          </cell>
          <cell r="AQ167">
            <v>307986</v>
          </cell>
          <cell r="AR167">
            <v>375141</v>
          </cell>
          <cell r="AS167">
            <v>962638</v>
          </cell>
          <cell r="AT167">
            <v>461842</v>
          </cell>
          <cell r="AU167">
            <v>596703</v>
          </cell>
          <cell r="AV167">
            <v>719157</v>
          </cell>
          <cell r="AW167">
            <v>1777702</v>
          </cell>
          <cell r="AX167">
            <v>725485</v>
          </cell>
          <cell r="AY167">
            <v>895238</v>
          </cell>
          <cell r="AZ167">
            <v>893295</v>
          </cell>
          <cell r="BA167">
            <v>2514018</v>
          </cell>
          <cell r="BB167">
            <v>679064</v>
          </cell>
          <cell r="BC167">
            <v>634689</v>
          </cell>
          <cell r="BD167">
            <v>471399</v>
          </cell>
          <cell r="BE167">
            <v>1785152</v>
          </cell>
        </row>
        <row r="168">
          <cell r="A168" t="str">
            <v xml:space="preserve">  % Change</v>
          </cell>
          <cell r="B168">
            <v>0.64192300000000002</v>
          </cell>
          <cell r="C168">
            <v>0.59473100000000001</v>
          </cell>
          <cell r="D168">
            <v>0.77373100000000006</v>
          </cell>
          <cell r="E168">
            <v>2.0103850000000003</v>
          </cell>
          <cell r="F168">
            <v>0.575017</v>
          </cell>
          <cell r="G168">
            <v>0.55046899999999999</v>
          </cell>
          <cell r="H168">
            <v>0.66270799999999996</v>
          </cell>
          <cell r="I168">
            <v>1.7881939999999998</v>
          </cell>
          <cell r="J168">
            <v>0.50257700000000005</v>
          </cell>
          <cell r="K168">
            <v>0.47787199999999996</v>
          </cell>
          <cell r="L168">
            <v>0.59567400000000004</v>
          </cell>
          <cell r="M168">
            <v>1.5761229999999999</v>
          </cell>
          <cell r="N168">
            <v>0.47009200000000001</v>
          </cell>
          <cell r="O168">
            <v>0.47850500000000001</v>
          </cell>
          <cell r="P168">
            <v>0.58941699999999997</v>
          </cell>
          <cell r="Q168">
            <v>1.538014</v>
          </cell>
          <cell r="R168">
            <v>0.3107486161804951</v>
          </cell>
          <cell r="S168">
            <v>0.3803876592729587</v>
          </cell>
          <cell r="T168">
            <v>0.40458749141066774</v>
          </cell>
          <cell r="U168">
            <v>0.36609959776739487</v>
          </cell>
          <cell r="V168">
            <v>0.44699229407515806</v>
          </cell>
          <cell r="W168">
            <v>0.33850233605448055</v>
          </cell>
          <cell r="X168">
            <v>0.50090649673875731</v>
          </cell>
          <cell r="Y168">
            <v>0.42214619798855679</v>
          </cell>
          <cell r="Z168">
            <v>0.39601081017566542</v>
          </cell>
          <cell r="AA168">
            <v>0.35925207695189409</v>
          </cell>
          <cell r="AB168">
            <v>0.47023504853634335</v>
          </cell>
          <cell r="AC168">
            <v>0.41336703660459784</v>
          </cell>
          <cell r="AD168">
            <v>0.4611784297052155</v>
          </cell>
          <cell r="AE168">
            <v>0.34998300762229517</v>
          </cell>
          <cell r="AF168">
            <v>0.81587681978244775</v>
          </cell>
          <cell r="AG168">
            <v>0.55979591042627286</v>
          </cell>
          <cell r="AH168">
            <v>0.3304358862057295</v>
          </cell>
          <cell r="AI168">
            <v>0.25120602730906927</v>
          </cell>
          <cell r="AJ168">
            <v>0.29197214610949906</v>
          </cell>
          <cell r="AK168">
            <v>0.28945796197005436</v>
          </cell>
          <cell r="AL168">
            <v>0.20322166814955822</v>
          </cell>
          <cell r="AM168">
            <v>0.17657609603554447</v>
          </cell>
          <cell r="AN168">
            <v>0.21025884774692027</v>
          </cell>
          <cell r="AO168">
            <v>0.19615325071254475</v>
          </cell>
          <cell r="AP168">
            <v>0.17631883509037727</v>
          </cell>
          <cell r="AQ168">
            <v>0.2482916271491451</v>
          </cell>
          <cell r="AR168">
            <v>0.13566212976193359</v>
          </cell>
          <cell r="AS168">
            <v>0.18163082184298163</v>
          </cell>
          <cell r="AT168">
            <v>0.11988031124894816</v>
          </cell>
          <cell r="AU168">
            <v>0.26231315024560731</v>
          </cell>
          <cell r="AV168">
            <v>1.1512814444614161E-3</v>
          </cell>
          <cell r="AW168">
            <v>0.10868077925009922</v>
          </cell>
          <cell r="AX168">
            <v>0.35697759023479647</v>
          </cell>
          <cell r="AY168">
            <v>0.55619950214854885</v>
          </cell>
          <cell r="AZ168">
            <v>0.5516217169199451</v>
          </cell>
          <cell r="BA168">
            <v>0.49144826064206559</v>
          </cell>
          <cell r="BB168">
            <v>0.45971229826054816</v>
          </cell>
          <cell r="BC168">
            <v>0.58096777729066207</v>
          </cell>
          <cell r="BD168">
            <v>0.39199057436712126</v>
          </cell>
          <cell r="BE168">
            <v>0.4810716902110741</v>
          </cell>
        </row>
        <row r="169">
          <cell r="A169" t="str">
            <v>NRx</v>
          </cell>
          <cell r="B169">
            <v>298111</v>
          </cell>
          <cell r="C169">
            <v>324188</v>
          </cell>
          <cell r="D169">
            <v>308122</v>
          </cell>
          <cell r="E169">
            <v>930421</v>
          </cell>
          <cell r="F169">
            <v>259663</v>
          </cell>
          <cell r="G169">
            <v>247416</v>
          </cell>
          <cell r="H169">
            <v>180835</v>
          </cell>
          <cell r="I169">
            <v>687914</v>
          </cell>
          <cell r="J169">
            <v>164897</v>
          </cell>
          <cell r="K169">
            <v>176536</v>
          </cell>
          <cell r="L169">
            <v>219080</v>
          </cell>
          <cell r="M169">
            <v>560513</v>
          </cell>
          <cell r="N169">
            <v>274840</v>
          </cell>
          <cell r="O169">
            <v>341038</v>
          </cell>
          <cell r="P169">
            <v>384393</v>
          </cell>
          <cell r="Q169">
            <v>1000271</v>
          </cell>
          <cell r="R169">
            <v>391537</v>
          </cell>
          <cell r="S169">
            <v>448476</v>
          </cell>
          <cell r="T169">
            <v>433656</v>
          </cell>
          <cell r="U169">
            <v>1273669</v>
          </cell>
          <cell r="V169">
            <v>376118</v>
          </cell>
          <cell r="W169">
            <v>330971</v>
          </cell>
          <cell r="X169">
            <v>270906</v>
          </cell>
          <cell r="Y169">
            <v>977995</v>
          </cell>
          <cell r="Z169">
            <v>230236</v>
          </cell>
          <cell r="AA169">
            <v>239370</v>
          </cell>
          <cell r="AB169">
            <v>321527</v>
          </cell>
          <cell r="AC169">
            <v>791133</v>
          </cell>
          <cell r="AD169">
            <v>401568</v>
          </cell>
          <cell r="AE169">
            <v>460395</v>
          </cell>
          <cell r="AF169">
            <v>701085</v>
          </cell>
          <cell r="AG169">
            <v>1563048</v>
          </cell>
          <cell r="AH169">
            <v>520061</v>
          </cell>
          <cell r="AI169">
            <v>560970</v>
          </cell>
          <cell r="AJ169">
            <v>561103</v>
          </cell>
          <cell r="AK169">
            <v>1642134</v>
          </cell>
          <cell r="AL169">
            <v>453395</v>
          </cell>
          <cell r="AM169">
            <v>391353</v>
          </cell>
          <cell r="AN169">
            <v>329905</v>
          </cell>
          <cell r="AO169">
            <v>1174653</v>
          </cell>
          <cell r="AP169">
            <v>271801</v>
          </cell>
          <cell r="AQ169">
            <v>299866</v>
          </cell>
          <cell r="AR169">
            <v>366815</v>
          </cell>
          <cell r="AS169">
            <v>938482</v>
          </cell>
          <cell r="AT169">
            <v>451622</v>
          </cell>
          <cell r="AU169">
            <v>583627</v>
          </cell>
          <cell r="AV169">
            <v>703840</v>
          </cell>
          <cell r="AW169">
            <v>1739089</v>
          </cell>
          <cell r="AX169">
            <v>710421</v>
          </cell>
          <cell r="AY169">
            <v>878840</v>
          </cell>
          <cell r="AZ169">
            <v>875767</v>
          </cell>
          <cell r="BA169">
            <v>2465028</v>
          </cell>
          <cell r="BB169">
            <v>664988</v>
          </cell>
          <cell r="BC169">
            <v>621176</v>
          </cell>
          <cell r="BD169">
            <v>460653</v>
          </cell>
          <cell r="BE169">
            <v>1746817</v>
          </cell>
        </row>
        <row r="170">
          <cell r="A170" t="str">
            <v xml:space="preserve">  % Change</v>
          </cell>
          <cell r="R170">
            <v>0.31339333335569641</v>
          </cell>
          <cell r="S170">
            <v>0.38338248176983725</v>
          </cell>
          <cell r="T170">
            <v>0.40741654279798256</v>
          </cell>
          <cell r="U170">
            <v>0.3689168666657352</v>
          </cell>
          <cell r="V170">
            <v>0.44848515190843519</v>
          </cell>
          <cell r="W170">
            <v>0.33771057651889924</v>
          </cell>
          <cell r="X170">
            <v>0.49808388862775455</v>
          </cell>
          <cell r="Y170">
            <v>0.4216820707239568</v>
          </cell>
          <cell r="Z170">
            <v>0.39624129001740482</v>
          </cell>
          <cell r="AA170">
            <v>0.35592740290932157</v>
          </cell>
          <cell r="AB170">
            <v>0.46762369910534973</v>
          </cell>
          <cell r="AC170">
            <v>0.41144451600587328</v>
          </cell>
          <cell r="AD170">
            <v>0.46109736574006699</v>
          </cell>
          <cell r="AE170">
            <v>0.34998152698526264</v>
          </cell>
          <cell r="AF170">
            <v>0.82387556485159719</v>
          </cell>
          <cell r="AG170">
            <v>0.56262452875270808</v>
          </cell>
          <cell r="AH170">
            <v>0.32825505635482721</v>
          </cell>
          <cell r="AI170">
            <v>0.25083616514596097</v>
          </cell>
          <cell r="AJ170">
            <v>0.29388962680096675</v>
          </cell>
          <cell r="AK170">
            <v>0.2892941572732004</v>
          </cell>
          <cell r="AL170">
            <v>0.20545945687257716</v>
          </cell>
          <cell r="AM170">
            <v>0.18243894480181044</v>
          </cell>
          <cell r="AN170">
            <v>0.21778402840837785</v>
          </cell>
          <cell r="AO170">
            <v>0.20108282762181817</v>
          </cell>
          <cell r="AP170">
            <v>0.18053214962038955</v>
          </cell>
          <cell r="AQ170">
            <v>0.25273008313489576</v>
          </cell>
          <cell r="AR170">
            <v>0.14085286772183991</v>
          </cell>
          <cell r="AS170">
            <v>0.18625060514477343</v>
          </cell>
          <cell r="AT170">
            <v>0.12464638616622836</v>
          </cell>
          <cell r="AU170">
            <v>0.26766580870774015</v>
          </cell>
          <cell r="AV170">
            <v>3.9296233694916527E-3</v>
          </cell>
          <cell r="AW170">
            <v>0.11262673954990499</v>
          </cell>
          <cell r="AX170">
            <v>0.3660339844748981</v>
          </cell>
          <cell r="AY170">
            <v>0.56664349252188173</v>
          </cell>
          <cell r="AZ170">
            <v>0.56079543328052073</v>
          </cell>
          <cell r="BA170">
            <v>0.50111257668375409</v>
          </cell>
          <cell r="BB170">
            <v>0.46668578171351682</v>
          </cell>
          <cell r="BC170">
            <v>0.58725242939238997</v>
          </cell>
          <cell r="BD170">
            <v>0.39632015277125232</v>
          </cell>
          <cell r="BE170">
            <v>0.48709193268139606</v>
          </cell>
        </row>
        <row r="171">
          <cell r="A171" t="str">
            <v>Sales (IMS)</v>
          </cell>
          <cell r="B171">
            <v>16.846527999999999</v>
          </cell>
          <cell r="C171">
            <v>20.394504999999999</v>
          </cell>
          <cell r="D171">
            <v>22.324660999999999</v>
          </cell>
          <cell r="E171">
            <v>59.565694000000001</v>
          </cell>
          <cell r="F171">
            <v>13.155348999999999</v>
          </cell>
          <cell r="G171">
            <v>13.062569</v>
          </cell>
          <cell r="H171">
            <v>12.579718</v>
          </cell>
          <cell r="I171">
            <v>38.797635999999997</v>
          </cell>
          <cell r="J171">
            <v>8.2148249999999994</v>
          </cell>
          <cell r="K171">
            <v>9.3377660000000002</v>
          </cell>
          <cell r="L171">
            <v>15.627443</v>
          </cell>
          <cell r="M171">
            <v>33.180033999999999</v>
          </cell>
          <cell r="N171">
            <v>15.324271</v>
          </cell>
          <cell r="O171">
            <v>20.766133</v>
          </cell>
          <cell r="P171">
            <v>27.675128999999998</v>
          </cell>
          <cell r="Q171">
            <v>63.765532999999998</v>
          </cell>
          <cell r="R171">
            <v>22.041784</v>
          </cell>
          <cell r="S171">
            <v>30.245661999999999</v>
          </cell>
          <cell r="T171">
            <v>32.522568999999997</v>
          </cell>
          <cell r="U171">
            <v>84.810014999999993</v>
          </cell>
          <cell r="V171">
            <v>21.576449</v>
          </cell>
          <cell r="W171">
            <v>18.839731</v>
          </cell>
          <cell r="X171">
            <v>20.843263</v>
          </cell>
          <cell r="Y171">
            <v>61.259442999999997</v>
          </cell>
          <cell r="Z171">
            <v>12.600289</v>
          </cell>
          <cell r="AA171">
            <v>14.26966</v>
          </cell>
          <cell r="AB171">
            <v>24.270603000000001</v>
          </cell>
          <cell r="AC171">
            <v>51.140552</v>
          </cell>
          <cell r="AD171">
            <v>25.811730000000001</v>
          </cell>
          <cell r="AE171">
            <v>31.89236</v>
          </cell>
          <cell r="AF171">
            <v>52.332999000000001</v>
          </cell>
          <cell r="AG171">
            <v>110.03708900000001</v>
          </cell>
          <cell r="AH171">
            <v>29.747247999999999</v>
          </cell>
          <cell r="AI171">
            <v>36.527186</v>
          </cell>
          <cell r="AJ171">
            <v>42.728656000000001</v>
          </cell>
          <cell r="AK171">
            <v>109.00309</v>
          </cell>
          <cell r="AL171">
            <v>28.179561</v>
          </cell>
          <cell r="AM171">
            <v>25.343788</v>
          </cell>
          <cell r="AN171">
            <v>24.53134</v>
          </cell>
          <cell r="AO171">
            <v>78.054688999999996</v>
          </cell>
          <cell r="AP171">
            <v>15.915628</v>
          </cell>
          <cell r="AQ171">
            <v>17.676262999999999</v>
          </cell>
          <cell r="AR171">
            <v>29.994897000000002</v>
          </cell>
          <cell r="AS171">
            <v>63.586787999999999</v>
          </cell>
          <cell r="AT171">
            <v>39.480682000000002</v>
          </cell>
          <cell r="AU171">
            <v>41.823352999999997</v>
          </cell>
          <cell r="AV171">
            <v>62.773795999999997</v>
          </cell>
          <cell r="AW171">
            <v>144.077831</v>
          </cell>
          <cell r="AX171">
            <v>48.617109000000006</v>
          </cell>
          <cell r="AY171">
            <v>71.204990999999993</v>
          </cell>
          <cell r="AZ171">
            <v>81.438001</v>
          </cell>
          <cell r="BA171">
            <v>201.26010100000002</v>
          </cell>
          <cell r="BB171">
            <v>48.871454</v>
          </cell>
          <cell r="BC171">
            <v>48.019427</v>
          </cell>
          <cell r="BD171">
            <v>42.092193000000002</v>
          </cell>
          <cell r="BE171">
            <v>138.98307400000002</v>
          </cell>
        </row>
        <row r="172">
          <cell r="A172" t="str">
            <v xml:space="preserve">  % Change</v>
          </cell>
          <cell r="B172">
            <v>1.6846528000000001</v>
          </cell>
          <cell r="C172">
            <v>2.0394505000000001</v>
          </cell>
          <cell r="D172">
            <v>2.2324660999999999</v>
          </cell>
          <cell r="E172">
            <v>5.9565694000000002</v>
          </cell>
          <cell r="F172">
            <v>1.3155349000000001</v>
          </cell>
          <cell r="G172">
            <v>1.3062569000000002</v>
          </cell>
          <cell r="H172">
            <v>1.2579718</v>
          </cell>
          <cell r="I172">
            <v>3.8797636</v>
          </cell>
          <cell r="J172">
            <v>0.8214825</v>
          </cell>
          <cell r="K172">
            <v>0.93377660000000007</v>
          </cell>
          <cell r="L172">
            <v>1.5627443000000001</v>
          </cell>
          <cell r="M172">
            <v>3.3180034000000003</v>
          </cell>
          <cell r="N172">
            <v>1.5324271</v>
          </cell>
          <cell r="O172">
            <v>2.0766133</v>
          </cell>
          <cell r="P172">
            <v>2.7675128999999998</v>
          </cell>
          <cell r="Q172">
            <v>6.3765533000000003</v>
          </cell>
          <cell r="R172">
            <v>0.30838734248386368</v>
          </cell>
          <cell r="S172">
            <v>0.48302996321803349</v>
          </cell>
          <cell r="T172">
            <v>0.45680012789443913</v>
          </cell>
          <cell r="U172">
            <v>0.42380637754342265</v>
          </cell>
          <cell r="V172">
            <v>0.64012744929838061</v>
          </cell>
          <cell r="W172">
            <v>0.44226843892652368</v>
          </cell>
          <cell r="X172">
            <v>0.65689429604065852</v>
          </cell>
          <cell r="Y172">
            <v>0.57894782558401237</v>
          </cell>
          <cell r="Z172">
            <v>0.53384752566244575</v>
          </cell>
          <cell r="AA172">
            <v>0.52816637298471591</v>
          </cell>
          <cell r="AB172">
            <v>0.55307576549791304</v>
          </cell>
          <cell r="AC172">
            <v>0.54130499082671224</v>
          </cell>
          <cell r="AD172">
            <v>0.68436919446282318</v>
          </cell>
          <cell r="AE172">
            <v>0.53578713956999113</v>
          </cell>
          <cell r="AF172">
            <v>0.89097579274156247</v>
          </cell>
          <cell r="AG172">
            <v>0.72565152086159168</v>
          </cell>
          <cell r="AH172">
            <v>0.34958440750530895</v>
          </cell>
          <cell r="AI172">
            <v>0.20768346878967314</v>
          </cell>
          <cell r="AJ172">
            <v>0.31381552299881377</v>
          </cell>
          <cell r="AK172">
            <v>0.28526200590814677</v>
          </cell>
          <cell r="AL172">
            <v>0.30603330510965909</v>
          </cell>
          <cell r="AM172">
            <v>0.34523088466602836</v>
          </cell>
          <cell r="AN172">
            <v>0.17694336054772219</v>
          </cell>
          <cell r="AO172">
            <v>0.27416582942159629</v>
          </cell>
          <cell r="AP172">
            <v>0.26311610789244599</v>
          </cell>
          <cell r="AQ172">
            <v>0.2387304953306526</v>
          </cell>
          <cell r="AR172">
            <v>0.23585297818929352</v>
          </cell>
          <cell r="AS172">
            <v>0.24337312589038929</v>
          </cell>
          <cell r="AT172">
            <v>0.52956357439040325</v>
          </cell>
          <cell r="AU172">
            <v>0.31139097263419813</v>
          </cell>
          <cell r="AV172">
            <v>0.19950694971637306</v>
          </cell>
          <cell r="AW172">
            <v>0.30935698417103707</v>
          </cell>
          <cell r="AX172">
            <v>0.63433972110630221</v>
          </cell>
          <cell r="AY172">
            <v>0.94936973792615698</v>
          </cell>
          <cell r="AZ172">
            <v>0.90593406448356339</v>
          </cell>
          <cell r="BA172">
            <v>0.8463706028884137</v>
          </cell>
          <cell r="BB172">
            <v>0.73428727296354968</v>
          </cell>
          <cell r="BC172">
            <v>0.89472177560828725</v>
          </cell>
          <cell r="BD172">
            <v>0.71585380170834534</v>
          </cell>
          <cell r="BE172">
            <v>0.78058584026899425</v>
          </cell>
        </row>
        <row r="173">
          <cell r="A173" t="str">
            <v>Price Change</v>
          </cell>
          <cell r="B173">
            <v>4011</v>
          </cell>
          <cell r="C173">
            <v>3435</v>
          </cell>
          <cell r="D173">
            <v>3679</v>
          </cell>
          <cell r="E173">
            <v>11125</v>
          </cell>
          <cell r="F173">
            <v>3546</v>
          </cell>
          <cell r="G173">
            <v>3169</v>
          </cell>
          <cell r="H173">
            <v>3065</v>
          </cell>
          <cell r="I173">
            <v>9780</v>
          </cell>
          <cell r="J173">
            <v>2987</v>
          </cell>
          <cell r="K173">
            <v>2675</v>
          </cell>
          <cell r="L173">
            <v>2657</v>
          </cell>
          <cell r="M173">
            <v>8319</v>
          </cell>
          <cell r="N173">
            <v>2889</v>
          </cell>
          <cell r="O173">
            <v>2683</v>
          </cell>
          <cell r="P173">
            <v>2872</v>
          </cell>
          <cell r="Q173">
            <v>8444</v>
          </cell>
          <cell r="R173">
            <v>2803</v>
          </cell>
          <cell r="S173">
            <v>2469</v>
          </cell>
          <cell r="T173">
            <v>2609</v>
          </cell>
          <cell r="U173">
            <v>0</v>
          </cell>
          <cell r="V173">
            <v>2467</v>
          </cell>
          <cell r="W173">
            <v>2332</v>
          </cell>
          <cell r="X173">
            <v>2137</v>
          </cell>
          <cell r="Y173">
            <v>0</v>
          </cell>
          <cell r="Z173">
            <v>2258</v>
          </cell>
          <cell r="AA173">
            <v>2013</v>
          </cell>
          <cell r="AB173">
            <v>2008</v>
          </cell>
          <cell r="AC173">
            <v>0</v>
          </cell>
          <cell r="AD173">
            <v>2076</v>
          </cell>
          <cell r="AE173">
            <v>1927</v>
          </cell>
          <cell r="AF173">
            <v>2161</v>
          </cell>
          <cell r="AG173">
            <v>0</v>
          </cell>
          <cell r="AH173">
            <v>1898</v>
          </cell>
          <cell r="AI173">
            <v>1780</v>
          </cell>
          <cell r="AJ173">
            <v>1821</v>
          </cell>
          <cell r="AK173">
            <v>0</v>
          </cell>
          <cell r="AL173">
            <v>1797</v>
          </cell>
          <cell r="AM173">
            <v>1586</v>
          </cell>
          <cell r="AN173">
            <v>1625</v>
          </cell>
          <cell r="AO173">
            <v>0</v>
          </cell>
          <cell r="AP173">
            <v>1599</v>
          </cell>
          <cell r="AQ173">
            <v>1556</v>
          </cell>
          <cell r="AR173">
            <v>1443</v>
          </cell>
          <cell r="AS173">
            <v>0</v>
          </cell>
          <cell r="AT173">
            <v>1529</v>
          </cell>
          <cell r="AU173">
            <v>1419</v>
          </cell>
          <cell r="AV173">
            <v>1836</v>
          </cell>
          <cell r="AW173">
            <v>0</v>
          </cell>
          <cell r="AX173">
            <v>1403</v>
          </cell>
          <cell r="AY173">
            <v>1376</v>
          </cell>
          <cell r="AZ173">
            <v>1635</v>
          </cell>
          <cell r="BA173">
            <v>0</v>
          </cell>
          <cell r="BB173">
            <v>1424</v>
          </cell>
          <cell r="BC173">
            <v>1195</v>
          </cell>
          <cell r="BD173">
            <v>1340</v>
          </cell>
          <cell r="BE173">
            <v>0</v>
          </cell>
        </row>
        <row r="174">
          <cell r="A174" t="str">
            <v>MRX sales (assume 10% share)</v>
          </cell>
          <cell r="B174">
            <v>1.6846528000000001</v>
          </cell>
          <cell r="C174">
            <v>2.0394505000000001</v>
          </cell>
          <cell r="D174">
            <v>2.2324660999999999</v>
          </cell>
          <cell r="E174">
            <v>5.9565694000000002</v>
          </cell>
          <cell r="F174">
            <v>1.3155349000000001</v>
          </cell>
          <cell r="G174">
            <v>1.3062569000000002</v>
          </cell>
          <cell r="H174">
            <v>1.2579718</v>
          </cell>
          <cell r="I174">
            <v>3.8797636</v>
          </cell>
          <cell r="J174">
            <v>0.8214825</v>
          </cell>
          <cell r="K174">
            <v>0.93377660000000007</v>
          </cell>
          <cell r="L174">
            <v>1.5627443000000001</v>
          </cell>
          <cell r="M174">
            <v>3.3180034000000003</v>
          </cell>
          <cell r="N174">
            <v>1.5324271</v>
          </cell>
          <cell r="O174">
            <v>2.0766133</v>
          </cell>
          <cell r="P174">
            <v>2.7675128999999998</v>
          </cell>
          <cell r="Q174">
            <v>6.3765533000000003</v>
          </cell>
          <cell r="R174">
            <v>2.2041784</v>
          </cell>
          <cell r="S174">
            <v>3.0245662000000002</v>
          </cell>
          <cell r="T174">
            <v>3.2522568999999999</v>
          </cell>
          <cell r="U174">
            <v>8.4810014999999996</v>
          </cell>
          <cell r="V174">
            <v>2.1576449000000002</v>
          </cell>
          <cell r="W174">
            <v>1.8839731000000002</v>
          </cell>
          <cell r="X174">
            <v>2.0843263000000003</v>
          </cell>
          <cell r="Y174">
            <v>6.1259443000000005</v>
          </cell>
          <cell r="Z174">
            <v>1.2600289</v>
          </cell>
          <cell r="AA174">
            <v>1.4269660000000002</v>
          </cell>
          <cell r="AB174">
            <v>2.4270603000000004</v>
          </cell>
          <cell r="AC174">
            <v>5.1140552000000001</v>
          </cell>
          <cell r="AD174">
            <v>2.5811730000000002</v>
          </cell>
          <cell r="AE174">
            <v>3.1892360000000002</v>
          </cell>
          <cell r="AF174">
            <v>5.2332999000000004</v>
          </cell>
          <cell r="AG174">
            <v>11.003708900000001</v>
          </cell>
          <cell r="AH174">
            <v>2.9747248000000002</v>
          </cell>
          <cell r="AI174">
            <v>3.6527186</v>
          </cell>
          <cell r="AJ174">
            <v>4.2728656000000003</v>
          </cell>
          <cell r="AK174">
            <v>10.900309</v>
          </cell>
          <cell r="AL174">
            <v>2.8179561</v>
          </cell>
          <cell r="AM174">
            <v>2.5343788000000003</v>
          </cell>
          <cell r="AN174">
            <v>2.4531340000000004</v>
          </cell>
          <cell r="AO174">
            <v>7.8054689000000002</v>
          </cell>
          <cell r="AP174">
            <v>1.5915628000000002</v>
          </cell>
          <cell r="AQ174">
            <v>1.7676262999999999</v>
          </cell>
          <cell r="AR174">
            <v>2.9994897000000003</v>
          </cell>
          <cell r="AS174">
            <v>6.3586787999999999</v>
          </cell>
          <cell r="AT174">
            <v>3.9480682000000002</v>
          </cell>
          <cell r="AU174">
            <v>4.1823353000000001</v>
          </cell>
          <cell r="AV174">
            <v>6.2773795999999997</v>
          </cell>
          <cell r="AW174">
            <v>14.407783100000001</v>
          </cell>
          <cell r="AX174">
            <v>4.8617109000000012</v>
          </cell>
          <cell r="AY174">
            <v>7.1204991</v>
          </cell>
          <cell r="AZ174">
            <v>8.1438001</v>
          </cell>
          <cell r="BA174">
            <v>20.126010100000002</v>
          </cell>
          <cell r="BB174">
            <v>4.8871454000000005</v>
          </cell>
          <cell r="BC174">
            <v>4.8019427000000006</v>
          </cell>
          <cell r="BD174">
            <v>4.2092193</v>
          </cell>
          <cell r="BE174">
            <v>13.898307400000002</v>
          </cell>
        </row>
        <row r="175">
          <cell r="A175" t="str">
            <v>TRx</v>
          </cell>
          <cell r="B175">
            <v>3008</v>
          </cell>
          <cell r="C175">
            <v>2426</v>
          </cell>
          <cell r="D175">
            <v>2658</v>
          </cell>
          <cell r="E175">
            <v>8092</v>
          </cell>
          <cell r="F175">
            <v>2511</v>
          </cell>
          <cell r="G175">
            <v>2275</v>
          </cell>
          <cell r="H175">
            <v>2178</v>
          </cell>
          <cell r="I175">
            <v>6964</v>
          </cell>
          <cell r="J175">
            <v>2113</v>
          </cell>
          <cell r="K175">
            <v>1914</v>
          </cell>
          <cell r="L175">
            <v>1922</v>
          </cell>
          <cell r="M175">
            <v>5949</v>
          </cell>
          <cell r="N175">
            <v>2110</v>
          </cell>
          <cell r="O175">
            <v>1890</v>
          </cell>
          <cell r="P175">
            <v>1939</v>
          </cell>
          <cell r="Q175">
            <v>5939</v>
          </cell>
          <cell r="R175">
            <v>2078</v>
          </cell>
          <cell r="S175">
            <v>1728</v>
          </cell>
          <cell r="T175">
            <v>1811</v>
          </cell>
          <cell r="U175">
            <v>5617</v>
          </cell>
          <cell r="V175">
            <v>1838</v>
          </cell>
          <cell r="W175">
            <v>1680</v>
          </cell>
          <cell r="X175">
            <v>1571</v>
          </cell>
          <cell r="Y175">
            <v>5089</v>
          </cell>
          <cell r="Z175">
            <v>1615</v>
          </cell>
          <cell r="AA175">
            <v>1463</v>
          </cell>
          <cell r="AB175">
            <v>1434</v>
          </cell>
          <cell r="AC175">
            <v>4512</v>
          </cell>
          <cell r="AD175">
            <v>1478</v>
          </cell>
          <cell r="AE175">
            <v>1410</v>
          </cell>
          <cell r="AF175">
            <v>1562</v>
          </cell>
          <cell r="AG175">
            <v>4450</v>
          </cell>
          <cell r="AH175">
            <v>1423</v>
          </cell>
          <cell r="AI175">
            <v>1262</v>
          </cell>
          <cell r="AJ175">
            <v>1345</v>
          </cell>
          <cell r="AK175">
            <v>4030</v>
          </cell>
          <cell r="AL175">
            <v>1348</v>
          </cell>
          <cell r="AM175">
            <v>1185</v>
          </cell>
          <cell r="AN175">
            <v>1163</v>
          </cell>
          <cell r="AO175">
            <v>3696</v>
          </cell>
          <cell r="AP175">
            <v>1138</v>
          </cell>
          <cell r="AQ175">
            <v>1137</v>
          </cell>
          <cell r="AR175">
            <v>1072</v>
          </cell>
          <cell r="AS175">
            <v>3347</v>
          </cell>
          <cell r="AT175">
            <v>1123</v>
          </cell>
          <cell r="AU175">
            <v>1105</v>
          </cell>
          <cell r="AV175">
            <v>1424</v>
          </cell>
          <cell r="AW175">
            <v>3652</v>
          </cell>
          <cell r="AX175">
            <v>1035</v>
          </cell>
          <cell r="AY175">
            <v>1024</v>
          </cell>
          <cell r="AZ175">
            <v>1213</v>
          </cell>
          <cell r="BA175">
            <v>3272</v>
          </cell>
          <cell r="BB175">
            <v>1230</v>
          </cell>
          <cell r="BC175">
            <v>9208</v>
          </cell>
          <cell r="BD175">
            <v>13650</v>
          </cell>
          <cell r="BE175">
            <v>24088</v>
          </cell>
        </row>
        <row r="176">
          <cell r="A176" t="str">
            <v>Vanos</v>
          </cell>
          <cell r="R176">
            <v>-0.30917553191489366</v>
          </cell>
          <cell r="S176">
            <v>-0.2877164056059357</v>
          </cell>
          <cell r="T176">
            <v>-0.31866064710308506</v>
          </cell>
          <cell r="U176">
            <v>-0.30585763717251602</v>
          </cell>
          <cell r="V176">
            <v>-0.26802070888092389</v>
          </cell>
          <cell r="W176">
            <v>-0.2615384615384615</v>
          </cell>
          <cell r="X176">
            <v>-0.2786960514233241</v>
          </cell>
          <cell r="Y176">
            <v>-0.2692418150488225</v>
          </cell>
          <cell r="Z176">
            <v>-0.23568386180785617</v>
          </cell>
          <cell r="AA176">
            <v>-0.23563218390804597</v>
          </cell>
          <cell r="AB176">
            <v>-0.25390218522372532</v>
          </cell>
          <cell r="AC176">
            <v>-0.24155320221886034</v>
          </cell>
          <cell r="AD176">
            <v>-0.29952606635071088</v>
          </cell>
          <cell r="AE176">
            <v>-0.25396825396825395</v>
          </cell>
          <cell r="AF176">
            <v>-0.19443011861784421</v>
          </cell>
          <cell r="AG176">
            <v>-0.25071560868833132</v>
          </cell>
          <cell r="AH176">
            <v>-0.31520692974013476</v>
          </cell>
          <cell r="AI176">
            <v>-0.26967592592592593</v>
          </cell>
          <cell r="AJ176">
            <v>-0.25731639977912757</v>
          </cell>
          <cell r="AK176">
            <v>-0.28253516111803456</v>
          </cell>
          <cell r="AL176">
            <v>-0.26659412404787808</v>
          </cell>
          <cell r="AM176">
            <v>-0.2946428571428571</v>
          </cell>
          <cell r="AN176">
            <v>-0.25970719287078292</v>
          </cell>
          <cell r="AO176">
            <v>-0.27372764786795045</v>
          </cell>
          <cell r="AP176">
            <v>-0.29535603715170278</v>
          </cell>
          <cell r="AQ176">
            <v>-0.22282980177717016</v>
          </cell>
          <cell r="AR176">
            <v>-0.25244072524407257</v>
          </cell>
          <cell r="AS176">
            <v>-0.25820035460992907</v>
          </cell>
          <cell r="AT176">
            <v>-0.2401894451962111</v>
          </cell>
          <cell r="AU176">
            <v>-0.21631205673758869</v>
          </cell>
          <cell r="AV176">
            <v>-8.8348271446862969E-2</v>
          </cell>
          <cell r="AW176">
            <v>-0.17932584269662921</v>
          </cell>
          <cell r="AX176">
            <v>-0.27266338721011951</v>
          </cell>
          <cell r="AY176">
            <v>-0.18858954041204434</v>
          </cell>
          <cell r="AZ176">
            <v>-9.8141263940520473E-2</v>
          </cell>
          <cell r="BA176">
            <v>-0.18808933002481387</v>
          </cell>
          <cell r="BB176">
            <v>1225</v>
          </cell>
          <cell r="BC176">
            <v>8866</v>
          </cell>
          <cell r="BD176">
            <v>12714</v>
          </cell>
          <cell r="BE176">
            <v>22805</v>
          </cell>
        </row>
        <row r="177">
          <cell r="A177" t="str">
            <v>TRx</v>
          </cell>
          <cell r="B177">
            <v>0.15116499999999999</v>
          </cell>
          <cell r="C177">
            <v>0.13930799999999999</v>
          </cell>
          <cell r="D177">
            <v>0.17319999999999999</v>
          </cell>
          <cell r="E177">
            <v>0.463673</v>
          </cell>
          <cell r="F177">
            <v>0.132101</v>
          </cell>
          <cell r="G177">
            <v>0.12169199999999999</v>
          </cell>
          <cell r="H177">
            <v>0.14842900000000001</v>
          </cell>
          <cell r="I177">
            <v>0.40222199999999997</v>
          </cell>
          <cell r="J177">
            <v>0.11096499999999999</v>
          </cell>
          <cell r="K177">
            <v>0.107727</v>
          </cell>
          <cell r="L177">
            <v>0.13608100000000001</v>
          </cell>
          <cell r="M177">
            <v>0.35477300000000001</v>
          </cell>
          <cell r="N177">
            <v>0.11369600000000001</v>
          </cell>
          <cell r="O177">
            <v>0.115476</v>
          </cell>
          <cell r="P177">
            <v>0.135131</v>
          </cell>
          <cell r="Q177">
            <v>0.36430299999999999</v>
          </cell>
          <cell r="R177">
            <v>0.114401</v>
          </cell>
          <cell r="S177">
            <v>0.116771</v>
          </cell>
          <cell r="T177">
            <v>0.13396</v>
          </cell>
          <cell r="U177">
            <v>0.36513200000000001</v>
          </cell>
          <cell r="V177">
            <v>9.8183999999999994E-2</v>
          </cell>
          <cell r="W177">
            <v>9.8780000000000007E-2</v>
          </cell>
          <cell r="X177">
            <v>0.120467</v>
          </cell>
          <cell r="Y177">
            <v>0.31743100000000002</v>
          </cell>
          <cell r="Z177">
            <v>9.1274999999999995E-2</v>
          </cell>
          <cell r="AA177">
            <v>8.9762999999999996E-2</v>
          </cell>
          <cell r="AB177">
            <v>0.114922</v>
          </cell>
          <cell r="AC177">
            <v>0.29596</v>
          </cell>
          <cell r="AD177">
            <v>9.6315999999999999E-2</v>
          </cell>
          <cell r="AE177">
            <v>8.7722999999999995E-2</v>
          </cell>
          <cell r="AF177">
            <v>0.110166</v>
          </cell>
          <cell r="AG177">
            <v>0.29420499999999999</v>
          </cell>
          <cell r="AH177">
            <v>8.8376999999999997E-2</v>
          </cell>
          <cell r="AI177">
            <v>8.8566000000000006E-2</v>
          </cell>
          <cell r="AJ177">
            <v>0.108568</v>
          </cell>
          <cell r="AK177">
            <v>0.28551100000000001</v>
          </cell>
          <cell r="AL177">
            <v>9.0816999999999995E-2</v>
          </cell>
          <cell r="AM177">
            <v>8.6613999999999997E-2</v>
          </cell>
          <cell r="AN177">
            <v>9.6398999999999999E-2</v>
          </cell>
          <cell r="AO177">
            <v>0.27383000000000002</v>
          </cell>
          <cell r="AP177">
            <v>8.0877000000000004E-2</v>
          </cell>
          <cell r="AQ177">
            <v>8.6749000000000007E-2</v>
          </cell>
          <cell r="AR177">
            <v>0.10932</v>
          </cell>
          <cell r="AS177">
            <v>0.27694600000000003</v>
          </cell>
          <cell r="AT177">
            <v>8.8229000000000002E-2</v>
          </cell>
          <cell r="AU177">
            <v>8.7947999999999998E-2</v>
          </cell>
          <cell r="AV177">
            <v>0.11933100000000001</v>
          </cell>
          <cell r="AW177">
            <v>0.29550799999999999</v>
          </cell>
          <cell r="AX177">
            <v>9.2826000000000006E-2</v>
          </cell>
          <cell r="AY177">
            <v>8.1990999999999994E-2</v>
          </cell>
          <cell r="AZ177">
            <v>0.10798099999999999</v>
          </cell>
          <cell r="BA177">
            <v>0.28279799999999999</v>
          </cell>
          <cell r="BB177">
            <v>1230</v>
          </cell>
          <cell r="BC177">
            <v>9208</v>
          </cell>
          <cell r="BD177">
            <v>13650</v>
          </cell>
          <cell r="BE177">
            <v>24088</v>
          </cell>
        </row>
        <row r="178">
          <cell r="A178" t="str">
            <v>NRx</v>
          </cell>
          <cell r="R178">
            <v>-0.24320444547348918</v>
          </cell>
          <cell r="S178">
            <v>-0.16177821804921466</v>
          </cell>
          <cell r="T178">
            <v>-0.22655889145496533</v>
          </cell>
          <cell r="U178">
            <v>-0.21252261831074915</v>
          </cell>
          <cell r="V178">
            <v>-0.25675051665013893</v>
          </cell>
          <cell r="W178">
            <v>-0.18827860500279381</v>
          </cell>
          <cell r="X178">
            <v>-0.18838636654562113</v>
          </cell>
          <cell r="Y178">
            <v>-0.21080647005882314</v>
          </cell>
          <cell r="Z178">
            <v>-0.17744333798945611</v>
          </cell>
          <cell r="AA178">
            <v>-0.16675485254393052</v>
          </cell>
          <cell r="AB178">
            <v>-0.15548827536540744</v>
          </cell>
          <cell r="AC178">
            <v>-0.16577642605271536</v>
          </cell>
          <cell r="AD178">
            <v>-0.15286377708978338</v>
          </cell>
          <cell r="AE178">
            <v>-0.24033565416190383</v>
          </cell>
          <cell r="AF178">
            <v>-0.18474665324758943</v>
          </cell>
          <cell r="AG178">
            <v>-0.19241675198941544</v>
          </cell>
          <cell r="AH178">
            <v>-0.22748052901635485</v>
          </cell>
          <cell r="AI178">
            <v>-0.24154113606974326</v>
          </cell>
          <cell r="AJ178">
            <v>-0.1895491191400418</v>
          </cell>
          <cell r="AK178">
            <v>-0.2180608656595423</v>
          </cell>
          <cell r="AL178">
            <v>-7.5032591868328891E-2</v>
          </cell>
          <cell r="AM178">
            <v>-0.12316258351893106</v>
          </cell>
          <cell r="AN178">
            <v>-0.19978915387616525</v>
          </cell>
          <cell r="AO178">
            <v>-0.13735583481134483</v>
          </cell>
          <cell r="AP178">
            <v>-0.11391947411668024</v>
          </cell>
          <cell r="AQ178">
            <v>-3.3577309136280986E-2</v>
          </cell>
          <cell r="AR178">
            <v>-4.8746106054541327E-2</v>
          </cell>
          <cell r="AS178">
            <v>-6.4245168265981811E-2</v>
          </cell>
          <cell r="AT178">
            <v>-8.3963204452012108E-2</v>
          </cell>
          <cell r="AU178">
            <v>2.5648917615677114E-3</v>
          </cell>
          <cell r="AV178">
            <v>8.319263656663578E-2</v>
          </cell>
          <cell r="AW178">
            <v>4.4288846212674482E-3</v>
          </cell>
          <cell r="AX178">
            <v>5.0341152109711906E-2</v>
          </cell>
          <cell r="AY178">
            <v>-7.4238421064516946E-2</v>
          </cell>
          <cell r="AZ178">
            <v>-5.4067496868323017E-3</v>
          </cell>
          <cell r="BA178">
            <v>-9.5022608586009527E-3</v>
          </cell>
          <cell r="BB178">
            <v>1225</v>
          </cell>
          <cell r="BC178">
            <v>8866</v>
          </cell>
          <cell r="BD178">
            <v>12714</v>
          </cell>
          <cell r="BE178">
            <v>22805</v>
          </cell>
        </row>
        <row r="179">
          <cell r="A179" t="str">
            <v>Sales (IMS)</v>
          </cell>
          <cell r="U179">
            <v>0</v>
          </cell>
          <cell r="Y179">
            <v>0</v>
          </cell>
          <cell r="AC179">
            <v>0</v>
          </cell>
          <cell r="AG179">
            <v>0</v>
          </cell>
          <cell r="AK179">
            <v>0</v>
          </cell>
          <cell r="AO179">
            <v>0</v>
          </cell>
          <cell r="AS179">
            <v>0</v>
          </cell>
          <cell r="AW179">
            <v>0</v>
          </cell>
          <cell r="BA179">
            <v>0</v>
          </cell>
          <cell r="BB179">
            <v>1.0898190000000001</v>
          </cell>
          <cell r="BC179">
            <v>1.24068</v>
          </cell>
          <cell r="BD179">
            <v>1.772357</v>
          </cell>
          <cell r="BE179">
            <v>4.1028560000000001</v>
          </cell>
        </row>
        <row r="180">
          <cell r="A180" t="str">
            <v>Price Change</v>
          </cell>
          <cell r="B180">
            <v>25213</v>
          </cell>
          <cell r="C180">
            <v>23887</v>
          </cell>
          <cell r="D180">
            <v>27391</v>
          </cell>
          <cell r="E180">
            <v>76491</v>
          </cell>
          <cell r="F180">
            <v>26979</v>
          </cell>
          <cell r="G180">
            <v>24817</v>
          </cell>
          <cell r="H180">
            <v>22215</v>
          </cell>
          <cell r="I180">
            <v>74011</v>
          </cell>
          <cell r="J180">
            <v>21444</v>
          </cell>
          <cell r="K180">
            <v>20167</v>
          </cell>
          <cell r="L180">
            <v>17197</v>
          </cell>
          <cell r="M180">
            <v>58808</v>
          </cell>
          <cell r="N180">
            <v>16668</v>
          </cell>
          <cell r="O180">
            <v>14905</v>
          </cell>
          <cell r="P180">
            <v>14251</v>
          </cell>
          <cell r="Q180">
            <v>45824</v>
          </cell>
          <cell r="R180">
            <v>14143</v>
          </cell>
          <cell r="S180">
            <v>12549</v>
          </cell>
          <cell r="T180">
            <v>14618</v>
          </cell>
          <cell r="U180">
            <v>41310</v>
          </cell>
          <cell r="V180">
            <v>14999</v>
          </cell>
          <cell r="W180">
            <v>14558</v>
          </cell>
          <cell r="X180">
            <v>13690</v>
          </cell>
          <cell r="Y180">
            <v>43247</v>
          </cell>
          <cell r="Z180">
            <v>13435</v>
          </cell>
          <cell r="AA180">
            <v>11665</v>
          </cell>
          <cell r="AB180">
            <v>11029</v>
          </cell>
          <cell r="AC180">
            <v>36129</v>
          </cell>
          <cell r="AD180">
            <v>10404</v>
          </cell>
          <cell r="AE180">
            <v>8818</v>
          </cell>
          <cell r="AF180">
            <v>8838</v>
          </cell>
          <cell r="AG180">
            <v>28060</v>
          </cell>
          <cell r="AH180">
            <v>8605</v>
          </cell>
          <cell r="AI180">
            <v>8201</v>
          </cell>
          <cell r="AJ180">
            <v>9358</v>
          </cell>
          <cell r="AK180">
            <v>26164</v>
          </cell>
          <cell r="AL180">
            <v>8403</v>
          </cell>
          <cell r="AM180">
            <v>8015</v>
          </cell>
          <cell r="AN180">
            <v>7809</v>
          </cell>
          <cell r="AO180">
            <v>24227</v>
          </cell>
        </row>
        <row r="181">
          <cell r="A181" t="str">
            <v xml:space="preserve">  % Change</v>
          </cell>
          <cell r="R181">
            <v>-0.43905921548407567</v>
          </cell>
          <cell r="S181">
            <v>-0.47465148407083346</v>
          </cell>
          <cell r="T181">
            <v>-0.46632105436092142</v>
          </cell>
          <cell r="U181">
            <v>-0.45993646311330749</v>
          </cell>
          <cell r="V181">
            <v>-0.44404907520664216</v>
          </cell>
          <cell r="W181">
            <v>-0.4133859854132248</v>
          </cell>
          <cell r="X181">
            <v>-0.383749718658564</v>
          </cell>
          <cell r="Y181">
            <v>-0.41566794125197604</v>
          </cell>
          <cell r="Z181">
            <v>-0.37348442454765907</v>
          </cell>
          <cell r="AA181">
            <v>-0.42157980859820499</v>
          </cell>
          <cell r="AB181">
            <v>-0.35866720939698782</v>
          </cell>
          <cell r="AC181">
            <v>-0.38564481022990071</v>
          </cell>
          <cell r="AD181">
            <v>-0.37580993520518358</v>
          </cell>
          <cell r="AE181">
            <v>-0.40838644750083863</v>
          </cell>
          <cell r="AF181">
            <v>-0.37983299417584726</v>
          </cell>
          <cell r="AG181">
            <v>-0.38765712290502796</v>
          </cell>
          <cell r="AH181">
            <v>-0.39157180230502719</v>
          </cell>
          <cell r="AI181">
            <v>-0.346481791377799</v>
          </cell>
          <cell r="AJ181">
            <v>-0.35983034614858389</v>
          </cell>
          <cell r="AK181">
            <v>-0.36664245945291696</v>
          </cell>
          <cell r="AL181">
            <v>-0.43976265084338961</v>
          </cell>
          <cell r="AM181">
            <v>-0.44944360489078172</v>
          </cell>
          <cell r="AN181">
            <v>-0.42958363769174579</v>
          </cell>
          <cell r="AO181">
            <v>-0.43979929243646954</v>
          </cell>
        </row>
        <row r="182">
          <cell r="A182" t="str">
            <v>Lustra1</v>
          </cell>
          <cell r="B182">
            <v>16644</v>
          </cell>
          <cell r="C182">
            <v>16195</v>
          </cell>
          <cell r="D182">
            <v>18651</v>
          </cell>
          <cell r="E182">
            <v>51490</v>
          </cell>
          <cell r="F182">
            <v>17960</v>
          </cell>
          <cell r="G182">
            <v>15949</v>
          </cell>
          <cell r="H182">
            <v>14218</v>
          </cell>
          <cell r="I182">
            <v>48127</v>
          </cell>
          <cell r="J182">
            <v>13982</v>
          </cell>
          <cell r="K182">
            <v>13309</v>
          </cell>
          <cell r="L182">
            <v>11316</v>
          </cell>
          <cell r="M182">
            <v>38607</v>
          </cell>
          <cell r="N182">
            <v>10675</v>
          </cell>
          <cell r="O182">
            <v>9346</v>
          </cell>
          <cell r="P182">
            <v>8259</v>
          </cell>
          <cell r="Q182">
            <v>28280</v>
          </cell>
          <cell r="R182">
            <v>8928</v>
          </cell>
          <cell r="S182">
            <v>8033</v>
          </cell>
          <cell r="T182">
            <v>9539</v>
          </cell>
          <cell r="U182">
            <v>26500</v>
          </cell>
          <cell r="V182">
            <v>10233</v>
          </cell>
          <cell r="W182">
            <v>9992</v>
          </cell>
          <cell r="X182">
            <v>9164</v>
          </cell>
          <cell r="Y182">
            <v>29389</v>
          </cell>
          <cell r="Z182">
            <v>8964</v>
          </cell>
          <cell r="AA182">
            <v>7772</v>
          </cell>
          <cell r="AB182">
            <v>7056</v>
          </cell>
          <cell r="AC182">
            <v>23792</v>
          </cell>
          <cell r="AD182">
            <v>6692</v>
          </cell>
          <cell r="AE182">
            <v>5534</v>
          </cell>
          <cell r="AF182">
            <v>5219</v>
          </cell>
          <cell r="AG182">
            <v>17445</v>
          </cell>
          <cell r="AH182">
            <v>5413</v>
          </cell>
          <cell r="AI182">
            <v>5514</v>
          </cell>
          <cell r="AJ182">
            <v>6349</v>
          </cell>
          <cell r="AK182">
            <v>17276</v>
          </cell>
          <cell r="AL182">
            <v>5989</v>
          </cell>
          <cell r="AM182">
            <v>5879</v>
          </cell>
          <cell r="AN182">
            <v>5712</v>
          </cell>
          <cell r="AO182">
            <v>17580</v>
          </cell>
          <cell r="AP182">
            <v>279511</v>
          </cell>
          <cell r="AQ182">
            <v>307986</v>
          </cell>
          <cell r="AR182">
            <v>375141</v>
          </cell>
          <cell r="AS182">
            <v>962638</v>
          </cell>
          <cell r="AT182">
            <v>461842</v>
          </cell>
          <cell r="AU182">
            <v>596703</v>
          </cell>
          <cell r="AV182">
            <v>719157</v>
          </cell>
          <cell r="AW182">
            <v>1777702</v>
          </cell>
          <cell r="AX182">
            <v>725485</v>
          </cell>
          <cell r="AY182">
            <v>895238</v>
          </cell>
          <cell r="AZ182">
            <v>893295</v>
          </cell>
          <cell r="BA182">
            <v>2514018</v>
          </cell>
          <cell r="BB182">
            <v>679064</v>
          </cell>
          <cell r="BC182">
            <v>634689</v>
          </cell>
          <cell r="BD182">
            <v>471399</v>
          </cell>
          <cell r="BE182">
            <v>1785152</v>
          </cell>
        </row>
        <row r="183">
          <cell r="A183" t="str">
            <v>TRx</v>
          </cell>
          <cell r="B183">
            <v>25213</v>
          </cell>
          <cell r="C183">
            <v>23887</v>
          </cell>
          <cell r="D183">
            <v>27391</v>
          </cell>
          <cell r="E183">
            <v>76491</v>
          </cell>
          <cell r="F183">
            <v>26979</v>
          </cell>
          <cell r="G183">
            <v>24817</v>
          </cell>
          <cell r="H183">
            <v>22215</v>
          </cell>
          <cell r="I183">
            <v>74011</v>
          </cell>
          <cell r="J183">
            <v>21444</v>
          </cell>
          <cell r="K183">
            <v>20167</v>
          </cell>
          <cell r="L183">
            <v>17197</v>
          </cell>
          <cell r="M183">
            <v>58808</v>
          </cell>
          <cell r="N183">
            <v>16668</v>
          </cell>
          <cell r="O183">
            <v>14905</v>
          </cell>
          <cell r="P183">
            <v>14251</v>
          </cell>
          <cell r="Q183">
            <v>45824</v>
          </cell>
          <cell r="R183">
            <v>14143</v>
          </cell>
          <cell r="S183">
            <v>12549</v>
          </cell>
          <cell r="T183">
            <v>14618</v>
          </cell>
          <cell r="U183">
            <v>41310</v>
          </cell>
          <cell r="V183">
            <v>14999</v>
          </cell>
          <cell r="W183">
            <v>14558</v>
          </cell>
          <cell r="X183">
            <v>13690</v>
          </cell>
          <cell r="Y183">
            <v>43247</v>
          </cell>
          <cell r="Z183">
            <v>13435</v>
          </cell>
          <cell r="AA183">
            <v>11665</v>
          </cell>
          <cell r="AB183">
            <v>11029</v>
          </cell>
          <cell r="AC183">
            <v>36129</v>
          </cell>
          <cell r="AD183">
            <v>10404</v>
          </cell>
          <cell r="AE183">
            <v>8818</v>
          </cell>
          <cell r="AF183">
            <v>8838</v>
          </cell>
          <cell r="AG183">
            <v>28060</v>
          </cell>
          <cell r="AH183">
            <v>8605</v>
          </cell>
          <cell r="AI183">
            <v>8201</v>
          </cell>
          <cell r="AJ183">
            <v>9358</v>
          </cell>
          <cell r="AK183">
            <v>26164</v>
          </cell>
          <cell r="AL183">
            <v>8403</v>
          </cell>
          <cell r="AM183">
            <v>8015</v>
          </cell>
          <cell r="AN183">
            <v>7809</v>
          </cell>
          <cell r="AO183">
            <v>24227</v>
          </cell>
          <cell r="AP183">
            <v>0.17631883509037727</v>
          </cell>
          <cell r="AQ183">
            <v>0.2482916271491451</v>
          </cell>
          <cell r="AR183">
            <v>0.13566212976193359</v>
          </cell>
          <cell r="AS183">
            <v>0.18163082184298163</v>
          </cell>
          <cell r="AT183">
            <v>0.11988031124894816</v>
          </cell>
          <cell r="AU183">
            <v>0.26231315024560731</v>
          </cell>
          <cell r="AV183">
            <v>1.1512814444614161E-3</v>
          </cell>
          <cell r="AW183">
            <v>0.10868077925009922</v>
          </cell>
          <cell r="AX183">
            <v>0.35697759023479647</v>
          </cell>
          <cell r="AY183">
            <v>0.55619950214854885</v>
          </cell>
          <cell r="AZ183">
            <v>0.5516217169199451</v>
          </cell>
          <cell r="BA183">
            <v>0.49144826064206559</v>
          </cell>
          <cell r="BB183">
            <v>0.45971229826054816</v>
          </cell>
          <cell r="BC183">
            <v>0.58096777729066207</v>
          </cell>
          <cell r="BD183">
            <v>0.39199057436712126</v>
          </cell>
          <cell r="BE183">
            <v>0.4810716902110741</v>
          </cell>
        </row>
        <row r="184">
          <cell r="A184" t="str">
            <v xml:space="preserve">  % Change</v>
          </cell>
          <cell r="B184">
            <v>1.3029710000000001</v>
          </cell>
          <cell r="C184">
            <v>1.4527670000000001</v>
          </cell>
          <cell r="D184">
            <v>1.883481</v>
          </cell>
          <cell r="E184">
            <v>4.6392189999999998</v>
          </cell>
          <cell r="F184">
            <v>1.5387520000000001</v>
          </cell>
          <cell r="G184">
            <v>1.3030040000000001</v>
          </cell>
          <cell r="H184">
            <v>1.521252</v>
          </cell>
          <cell r="I184">
            <v>4.3630080000000007</v>
          </cell>
          <cell r="J184">
            <v>1.1174469999999999</v>
          </cell>
          <cell r="K184">
            <v>1.0300720000000001</v>
          </cell>
          <cell r="L184">
            <v>1.2689269999999999</v>
          </cell>
          <cell r="M184">
            <v>3.4164459999999996</v>
          </cell>
          <cell r="N184">
            <v>1.035226</v>
          </cell>
          <cell r="O184">
            <v>0.88911099999999998</v>
          </cell>
          <cell r="P184">
            <v>1.0109569999999999</v>
          </cell>
          <cell r="Q184">
            <v>2.9352939999999998</v>
          </cell>
          <cell r="R184">
            <v>-0.43905921548407567</v>
          </cell>
          <cell r="S184">
            <v>-0.47465148407083346</v>
          </cell>
          <cell r="T184">
            <v>-0.46632105436092142</v>
          </cell>
          <cell r="U184">
            <v>-0.45993646311330749</v>
          </cell>
          <cell r="V184">
            <v>-0.44404907520664216</v>
          </cell>
          <cell r="W184">
            <v>-0.4133859854132248</v>
          </cell>
          <cell r="X184">
            <v>-0.383749718658564</v>
          </cell>
          <cell r="Y184">
            <v>-0.41566794125197604</v>
          </cell>
          <cell r="Z184">
            <v>-0.37348442454765907</v>
          </cell>
          <cell r="AA184">
            <v>-0.42157980859820499</v>
          </cell>
          <cell r="AB184">
            <v>-0.35866720939698782</v>
          </cell>
          <cell r="AC184">
            <v>-0.38564481022990071</v>
          </cell>
          <cell r="AD184">
            <v>-0.37580993520518358</v>
          </cell>
          <cell r="AE184">
            <v>-0.40838644750083863</v>
          </cell>
          <cell r="AF184">
            <v>-0.37983299417584726</v>
          </cell>
          <cell r="AG184">
            <v>-0.38765712290502796</v>
          </cell>
          <cell r="AH184">
            <v>-0.39157180230502719</v>
          </cell>
          <cell r="AI184">
            <v>-0.346481791377799</v>
          </cell>
          <cell r="AJ184">
            <v>-0.35983034614858389</v>
          </cell>
          <cell r="AK184">
            <v>-0.36664245945291696</v>
          </cell>
          <cell r="AL184">
            <v>-0.43976265084338961</v>
          </cell>
          <cell r="AM184">
            <v>-0.44944360489078172</v>
          </cell>
          <cell r="AN184">
            <v>-0.42958363769174579</v>
          </cell>
          <cell r="AO184">
            <v>-0.43979929243646954</v>
          </cell>
          <cell r="AP184">
            <v>271801</v>
          </cell>
          <cell r="AQ184">
            <v>299866</v>
          </cell>
          <cell r="AR184">
            <v>366815</v>
          </cell>
          <cell r="AS184">
            <v>938482</v>
          </cell>
          <cell r="AT184">
            <v>451622</v>
          </cell>
          <cell r="AU184">
            <v>583627</v>
          </cell>
          <cell r="AV184">
            <v>703840</v>
          </cell>
          <cell r="AW184">
            <v>1739089</v>
          </cell>
          <cell r="AX184">
            <v>710421</v>
          </cell>
          <cell r="AY184">
            <v>878840</v>
          </cell>
          <cell r="AZ184">
            <v>875767</v>
          </cell>
          <cell r="BA184">
            <v>2465028</v>
          </cell>
          <cell r="BB184">
            <v>664988</v>
          </cell>
          <cell r="BC184">
            <v>621176</v>
          </cell>
          <cell r="BD184">
            <v>460653</v>
          </cell>
          <cell r="BE184">
            <v>1746817</v>
          </cell>
        </row>
        <row r="185">
          <cell r="A185" t="str">
            <v>NRx</v>
          </cell>
          <cell r="B185">
            <v>16644</v>
          </cell>
          <cell r="C185">
            <v>16195</v>
          </cell>
          <cell r="D185">
            <v>18651</v>
          </cell>
          <cell r="E185">
            <v>51490</v>
          </cell>
          <cell r="F185">
            <v>17960</v>
          </cell>
          <cell r="G185">
            <v>15949</v>
          </cell>
          <cell r="H185">
            <v>14218</v>
          </cell>
          <cell r="I185">
            <v>48127</v>
          </cell>
          <cell r="J185">
            <v>13982</v>
          </cell>
          <cell r="K185">
            <v>13309</v>
          </cell>
          <cell r="L185">
            <v>11316</v>
          </cell>
          <cell r="M185">
            <v>38607</v>
          </cell>
          <cell r="N185">
            <v>10675</v>
          </cell>
          <cell r="O185">
            <v>9346</v>
          </cell>
          <cell r="P185">
            <v>8259</v>
          </cell>
          <cell r="Q185">
            <v>28280</v>
          </cell>
          <cell r="R185">
            <v>8928</v>
          </cell>
          <cell r="S185">
            <v>8033</v>
          </cell>
          <cell r="T185">
            <v>9539</v>
          </cell>
          <cell r="U185">
            <v>26500</v>
          </cell>
          <cell r="V185">
            <v>10233</v>
          </cell>
          <cell r="W185">
            <v>9992</v>
          </cell>
          <cell r="X185">
            <v>9164</v>
          </cell>
          <cell r="Y185">
            <v>29389</v>
          </cell>
          <cell r="Z185">
            <v>8964</v>
          </cell>
          <cell r="AA185">
            <v>7772</v>
          </cell>
          <cell r="AB185">
            <v>7056</v>
          </cell>
          <cell r="AC185">
            <v>23792</v>
          </cell>
          <cell r="AD185">
            <v>6692</v>
          </cell>
          <cell r="AE185">
            <v>5534</v>
          </cell>
          <cell r="AF185">
            <v>5219</v>
          </cell>
          <cell r="AG185">
            <v>17445</v>
          </cell>
          <cell r="AH185">
            <v>5413</v>
          </cell>
          <cell r="AI185">
            <v>5514</v>
          </cell>
          <cell r="AJ185">
            <v>6349</v>
          </cell>
          <cell r="AK185">
            <v>17276</v>
          </cell>
          <cell r="AL185">
            <v>5989</v>
          </cell>
          <cell r="AM185">
            <v>5879</v>
          </cell>
          <cell r="AN185">
            <v>5712</v>
          </cell>
          <cell r="AO185">
            <v>17580</v>
          </cell>
          <cell r="AP185">
            <v>0.18053214962038955</v>
          </cell>
          <cell r="AQ185">
            <v>0.25273008313489576</v>
          </cell>
          <cell r="AR185">
            <v>0.14085286772183991</v>
          </cell>
          <cell r="AS185">
            <v>0.18625060514477343</v>
          </cell>
          <cell r="AT185">
            <v>0.12464638616622836</v>
          </cell>
          <cell r="AU185">
            <v>0.26766580870774015</v>
          </cell>
          <cell r="AV185">
            <v>3.9296233694916527E-3</v>
          </cell>
          <cell r="AW185">
            <v>0.11262673954990499</v>
          </cell>
          <cell r="AX185">
            <v>0.3660339844748981</v>
          </cell>
          <cell r="AY185">
            <v>0.56664349252188173</v>
          </cell>
          <cell r="AZ185">
            <v>0.56079543328052073</v>
          </cell>
          <cell r="BA185">
            <v>0.50111257668375409</v>
          </cell>
          <cell r="BB185">
            <v>0.46668578171351682</v>
          </cell>
          <cell r="BC185">
            <v>0.58725242939238997</v>
          </cell>
          <cell r="BD185">
            <v>0.39632015277125232</v>
          </cell>
          <cell r="BE185">
            <v>0.48709193268139606</v>
          </cell>
        </row>
        <row r="186">
          <cell r="A186" t="str">
            <v xml:space="preserve">  % Change</v>
          </cell>
          <cell r="B186">
            <v>16.846527999999999</v>
          </cell>
          <cell r="C186">
            <v>20.394504999999999</v>
          </cell>
          <cell r="D186">
            <v>22.324660999999999</v>
          </cell>
          <cell r="E186">
            <v>59.565694000000001</v>
          </cell>
          <cell r="F186">
            <v>13.155348999999999</v>
          </cell>
          <cell r="G186">
            <v>13.062569</v>
          </cell>
          <cell r="H186">
            <v>12.579718</v>
          </cell>
          <cell r="I186">
            <v>38.797635999999997</v>
          </cell>
          <cell r="J186">
            <v>8.2148249999999994</v>
          </cell>
          <cell r="K186">
            <v>9.3377660000000002</v>
          </cell>
          <cell r="L186">
            <v>15.627443</v>
          </cell>
          <cell r="M186">
            <v>33.180033999999999</v>
          </cell>
          <cell r="N186">
            <v>15.324271</v>
          </cell>
          <cell r="O186">
            <v>20.766133</v>
          </cell>
          <cell r="P186">
            <v>27.675128999999998</v>
          </cell>
          <cell r="Q186">
            <v>63.765532999999998</v>
          </cell>
          <cell r="R186">
            <v>-0.46359048305695749</v>
          </cell>
          <cell r="S186">
            <v>-0.50398271071318312</v>
          </cell>
          <cell r="T186">
            <v>-0.48855289260629453</v>
          </cell>
          <cell r="U186">
            <v>-0.48533695863274418</v>
          </cell>
          <cell r="V186">
            <v>-0.43023385300668149</v>
          </cell>
          <cell r="W186">
            <v>-0.37350304094300579</v>
          </cell>
          <cell r="X186">
            <v>-0.3554649036432691</v>
          </cell>
          <cell r="Y186">
            <v>-0.38934485839549526</v>
          </cell>
          <cell r="Z186">
            <v>-0.3588900014304105</v>
          </cell>
          <cell r="AA186">
            <v>-0.41603426252911568</v>
          </cell>
          <cell r="AB186">
            <v>-0.37645811240721105</v>
          </cell>
          <cell r="AC186">
            <v>-0.38373870023570855</v>
          </cell>
          <cell r="AD186">
            <v>-0.3731147540983607</v>
          </cell>
          <cell r="AE186">
            <v>-0.40787502674941156</v>
          </cell>
          <cell r="AF186">
            <v>-0.36808330306332482</v>
          </cell>
          <cell r="AG186">
            <v>-0.38313295615275811</v>
          </cell>
          <cell r="AH186">
            <v>-0.39370519713261654</v>
          </cell>
          <cell r="AI186">
            <v>-0.31358147640980949</v>
          </cell>
          <cell r="AJ186">
            <v>-0.33441660551420482</v>
          </cell>
          <cell r="AK186">
            <v>-0.34807547169811326</v>
          </cell>
          <cell r="AL186">
            <v>-0.41473663637252023</v>
          </cell>
          <cell r="AM186">
            <v>-0.41162930344275417</v>
          </cell>
          <cell r="AN186">
            <v>-0.37669140113487565</v>
          </cell>
          <cell r="AO186">
            <v>-0.40181700636292494</v>
          </cell>
          <cell r="AP186">
            <v>15.915628</v>
          </cell>
          <cell r="AQ186">
            <v>17.676262999999999</v>
          </cell>
          <cell r="AR186">
            <v>29.994897000000002</v>
          </cell>
          <cell r="AS186">
            <v>63.586787999999999</v>
          </cell>
          <cell r="AT186">
            <v>39.480682000000002</v>
          </cell>
          <cell r="AU186">
            <v>41.823352999999997</v>
          </cell>
          <cell r="AV186">
            <v>62.773795999999997</v>
          </cell>
          <cell r="AW186">
            <v>144.077831</v>
          </cell>
          <cell r="AX186">
            <v>48.617109000000006</v>
          </cell>
          <cell r="AY186">
            <v>71.204990999999993</v>
          </cell>
          <cell r="AZ186">
            <v>81.438001</v>
          </cell>
          <cell r="BA186">
            <v>201.26010100000002</v>
          </cell>
          <cell r="BB186">
            <v>48.871454</v>
          </cell>
          <cell r="BC186">
            <v>48.019427</v>
          </cell>
          <cell r="BD186">
            <v>42.092193000000002</v>
          </cell>
          <cell r="BE186">
            <v>138.98307400000002</v>
          </cell>
        </row>
        <row r="187">
          <cell r="A187" t="str">
            <v>Sales (IMS)</v>
          </cell>
          <cell r="B187">
            <v>1.3029710000000001</v>
          </cell>
          <cell r="C187">
            <v>1.4527670000000001</v>
          </cell>
          <cell r="D187">
            <v>1.883481</v>
          </cell>
          <cell r="E187">
            <v>4.6392189999999998</v>
          </cell>
          <cell r="F187">
            <v>1.5387520000000001</v>
          </cell>
          <cell r="G187">
            <v>1.3030040000000001</v>
          </cell>
          <cell r="H187">
            <v>1.521252</v>
          </cell>
          <cell r="I187">
            <v>4.3630080000000007</v>
          </cell>
          <cell r="J187">
            <v>1.1174469999999999</v>
          </cell>
          <cell r="K187">
            <v>1.0300720000000001</v>
          </cell>
          <cell r="L187">
            <v>1.2689269999999999</v>
          </cell>
          <cell r="M187">
            <v>3.4164459999999996</v>
          </cell>
          <cell r="N187">
            <v>1.035226</v>
          </cell>
          <cell r="O187">
            <v>0.88911099999999998</v>
          </cell>
          <cell r="P187">
            <v>1.0109569999999999</v>
          </cell>
          <cell r="Q187">
            <v>2.9352939999999998</v>
          </cell>
          <cell r="R187">
            <v>0.83610700000000004</v>
          </cell>
          <cell r="S187">
            <v>0.83986500000000008</v>
          </cell>
          <cell r="T187">
            <v>1.132296</v>
          </cell>
          <cell r="U187">
            <v>2.808268</v>
          </cell>
          <cell r="V187">
            <v>0.910493</v>
          </cell>
          <cell r="W187">
            <v>0.96265699999999987</v>
          </cell>
          <cell r="X187">
            <v>1.190326</v>
          </cell>
          <cell r="Y187">
            <v>3.0634759999999996</v>
          </cell>
          <cell r="Z187">
            <v>0.87944</v>
          </cell>
          <cell r="AA187">
            <v>0.80060599999999993</v>
          </cell>
          <cell r="AB187">
            <v>0.90371400000000002</v>
          </cell>
          <cell r="AC187">
            <v>2.5837599999999998</v>
          </cell>
          <cell r="AD187">
            <v>0.68329499999999999</v>
          </cell>
          <cell r="AE187">
            <v>0.59434100000000001</v>
          </cell>
          <cell r="AF187">
            <v>0.67747400000000002</v>
          </cell>
          <cell r="AG187">
            <v>1.9551099999999999</v>
          </cell>
          <cell r="AH187">
            <v>0.70594099999999993</v>
          </cell>
          <cell r="AI187">
            <v>0.81249099999999996</v>
          </cell>
          <cell r="AJ187">
            <v>1.0329920000000001</v>
          </cell>
          <cell r="AK187">
            <v>2.5514239999999999</v>
          </cell>
          <cell r="AL187">
            <v>0.95927600000000002</v>
          </cell>
          <cell r="AM187">
            <v>1.013153</v>
          </cell>
          <cell r="AN187">
            <v>1.138477</v>
          </cell>
          <cell r="AO187">
            <v>3.1109059999999999</v>
          </cell>
          <cell r="AP187">
            <v>0.26311610789244599</v>
          </cell>
          <cell r="AQ187">
            <v>0.2387304953306526</v>
          </cell>
          <cell r="AR187">
            <v>0.23585297818929352</v>
          </cell>
          <cell r="AS187">
            <v>0.24337312589038929</v>
          </cell>
          <cell r="AT187">
            <v>0.52956357439040325</v>
          </cell>
          <cell r="AU187">
            <v>0.31139097263419813</v>
          </cell>
          <cell r="AV187">
            <v>0.19950694971637306</v>
          </cell>
          <cell r="AW187">
            <v>0.30935698417103707</v>
          </cell>
          <cell r="AX187">
            <v>0.63433972110630221</v>
          </cell>
          <cell r="AY187">
            <v>0.94936973792615698</v>
          </cell>
          <cell r="AZ187">
            <v>0.90593406448356339</v>
          </cell>
          <cell r="BA187">
            <v>0.8463706028884137</v>
          </cell>
          <cell r="BB187">
            <v>0.73428727296354968</v>
          </cell>
          <cell r="BC187">
            <v>0.89472177560828725</v>
          </cell>
          <cell r="BD187">
            <v>0.71585380170834534</v>
          </cell>
          <cell r="BE187">
            <v>0.78058584026899425</v>
          </cell>
        </row>
        <row r="188">
          <cell r="A188" t="str">
            <v xml:space="preserve">  % Change</v>
          </cell>
          <cell r="R188">
            <v>-0.35830728389196687</v>
          </cell>
          <cell r="S188">
            <v>-0.42188595968933762</v>
          </cell>
          <cell r="T188">
            <v>-0.39882802109498317</v>
          </cell>
          <cell r="U188">
            <v>-0.39466793871985772</v>
          </cell>
          <cell r="V188">
            <v>-0.40829126460924181</v>
          </cell>
          <cell r="W188">
            <v>-0.26120180751555644</v>
          </cell>
          <cell r="X188">
            <v>-0.2175352932978889</v>
          </cell>
          <cell r="Y188">
            <v>-0.29785230739893231</v>
          </cell>
          <cell r="Z188">
            <v>-0.21299175710346874</v>
          </cell>
          <cell r="AA188">
            <v>-0.22276695221304932</v>
          </cell>
          <cell r="AB188">
            <v>-0.28781245887273255</v>
          </cell>
          <cell r="AC188">
            <v>-0.24372871691810727</v>
          </cell>
          <cell r="AD188">
            <v>-0.33995571981383776</v>
          </cell>
          <cell r="AE188">
            <v>-0.33153340808965359</v>
          </cell>
          <cell r="AF188">
            <v>-0.32986862942736428</v>
          </cell>
          <cell r="AG188">
            <v>-0.3339304342256687</v>
          </cell>
          <cell r="AH188">
            <v>-0.15568103125556909</v>
          </cell>
          <cell r="AI188">
            <v>-3.259333345240023E-2</v>
          </cell>
          <cell r="AJ188">
            <v>-8.7701449091050265E-2</v>
          </cell>
          <cell r="AK188">
            <v>-9.145993188684276E-2</v>
          </cell>
          <cell r="AL188">
            <v>5.3578665624008037E-2</v>
          </cell>
          <cell r="AM188">
            <v>5.2454820356575782E-2</v>
          </cell>
          <cell r="AN188">
            <v>-4.3558655359960285E-2</v>
          </cell>
          <cell r="AO188">
            <v>1.5482412788610178E-2</v>
          </cell>
          <cell r="AS188">
            <v>0</v>
          </cell>
          <cell r="AW188">
            <v>0</v>
          </cell>
          <cell r="BA188">
            <v>0</v>
          </cell>
          <cell r="BE188">
            <v>0</v>
          </cell>
        </row>
        <row r="189">
          <cell r="A189" t="str">
            <v>Price Change</v>
          </cell>
          <cell r="B189">
            <v>170952.9</v>
          </cell>
          <cell r="C189">
            <v>163402.6</v>
          </cell>
          <cell r="D189">
            <v>176766.4</v>
          </cell>
          <cell r="E189">
            <v>511121.9</v>
          </cell>
          <cell r="F189">
            <v>179849.7</v>
          </cell>
          <cell r="G189">
            <v>181801.7</v>
          </cell>
          <cell r="H189">
            <v>169683.20000000001</v>
          </cell>
          <cell r="I189">
            <v>531334.6</v>
          </cell>
          <cell r="J189">
            <v>180499</v>
          </cell>
          <cell r="K189">
            <v>185722.6</v>
          </cell>
          <cell r="L189">
            <v>175143.7</v>
          </cell>
          <cell r="M189">
            <v>541365.30000000005</v>
          </cell>
          <cell r="N189">
            <v>190958</v>
          </cell>
          <cell r="O189">
            <v>184112.7</v>
          </cell>
          <cell r="P189">
            <v>183508.3</v>
          </cell>
          <cell r="Q189">
            <v>558579</v>
          </cell>
          <cell r="R189">
            <v>2.9921885343572097E-2</v>
          </cell>
          <cell r="S189">
            <v>162181.4</v>
          </cell>
          <cell r="T189">
            <v>178753.1</v>
          </cell>
          <cell r="U189">
            <v>2.9921885343572097E-2</v>
          </cell>
          <cell r="V189">
            <v>184499.20000000001</v>
          </cell>
          <cell r="W189">
            <v>192602.7</v>
          </cell>
          <cell r="X189">
            <v>192838.7</v>
          </cell>
          <cell r="Y189">
            <v>2.9921885343572097E-2</v>
          </cell>
          <cell r="Z189">
            <v>199193.5</v>
          </cell>
          <cell r="AA189">
            <v>193829.6</v>
          </cell>
          <cell r="AB189">
            <v>198760.8</v>
          </cell>
          <cell r="AC189">
            <v>2.9921885343572097E-2</v>
          </cell>
          <cell r="AD189">
            <v>209815.3</v>
          </cell>
          <cell r="AE189">
            <v>197588.6</v>
          </cell>
          <cell r="AF189">
            <v>227549</v>
          </cell>
          <cell r="AG189">
            <v>2.9921885343572097E-2</v>
          </cell>
          <cell r="AH189">
            <v>200781.3</v>
          </cell>
          <cell r="AI189">
            <v>201507.20000000001</v>
          </cell>
          <cell r="AJ189">
            <v>227695.7</v>
          </cell>
          <cell r="AK189">
            <v>0</v>
          </cell>
          <cell r="AL189">
            <v>209400.4</v>
          </cell>
          <cell r="AM189">
            <v>204444.6</v>
          </cell>
          <cell r="AN189">
            <v>206815.1</v>
          </cell>
          <cell r="AO189">
            <v>0</v>
          </cell>
          <cell r="AP189">
            <v>187863.1</v>
          </cell>
          <cell r="AQ189">
            <v>188204.6</v>
          </cell>
          <cell r="AR189">
            <v>171317.1</v>
          </cell>
          <cell r="AS189">
            <v>547384.80000000005</v>
          </cell>
          <cell r="AT189">
            <v>173738.2</v>
          </cell>
          <cell r="AU189">
            <v>182247.3</v>
          </cell>
          <cell r="AV189">
            <v>194104.7</v>
          </cell>
          <cell r="AW189">
            <v>550090.19999999995</v>
          </cell>
          <cell r="AX189">
            <v>177569.5</v>
          </cell>
          <cell r="AY189">
            <v>176349.8</v>
          </cell>
          <cell r="AZ189">
            <v>182726.5</v>
          </cell>
          <cell r="BA189">
            <v>536645.80000000005</v>
          </cell>
          <cell r="BB189">
            <v>155929.4</v>
          </cell>
          <cell r="BC189">
            <v>157198.9</v>
          </cell>
          <cell r="BD189">
            <v>149322.9</v>
          </cell>
          <cell r="BE189">
            <v>462451.20000000001</v>
          </cell>
        </row>
        <row r="190">
          <cell r="A190" t="str">
            <v xml:space="preserve">  % Change</v>
          </cell>
          <cell r="R190">
            <v>-1.1173252983716631E-2</v>
          </cell>
          <cell r="S190">
            <v>-7.4735652921068541E-3</v>
          </cell>
          <cell r="T190">
            <v>1.1239126892893747E-2</v>
          </cell>
          <cell r="U190">
            <v>-2.239387512059432E-3</v>
          </cell>
          <cell r="V190">
            <v>2.5852142094204167E-2</v>
          </cell>
          <cell r="W190">
            <v>5.9410885596779428E-2</v>
          </cell>
          <cell r="X190">
            <v>0.13646312657941384</v>
          </cell>
          <cell r="Y190">
            <v>7.2658546987152794E-2</v>
          </cell>
          <cell r="Z190">
            <v>0.10357121092083621</v>
          </cell>
          <cell r="AA190">
            <v>4.3651122695891553E-2</v>
          </cell>
          <cell r="AB190">
            <v>0.13484413084798352</v>
          </cell>
          <cell r="AC190">
            <v>9.3132308258397467E-2</v>
          </cell>
          <cell r="AD190">
            <v>9.8751034258842241E-2</v>
          </cell>
          <cell r="AE190">
            <v>7.3193755781105763E-2</v>
          </cell>
          <cell r="AF190">
            <v>0.2399929594465211</v>
          </cell>
          <cell r="AG190">
            <v>0.13672891390474762</v>
          </cell>
          <cell r="AH190">
            <v>0.18775422555707788</v>
          </cell>
          <cell r="AI190">
            <v>0.24248033374973965</v>
          </cell>
          <cell r="AJ190">
            <v>0.27380000682505656</v>
          </cell>
          <cell r="AK190">
            <v>0.23531812102224947</v>
          </cell>
          <cell r="AL190">
            <v>0.13496643887886761</v>
          </cell>
          <cell r="AM190">
            <v>6.1483561756922267E-2</v>
          </cell>
          <cell r="AN190">
            <v>7.2477153185537935E-2</v>
          </cell>
          <cell r="AO190">
            <v>8.8990852730968628E-2</v>
          </cell>
          <cell r="AP190">
            <v>-5.6881374141224406E-2</v>
          </cell>
          <cell r="AQ190">
            <v>-2.9020335387371143E-2</v>
          </cell>
          <cell r="AR190">
            <v>-0.13807400654454993</v>
          </cell>
          <cell r="AS190">
            <v>-7.5025866705734745E-2</v>
          </cell>
          <cell r="AT190">
            <v>-0.17194694571844849</v>
          </cell>
          <cell r="AU190">
            <v>-7.7642637277656745E-2</v>
          </cell>
          <cell r="AV190">
            <v>-0.14697625566361527</v>
          </cell>
          <cell r="AW190">
            <v>-0.13365196064149021</v>
          </cell>
          <cell r="AX190">
            <v>-0.11560737977092483</v>
          </cell>
          <cell r="AY190">
            <v>-0.12484615934318988</v>
          </cell>
          <cell r="AZ190">
            <v>-0.19749692242760841</v>
          </cell>
          <cell r="BA190">
            <v>-0.14815990623256892</v>
          </cell>
          <cell r="BB190">
            <v>-0.25535290285978429</v>
          </cell>
          <cell r="BC190">
            <v>-0.23109292199451592</v>
          </cell>
          <cell r="BD190">
            <v>-0.277988406068996</v>
          </cell>
          <cell r="BE190">
            <v>-0.25490425435757824</v>
          </cell>
        </row>
        <row r="191">
          <cell r="A191" t="str">
            <v>TOTAL Non-Acne Derm Products</v>
          </cell>
        </row>
        <row r="192">
          <cell r="A192" t="str">
            <v>TOTAL TRx2</v>
          </cell>
          <cell r="B192">
            <v>170952.9</v>
          </cell>
          <cell r="C192">
            <v>163402.6</v>
          </cell>
          <cell r="D192">
            <v>176766.4</v>
          </cell>
          <cell r="E192">
            <v>511121.9</v>
          </cell>
          <cell r="F192">
            <v>179849.7</v>
          </cell>
          <cell r="G192">
            <v>181801.7</v>
          </cell>
          <cell r="H192">
            <v>169683.20000000001</v>
          </cell>
          <cell r="I192">
            <v>531334.6</v>
          </cell>
          <cell r="J192">
            <v>180499</v>
          </cell>
          <cell r="K192">
            <v>185722.6</v>
          </cell>
          <cell r="L192">
            <v>175143.7</v>
          </cell>
          <cell r="M192">
            <v>541365.30000000005</v>
          </cell>
          <cell r="N192">
            <v>190958</v>
          </cell>
          <cell r="O192">
            <v>184112.7</v>
          </cell>
          <cell r="P192">
            <v>183508.3</v>
          </cell>
          <cell r="Q192">
            <v>558579</v>
          </cell>
          <cell r="R192">
            <v>169042.8</v>
          </cell>
          <cell r="S192">
            <v>162181.4</v>
          </cell>
          <cell r="T192">
            <v>178753.1</v>
          </cell>
          <cell r="U192">
            <v>509977.3</v>
          </cell>
          <cell r="V192">
            <v>184499.20000000001</v>
          </cell>
          <cell r="W192">
            <v>192602.7</v>
          </cell>
          <cell r="X192">
            <v>192838.7</v>
          </cell>
          <cell r="Y192">
            <v>569940.6</v>
          </cell>
          <cell r="Z192">
            <v>199193.5</v>
          </cell>
          <cell r="AA192">
            <v>193829.6</v>
          </cell>
          <cell r="AB192">
            <v>198760.8</v>
          </cell>
          <cell r="AC192">
            <v>591783.9</v>
          </cell>
          <cell r="AD192">
            <v>209815.3</v>
          </cell>
          <cell r="AE192">
            <v>197588.6</v>
          </cell>
          <cell r="AF192">
            <v>227549</v>
          </cell>
          <cell r="AG192">
            <v>634952.9</v>
          </cell>
          <cell r="AH192">
            <v>200781.3</v>
          </cell>
          <cell r="AI192">
            <v>201507.20000000001</v>
          </cell>
          <cell r="AJ192">
            <v>227695.7</v>
          </cell>
          <cell r="AK192">
            <v>629984.19999999995</v>
          </cell>
          <cell r="AL192">
            <v>209400.4</v>
          </cell>
          <cell r="AM192">
            <v>204444.6</v>
          </cell>
          <cell r="AN192">
            <v>206815.1</v>
          </cell>
          <cell r="AO192">
            <v>620660.1</v>
          </cell>
          <cell r="AP192">
            <v>187863.1</v>
          </cell>
          <cell r="AQ192">
            <v>188204.6</v>
          </cell>
          <cell r="AR192">
            <v>171317.1</v>
          </cell>
          <cell r="AS192">
            <v>547384.80000000005</v>
          </cell>
          <cell r="AT192">
            <v>173738.2</v>
          </cell>
          <cell r="AU192">
            <v>182247.3</v>
          </cell>
          <cell r="AV192">
            <v>194104.7</v>
          </cell>
          <cell r="AW192">
            <v>550090.19999999995</v>
          </cell>
          <cell r="AX192">
            <v>177569.5</v>
          </cell>
          <cell r="AY192">
            <v>176349.8</v>
          </cell>
          <cell r="AZ192">
            <v>182726.5</v>
          </cell>
          <cell r="BA192">
            <v>536645.80000000005</v>
          </cell>
          <cell r="BB192">
            <v>155929.4</v>
          </cell>
          <cell r="BC192">
            <v>157198.9</v>
          </cell>
          <cell r="BD192">
            <v>149322.9</v>
          </cell>
          <cell r="BE192">
            <v>462451.20000000001</v>
          </cell>
        </row>
        <row r="193">
          <cell r="A193" t="str">
            <v xml:space="preserve">  % Change</v>
          </cell>
          <cell r="R193">
            <v>-1.1173252983716631E-2</v>
          </cell>
          <cell r="S193">
            <v>-7.4735652921068541E-3</v>
          </cell>
          <cell r="T193">
            <v>1.1239126892893747E-2</v>
          </cell>
          <cell r="U193">
            <v>-2.239387512059432E-3</v>
          </cell>
          <cell r="V193">
            <v>2.5852142094204167E-2</v>
          </cell>
          <cell r="W193">
            <v>5.9410885596779428E-2</v>
          </cell>
          <cell r="X193">
            <v>0.13646312657941384</v>
          </cell>
          <cell r="Y193">
            <v>7.2658546987152794E-2</v>
          </cell>
          <cell r="Z193">
            <v>0.10357121092083621</v>
          </cell>
          <cell r="AA193">
            <v>4.3651122695891553E-2</v>
          </cell>
          <cell r="AB193">
            <v>0.13484413084798352</v>
          </cell>
          <cell r="AC193">
            <v>9.3132308258397467E-2</v>
          </cell>
          <cell r="AD193">
            <v>9.8751034258842241E-2</v>
          </cell>
          <cell r="AE193">
            <v>7.3193755781105763E-2</v>
          </cell>
          <cell r="AF193">
            <v>0.2399929594465211</v>
          </cell>
          <cell r="AG193">
            <v>0.13672891390474762</v>
          </cell>
          <cell r="AH193">
            <v>0.18775422555707788</v>
          </cell>
          <cell r="AI193">
            <v>0.24248033374973965</v>
          </cell>
          <cell r="AJ193">
            <v>0.27380000682505656</v>
          </cell>
          <cell r="AK193">
            <v>0.23531812102224947</v>
          </cell>
          <cell r="AL193">
            <v>0.13496643887886761</v>
          </cell>
          <cell r="AM193">
            <v>6.1483561756922267E-2</v>
          </cell>
          <cell r="AN193">
            <v>7.2477153185537935E-2</v>
          </cell>
          <cell r="AO193">
            <v>8.8990852730968628E-2</v>
          </cell>
          <cell r="AP193">
            <v>-5.6881374141224406E-2</v>
          </cell>
          <cell r="AQ193">
            <v>-2.9020335387371143E-2</v>
          </cell>
          <cell r="AR193">
            <v>-0.13807400654454993</v>
          </cell>
          <cell r="AS193">
            <v>-7.5025866705734745E-2</v>
          </cell>
          <cell r="AT193">
            <v>-0.17194694571844849</v>
          </cell>
          <cell r="AU193">
            <v>-7.7642637277656745E-2</v>
          </cell>
          <cell r="AV193">
            <v>-0.14697625566361527</v>
          </cell>
          <cell r="AW193">
            <v>-0.13365196064149021</v>
          </cell>
          <cell r="AX193">
            <v>-0.11560737977092483</v>
          </cell>
          <cell r="AY193">
            <v>-0.12484615934318988</v>
          </cell>
          <cell r="AZ193">
            <v>-0.19749692242760841</v>
          </cell>
          <cell r="BA193">
            <v>-0.14815990623256892</v>
          </cell>
          <cell r="BB193">
            <v>-0.25535290285978429</v>
          </cell>
          <cell r="BC193">
            <v>-0.23109292199451592</v>
          </cell>
          <cell r="BD193">
            <v>-0.277988406068996</v>
          </cell>
          <cell r="BE193">
            <v>-0.25490425435757824</v>
          </cell>
        </row>
        <row r="194">
          <cell r="A194" t="str">
            <v>Sales (IMS)</v>
          </cell>
          <cell r="AP194">
            <v>159912</v>
          </cell>
          <cell r="AQ194">
            <v>157406</v>
          </cell>
          <cell r="AR194">
            <v>133803</v>
          </cell>
          <cell r="AS194">
            <v>451121</v>
          </cell>
          <cell r="AT194">
            <v>127554</v>
          </cell>
          <cell r="AU194">
            <v>122577</v>
          </cell>
          <cell r="AV194">
            <v>122189</v>
          </cell>
          <cell r="AW194">
            <v>372320</v>
          </cell>
          <cell r="AX194">
            <v>105021</v>
          </cell>
          <cell r="AY194">
            <v>86826</v>
          </cell>
          <cell r="AZ194">
            <v>93397</v>
          </cell>
          <cell r="BA194">
            <v>285244</v>
          </cell>
          <cell r="BB194">
            <v>1.0898190000000001</v>
          </cell>
          <cell r="BC194">
            <v>1.24068</v>
          </cell>
          <cell r="BD194">
            <v>1.772357</v>
          </cell>
          <cell r="BE194">
            <v>4.1028560000000001</v>
          </cell>
        </row>
        <row r="195">
          <cell r="A195" t="str">
            <v>TOTAL REPORTED SALES</v>
          </cell>
          <cell r="B195">
            <v>6.5826558000000004</v>
          </cell>
          <cell r="C195">
            <v>7.1543144999999999</v>
          </cell>
          <cell r="D195">
            <v>9.1149581000000008</v>
          </cell>
          <cell r="E195">
            <v>13.589519999999998</v>
          </cell>
          <cell r="F195">
            <v>7.1073079000000012</v>
          </cell>
          <cell r="G195">
            <v>6.9228059000000011</v>
          </cell>
          <cell r="H195">
            <v>8.4623967999999987</v>
          </cell>
          <cell r="I195">
            <v>24.643200000000007</v>
          </cell>
          <cell r="J195">
            <v>6.6060274999999997</v>
          </cell>
          <cell r="K195">
            <v>7.3436925999999998</v>
          </cell>
          <cell r="L195">
            <v>9.4609663000000008</v>
          </cell>
          <cell r="M195">
            <v>32.309750000000001</v>
          </cell>
          <cell r="N195">
            <v>8.1167391000000002</v>
          </cell>
          <cell r="O195">
            <v>8.4458642999999984</v>
          </cell>
          <cell r="P195">
            <v>9.9783998999999977</v>
          </cell>
          <cell r="Q195">
            <v>21.425039999999999</v>
          </cell>
          <cell r="R195">
            <v>8.3680403999999999</v>
          </cell>
          <cell r="S195">
            <v>9.2871832000000012</v>
          </cell>
          <cell r="T195">
            <v>11.959660899999999</v>
          </cell>
          <cell r="U195">
            <v>18.146750000000001</v>
          </cell>
          <cell r="V195">
            <v>9.6154179000000006</v>
          </cell>
          <cell r="W195">
            <v>9.9976921000000001</v>
          </cell>
          <cell r="X195">
            <v>13.1093843</v>
          </cell>
          <cell r="Y195">
            <v>19.707889999999992</v>
          </cell>
          <cell r="Z195">
            <v>10.386067900000002</v>
          </cell>
          <cell r="AA195">
            <v>10.597085</v>
          </cell>
          <cell r="AB195">
            <v>13.241784300000001</v>
          </cell>
          <cell r="AC195">
            <v>29.1157</v>
          </cell>
          <cell r="AD195">
            <v>11.493418000000002</v>
          </cell>
          <cell r="AE195">
            <v>11.969329000000002</v>
          </cell>
          <cell r="AF195">
            <v>15.098114900000001</v>
          </cell>
          <cell r="AG195">
            <v>31.784849999999999</v>
          </cell>
          <cell r="AH195">
            <v>11.1991198</v>
          </cell>
          <cell r="AI195">
            <v>12.225679599999998</v>
          </cell>
          <cell r="AJ195">
            <v>15.981991599999999</v>
          </cell>
          <cell r="AK195">
            <v>30.387193200000002</v>
          </cell>
          <cell r="AL195">
            <v>12.7171591</v>
          </cell>
          <cell r="AM195">
            <v>13.282871800000001</v>
          </cell>
          <cell r="AN195">
            <v>15.377822999999999</v>
          </cell>
          <cell r="AO195">
            <v>33.498124299999994</v>
          </cell>
          <cell r="AP195">
            <v>10.9668148</v>
          </cell>
          <cell r="AQ195">
            <v>11.407955299999999</v>
          </cell>
          <cell r="AR195">
            <v>13.322073699999999</v>
          </cell>
          <cell r="AS195">
            <v>20</v>
          </cell>
          <cell r="AT195">
            <v>11.895963200000001</v>
          </cell>
          <cell r="AU195">
            <v>11.953913300000002</v>
          </cell>
          <cell r="AV195">
            <v>15.450762599999999</v>
          </cell>
          <cell r="AW195">
            <v>14.818258</v>
          </cell>
          <cell r="AX195">
            <v>11.798329900000002</v>
          </cell>
          <cell r="AY195">
            <v>13.102416100000001</v>
          </cell>
          <cell r="AZ195">
            <v>15.377099100000002</v>
          </cell>
          <cell r="BA195">
            <v>21.308436</v>
          </cell>
          <cell r="BB195">
            <v>10.6134074</v>
          </cell>
          <cell r="BC195">
            <v>10.7227307</v>
          </cell>
          <cell r="BE195">
            <v>23</v>
          </cell>
        </row>
        <row r="196">
          <cell r="A196" t="str">
            <v xml:space="preserve">  % Change</v>
          </cell>
          <cell r="R196">
            <v>0.27122557433429817</v>
          </cell>
          <cell r="S196">
            <v>0.29812341909207385</v>
          </cell>
          <cell r="T196">
            <v>0.31209170341660686</v>
          </cell>
          <cell r="U196">
            <v>0.33534885706044082</v>
          </cell>
          <cell r="V196">
            <v>0.35289170460730968</v>
          </cell>
          <cell r="W196">
            <v>0.44416761706405761</v>
          </cell>
          <cell r="X196">
            <v>0.54913372769284496</v>
          </cell>
          <cell r="Y196">
            <v>-0.20027066290092255</v>
          </cell>
          <cell r="Z196">
            <v>0.57221081807485707</v>
          </cell>
          <cell r="AA196">
            <v>0.44301859802791865</v>
          </cell>
          <cell r="AB196">
            <v>0.39962281654042031</v>
          </cell>
          <cell r="AC196">
            <v>-9.8857156121604173E-2</v>
          </cell>
          <cell r="AD196">
            <v>0.41601422177041547</v>
          </cell>
          <cell r="AE196">
            <v>0.41718225333078163</v>
          </cell>
          <cell r="AF196">
            <v>0.51307975740679668</v>
          </cell>
          <cell r="AG196">
            <v>0.48353748697785393</v>
          </cell>
          <cell r="AH196">
            <v>0.33832047464780413</v>
          </cell>
          <cell r="AI196">
            <v>0.31640340636329811</v>
          </cell>
          <cell r="AJ196">
            <v>0.33632481168425099</v>
          </cell>
          <cell r="AK196">
            <v>0.67452536680121788</v>
          </cell>
          <cell r="AL196">
            <v>0.32257996815718215</v>
          </cell>
          <cell r="AM196">
            <v>0.32859380616452483</v>
          </cell>
          <cell r="AN196">
            <v>0.17303930131943712</v>
          </cell>
          <cell r="AO196">
            <v>0.69973164554906719</v>
          </cell>
          <cell r="AP196">
            <v>5.5915954487453012E-2</v>
          </cell>
          <cell r="AQ196">
            <v>7.6518240629380507E-2</v>
          </cell>
          <cell r="AR196">
            <v>6.0633369477252064E-3</v>
          </cell>
          <cell r="AS196">
            <v>-0.31308538005268638</v>
          </cell>
          <cell r="AT196">
            <v>3.5023976331496787E-2</v>
          </cell>
          <cell r="AU196">
            <v>-1.287933517409412E-3</v>
          </cell>
          <cell r="AV196">
            <v>2.3357068239028944E-2</v>
          </cell>
          <cell r="AW196">
            <v>-0.53379493689603685</v>
          </cell>
          <cell r="AX196">
            <v>5.3505106713833239E-2</v>
          </cell>
          <cell r="AY196">
            <v>7.1712700535682572E-2</v>
          </cell>
          <cell r="AZ196">
            <v>-3.7848380548516691E-2</v>
          </cell>
          <cell r="BA196">
            <v>-0.29876919333240692</v>
          </cell>
          <cell r="BB196">
            <v>-0.16542623108332433</v>
          </cell>
          <cell r="BC196">
            <v>-0.19274002930601208</v>
          </cell>
          <cell r="BE196">
            <v>-0.31339439205555741</v>
          </cell>
        </row>
        <row r="197">
          <cell r="A197" t="str">
            <v>Lustra1</v>
          </cell>
        </row>
        <row r="198">
          <cell r="A198" t="str">
            <v>TOTAL IMS SALES2</v>
          </cell>
          <cell r="B198">
            <v>6.5826558000000004</v>
          </cell>
          <cell r="C198">
            <v>7.1543144999999999</v>
          </cell>
          <cell r="D198">
            <v>9.1149581000000008</v>
          </cell>
          <cell r="E198">
            <v>22.851928399999998</v>
          </cell>
          <cell r="F198">
            <v>7.1073079000000012</v>
          </cell>
          <cell r="G198">
            <v>6.9228059000000011</v>
          </cell>
          <cell r="H198">
            <v>8.4623967999999987</v>
          </cell>
          <cell r="I198">
            <v>22.492510600000003</v>
          </cell>
          <cell r="J198">
            <v>6.6060274999999997</v>
          </cell>
          <cell r="K198">
            <v>7.3436925999999998</v>
          </cell>
          <cell r="L198">
            <v>9.4609663000000008</v>
          </cell>
          <cell r="M198">
            <v>23.410686400000003</v>
          </cell>
          <cell r="N198">
            <v>8.1167391000000002</v>
          </cell>
          <cell r="O198">
            <v>8.4458642999999984</v>
          </cell>
          <cell r="P198">
            <v>9.9783998999999977</v>
          </cell>
          <cell r="Q198">
            <v>26.5410033</v>
          </cell>
          <cell r="R198">
            <v>8.3680403999999999</v>
          </cell>
          <cell r="S198">
            <v>9.2871832000000012</v>
          </cell>
          <cell r="T198">
            <v>11.959660899999999</v>
          </cell>
          <cell r="U198">
            <v>29.614884499999999</v>
          </cell>
          <cell r="V198">
            <v>9.6154179000000006</v>
          </cell>
          <cell r="W198">
            <v>9.9976921000000001</v>
          </cell>
          <cell r="X198">
            <v>13.1093843</v>
          </cell>
          <cell r="Y198">
            <v>32.722494300000001</v>
          </cell>
          <cell r="Z198">
            <v>10.386067900000002</v>
          </cell>
          <cell r="AA198">
            <v>10.597085</v>
          </cell>
          <cell r="AB198">
            <v>13.241784300000001</v>
          </cell>
          <cell r="AC198">
            <v>34.224937199999999</v>
          </cell>
          <cell r="AD198">
            <v>11.493418000000002</v>
          </cell>
          <cell r="AE198">
            <v>11.969329000000002</v>
          </cell>
          <cell r="AF198">
            <v>15.098114900000001</v>
          </cell>
          <cell r="AG198">
            <v>38.560861900000006</v>
          </cell>
          <cell r="AH198">
            <v>11.1991198</v>
          </cell>
          <cell r="AI198">
            <v>12.225679599999998</v>
          </cell>
          <cell r="AJ198">
            <v>15.981991599999999</v>
          </cell>
          <cell r="AK198">
            <v>39.406790999999998</v>
          </cell>
          <cell r="AL198">
            <v>12.7171591</v>
          </cell>
          <cell r="AM198">
            <v>13.282871800000001</v>
          </cell>
          <cell r="AN198">
            <v>15.377822999999999</v>
          </cell>
          <cell r="AO198">
            <v>41.377853899999998</v>
          </cell>
          <cell r="AP198">
            <v>10.9668148</v>
          </cell>
          <cell r="AQ198">
            <v>11.407955299999999</v>
          </cell>
          <cell r="AR198">
            <v>13.322073699999999</v>
          </cell>
          <cell r="AS198">
            <v>35.696843799999996</v>
          </cell>
          <cell r="AT198">
            <v>11.895963200000001</v>
          </cell>
          <cell r="AU198">
            <v>11.953913300000002</v>
          </cell>
          <cell r="AV198">
            <v>15.450762599999999</v>
          </cell>
          <cell r="AW198">
            <v>39.300639099999998</v>
          </cell>
          <cell r="AX198">
            <v>11.798329900000002</v>
          </cell>
          <cell r="AY198">
            <v>13.102416100000001</v>
          </cell>
          <cell r="AZ198">
            <v>15.377099100000002</v>
          </cell>
          <cell r="BA198">
            <v>40.277845100000008</v>
          </cell>
          <cell r="BB198">
            <v>10.6134074</v>
          </cell>
          <cell r="BC198">
            <v>10.7227307</v>
          </cell>
          <cell r="BD198">
            <v>11.679771300000001</v>
          </cell>
          <cell r="BE198">
            <v>33.015909399999998</v>
          </cell>
        </row>
        <row r="199">
          <cell r="A199" t="str">
            <v xml:space="preserve">  % Change</v>
          </cell>
          <cell r="E199">
            <v>1.6815846622985948</v>
          </cell>
          <cell r="I199">
            <v>0.91272686177119844</v>
          </cell>
          <cell r="M199">
            <v>0.72457033557981732</v>
          </cell>
          <cell r="Q199">
            <v>1.2387843056535717</v>
          </cell>
          <cell r="R199">
            <v>0.27122557433429817</v>
          </cell>
          <cell r="S199">
            <v>0.29812341909207385</v>
          </cell>
          <cell r="T199">
            <v>0.31209170341660686</v>
          </cell>
          <cell r="U199">
            <v>0.29594684446849584</v>
          </cell>
          <cell r="V199">
            <v>0.35289170460730968</v>
          </cell>
          <cell r="W199">
            <v>0.44416761706405761</v>
          </cell>
          <cell r="X199">
            <v>0.54913372769284496</v>
          </cell>
          <cell r="Y199">
            <v>0.45481733373063293</v>
          </cell>
          <cell r="Z199">
            <v>0.57221081807485707</v>
          </cell>
          <cell r="AA199">
            <v>0.44301859802791865</v>
          </cell>
          <cell r="AB199">
            <v>0.39962281654042031</v>
          </cell>
          <cell r="AC199">
            <v>0.46193651118234591</v>
          </cell>
          <cell r="AD199">
            <v>0.41601422177041547</v>
          </cell>
          <cell r="AE199">
            <v>0.41718225333078163</v>
          </cell>
          <cell r="AF199">
            <v>0.51307975740679668</v>
          </cell>
          <cell r="AG199">
            <v>0.45287883295655251</v>
          </cell>
          <cell r="AH199">
            <v>0.33832047464780413</v>
          </cell>
          <cell r="AI199">
            <v>0.31640340636329811</v>
          </cell>
          <cell r="AJ199">
            <v>0.33632481168425099</v>
          </cell>
          <cell r="AK199">
            <v>0.33064138744150773</v>
          </cell>
          <cell r="AL199">
            <v>0.32257996815718215</v>
          </cell>
          <cell r="AM199">
            <v>0.32859380616452483</v>
          </cell>
          <cell r="AN199">
            <v>0.17303930131943712</v>
          </cell>
          <cell r="AO199">
            <v>0.26450794125434363</v>
          </cell>
          <cell r="AP199">
            <v>5.5915954487453012E-2</v>
          </cell>
          <cell r="AQ199">
            <v>7.6518240629380507E-2</v>
          </cell>
          <cell r="AR199">
            <v>6.0633369477252064E-3</v>
          </cell>
          <cell r="AS199">
            <v>4.3006845897148871E-2</v>
          </cell>
          <cell r="AT199">
            <v>3.5023976331496787E-2</v>
          </cell>
          <cell r="AU199">
            <v>-1.287933517409412E-3</v>
          </cell>
          <cell r="AV199">
            <v>2.3357068239028944E-2</v>
          </cell>
          <cell r="AW199">
            <v>1.9184664541950891E-2</v>
          </cell>
          <cell r="AX199">
            <v>5.3505106713833239E-2</v>
          </cell>
          <cell r="AY199">
            <v>7.1712700535682572E-2</v>
          </cell>
          <cell r="AZ199">
            <v>-3.7848380548516691E-2</v>
          </cell>
          <cell r="BA199">
            <v>2.2104162198845589E-2</v>
          </cell>
          <cell r="BB199">
            <v>-0.16542623108332433</v>
          </cell>
          <cell r="BC199">
            <v>-0.19274002930601208</v>
          </cell>
          <cell r="BD199">
            <v>-0.24047953341640094</v>
          </cell>
          <cell r="BE199">
            <v>-0.20208743837243814</v>
          </cell>
        </row>
        <row r="200">
          <cell r="A200" t="str">
            <v>NRx</v>
          </cell>
          <cell r="B200">
            <v>16644</v>
          </cell>
          <cell r="C200">
            <v>16195</v>
          </cell>
          <cell r="D200">
            <v>18651</v>
          </cell>
          <cell r="E200">
            <v>51490</v>
          </cell>
          <cell r="F200">
            <v>17960</v>
          </cell>
          <cell r="G200">
            <v>15949</v>
          </cell>
          <cell r="H200">
            <v>14218</v>
          </cell>
          <cell r="I200">
            <v>48127</v>
          </cell>
          <cell r="J200">
            <v>13982</v>
          </cell>
          <cell r="K200">
            <v>13309</v>
          </cell>
          <cell r="L200">
            <v>11316</v>
          </cell>
          <cell r="M200">
            <v>38607</v>
          </cell>
          <cell r="N200">
            <v>10675</v>
          </cell>
          <cell r="O200">
            <v>9346</v>
          </cell>
          <cell r="P200">
            <v>8259</v>
          </cell>
          <cell r="Q200">
            <v>28280</v>
          </cell>
          <cell r="R200">
            <v>8928</v>
          </cell>
          <cell r="S200">
            <v>8033</v>
          </cell>
          <cell r="T200">
            <v>9539</v>
          </cell>
          <cell r="U200">
            <v>26500</v>
          </cell>
          <cell r="V200">
            <v>10233</v>
          </cell>
          <cell r="W200">
            <v>9992</v>
          </cell>
          <cell r="X200">
            <v>9164</v>
          </cell>
          <cell r="Y200">
            <v>29389</v>
          </cell>
          <cell r="Z200">
            <v>8964</v>
          </cell>
          <cell r="AA200">
            <v>7772</v>
          </cell>
          <cell r="AB200">
            <v>7056</v>
          </cell>
          <cell r="AC200">
            <v>23792</v>
          </cell>
          <cell r="AD200">
            <v>6692</v>
          </cell>
          <cell r="AE200">
            <v>5534</v>
          </cell>
          <cell r="AF200">
            <v>5219</v>
          </cell>
          <cell r="AG200">
            <v>17445</v>
          </cell>
          <cell r="AH200">
            <v>5413</v>
          </cell>
          <cell r="AI200">
            <v>5514</v>
          </cell>
          <cell r="AJ200">
            <v>6349</v>
          </cell>
          <cell r="AK200">
            <v>17276</v>
          </cell>
          <cell r="AL200">
            <v>5989</v>
          </cell>
          <cell r="AM200">
            <v>5879</v>
          </cell>
          <cell r="AN200">
            <v>5712</v>
          </cell>
          <cell r="AO200">
            <v>17580</v>
          </cell>
        </row>
        <row r="201">
          <cell r="A201" t="str">
            <v>REPORTED SALES/TRx</v>
          </cell>
          <cell r="E201">
            <v>26.587630074156472</v>
          </cell>
          <cell r="I201">
            <v>46.379814151007679</v>
          </cell>
          <cell r="M201">
            <v>59.681974444981968</v>
          </cell>
          <cell r="Q201">
            <v>38.356329185307722</v>
          </cell>
          <cell r="R201">
            <v>-0.46359048305695749</v>
          </cell>
          <cell r="S201">
            <v>-0.50398271071318312</v>
          </cell>
          <cell r="T201">
            <v>-0.48855289260629453</v>
          </cell>
          <cell r="U201">
            <v>35.583446557327164</v>
          </cell>
          <cell r="V201">
            <v>-0.43023385300668149</v>
          </cell>
          <cell r="W201">
            <v>-0.37350304094300579</v>
          </cell>
          <cell r="X201">
            <v>-0.3554649036432691</v>
          </cell>
          <cell r="Y201">
            <v>34.578849094098558</v>
          </cell>
          <cell r="Z201">
            <v>-0.3588900014304105</v>
          </cell>
          <cell r="AA201">
            <v>-0.41603426252911568</v>
          </cell>
          <cell r="AB201">
            <v>-0.37645811240721105</v>
          </cell>
          <cell r="AC201">
            <v>49.199885295967</v>
          </cell>
          <cell r="AD201">
            <v>-0.3731147540983607</v>
          </cell>
          <cell r="AE201">
            <v>-0.40787502674941156</v>
          </cell>
          <cell r="AF201">
            <v>-0.36808330306332482</v>
          </cell>
          <cell r="AG201">
            <v>50.0585948973538</v>
          </cell>
          <cell r="AH201">
            <v>-0.39370519713261654</v>
          </cell>
          <cell r="AI201">
            <v>-0.31358147640980949</v>
          </cell>
          <cell r="AJ201">
            <v>-0.33441660551420482</v>
          </cell>
          <cell r="AK201">
            <v>48.234849699405167</v>
          </cell>
          <cell r="AL201">
            <v>-0.41473663637252023</v>
          </cell>
          <cell r="AM201">
            <v>-0.41162930344275417</v>
          </cell>
          <cell r="AN201">
            <v>-0.37669140113487565</v>
          </cell>
          <cell r="AO201">
            <v>53.971770216902932</v>
          </cell>
          <cell r="AS201">
            <v>36.537368227981482</v>
          </cell>
          <cell r="AW201">
            <v>26.937869462135485</v>
          </cell>
          <cell r="BA201">
            <v>39.706704124023702</v>
          </cell>
          <cell r="BE201">
            <v>49.734977441944139</v>
          </cell>
        </row>
        <row r="202">
          <cell r="A202" t="str">
            <v>IMS SALES/REPORTED SALES</v>
          </cell>
          <cell r="B202">
            <v>1.3029710000000001</v>
          </cell>
          <cell r="C202">
            <v>1.4527670000000001</v>
          </cell>
          <cell r="D202">
            <v>1.883481</v>
          </cell>
          <cell r="E202">
            <v>1.6815846622985948</v>
          </cell>
          <cell r="F202">
            <v>1.5387520000000001</v>
          </cell>
          <cell r="G202">
            <v>1.3030040000000001</v>
          </cell>
          <cell r="H202">
            <v>1.521252</v>
          </cell>
          <cell r="I202">
            <v>0.91272686177119844</v>
          </cell>
          <cell r="J202">
            <v>1.1174469999999999</v>
          </cell>
          <cell r="K202">
            <v>1.0300720000000001</v>
          </cell>
          <cell r="L202">
            <v>1.2689269999999999</v>
          </cell>
          <cell r="M202">
            <v>0.72457033557981732</v>
          </cell>
          <cell r="N202">
            <v>1.035226</v>
          </cell>
          <cell r="O202">
            <v>0.88911099999999998</v>
          </cell>
          <cell r="P202">
            <v>1.0109569999999999</v>
          </cell>
          <cell r="Q202">
            <v>1.2387843056535717</v>
          </cell>
          <cell r="R202">
            <v>0.83610700000000004</v>
          </cell>
          <cell r="S202">
            <v>0.83986500000000008</v>
          </cell>
          <cell r="T202">
            <v>1.132296</v>
          </cell>
          <cell r="U202">
            <v>1.6319663025059583</v>
          </cell>
          <cell r="V202">
            <v>0.910493</v>
          </cell>
          <cell r="W202">
            <v>0.96265699999999987</v>
          </cell>
          <cell r="X202">
            <v>1.190326</v>
          </cell>
          <cell r="Y202">
            <v>1.6603753268361054</v>
          </cell>
          <cell r="Z202">
            <v>0.87944</v>
          </cell>
          <cell r="AA202">
            <v>0.80060599999999993</v>
          </cell>
          <cell r="AB202">
            <v>0.90371400000000002</v>
          </cell>
          <cell r="AC202">
            <v>1.1754804864729338</v>
          </cell>
          <cell r="AD202">
            <v>0.68329499999999999</v>
          </cell>
          <cell r="AE202">
            <v>0.59434100000000001</v>
          </cell>
          <cell r="AF202">
            <v>0.67747400000000002</v>
          </cell>
          <cell r="AG202">
            <v>1.2131836991522693</v>
          </cell>
          <cell r="AH202">
            <v>0.70594099999999993</v>
          </cell>
          <cell r="AI202">
            <v>0.81249099999999996</v>
          </cell>
          <cell r="AJ202">
            <v>1.0329920000000001</v>
          </cell>
          <cell r="AK202">
            <v>1.2968223402745864</v>
          </cell>
          <cell r="AL202">
            <v>0.95927600000000002</v>
          </cell>
          <cell r="AM202">
            <v>1.013153</v>
          </cell>
          <cell r="AN202">
            <v>1.138477</v>
          </cell>
          <cell r="AO202">
            <v>1.2352289796715574</v>
          </cell>
          <cell r="AS202">
            <v>1.7848421899999998</v>
          </cell>
          <cell r="AW202">
            <v>2.6521767335944615</v>
          </cell>
          <cell r="BA202">
            <v>1.8902300056184325</v>
          </cell>
          <cell r="BE202">
            <v>1.4354743217391304</v>
          </cell>
        </row>
        <row r="203">
          <cell r="A203" t="str">
            <v>TRx</v>
          </cell>
          <cell r="B203">
            <v>208</v>
          </cell>
          <cell r="C203">
            <v>173</v>
          </cell>
          <cell r="D203">
            <v>191</v>
          </cell>
          <cell r="E203">
            <v>572</v>
          </cell>
          <cell r="F203">
            <v>217</v>
          </cell>
          <cell r="G203">
            <v>208</v>
          </cell>
          <cell r="H203">
            <v>202</v>
          </cell>
          <cell r="I203">
            <v>627</v>
          </cell>
          <cell r="J203">
            <v>200</v>
          </cell>
          <cell r="K203">
            <v>172</v>
          </cell>
          <cell r="L203">
            <v>181</v>
          </cell>
          <cell r="M203">
            <v>553</v>
          </cell>
          <cell r="N203">
            <v>191</v>
          </cell>
          <cell r="O203">
            <v>189</v>
          </cell>
          <cell r="P203">
            <v>216</v>
          </cell>
          <cell r="Q203">
            <v>596</v>
          </cell>
          <cell r="R203">
            <v>220</v>
          </cell>
          <cell r="S203">
            <v>233</v>
          </cell>
          <cell r="T203">
            <v>233</v>
          </cell>
          <cell r="U203">
            <v>686</v>
          </cell>
          <cell r="V203">
            <v>210</v>
          </cell>
          <cell r="W203">
            <v>204</v>
          </cell>
          <cell r="X203">
            <v>210</v>
          </cell>
          <cell r="Y203">
            <v>624</v>
          </cell>
          <cell r="Z203">
            <v>188</v>
          </cell>
          <cell r="AA203">
            <v>203</v>
          </cell>
          <cell r="AB203">
            <v>206</v>
          </cell>
          <cell r="AC203">
            <v>597</v>
          </cell>
          <cell r="AD203">
            <v>229</v>
          </cell>
          <cell r="AE203">
            <v>168</v>
          </cell>
          <cell r="AF203">
            <v>243</v>
          </cell>
          <cell r="AG203">
            <v>640</v>
          </cell>
          <cell r="AH203">
            <v>205</v>
          </cell>
          <cell r="AI203">
            <v>165</v>
          </cell>
          <cell r="AJ203">
            <v>220</v>
          </cell>
          <cell r="AK203">
            <v>590</v>
          </cell>
          <cell r="AL203">
            <v>194</v>
          </cell>
          <cell r="AM203">
            <v>181</v>
          </cell>
          <cell r="AN203">
            <v>203</v>
          </cell>
          <cell r="AO203">
            <v>578</v>
          </cell>
          <cell r="AP203">
            <v>191</v>
          </cell>
          <cell r="AQ203">
            <v>173</v>
          </cell>
          <cell r="AR203">
            <v>209</v>
          </cell>
          <cell r="AS203">
            <v>573</v>
          </cell>
          <cell r="AT203">
            <v>175</v>
          </cell>
          <cell r="AU203">
            <v>219</v>
          </cell>
          <cell r="AV203">
            <v>203</v>
          </cell>
          <cell r="AW203">
            <v>597</v>
          </cell>
          <cell r="AX203">
            <v>221</v>
          </cell>
          <cell r="AY203">
            <v>162</v>
          </cell>
          <cell r="AZ203">
            <v>209</v>
          </cell>
          <cell r="BA203">
            <v>592</v>
          </cell>
          <cell r="BB203">
            <v>166</v>
          </cell>
          <cell r="BC203">
            <v>220</v>
          </cell>
          <cell r="BD203">
            <v>220</v>
          </cell>
          <cell r="BE203">
            <v>606</v>
          </cell>
        </row>
        <row r="204">
          <cell r="A204" t="str">
            <v>Non-Derm Products</v>
          </cell>
          <cell r="R204">
            <v>5.7692307692307709E-2</v>
          </cell>
          <cell r="S204">
            <v>0.34682080924855496</v>
          </cell>
          <cell r="T204">
            <v>0.21989528795811508</v>
          </cell>
          <cell r="U204">
            <v>0.19930069930069938</v>
          </cell>
          <cell r="V204">
            <v>-3.2258064516129004E-2</v>
          </cell>
          <cell r="W204">
            <v>-1.9230769230769273E-2</v>
          </cell>
          <cell r="X204">
            <v>3.9603960396039639E-2</v>
          </cell>
          <cell r="Y204">
            <v>-4.784688995215336E-3</v>
          </cell>
          <cell r="Z204">
            <v>-6.0000000000000053E-2</v>
          </cell>
          <cell r="AA204">
            <v>0.18023255813953498</v>
          </cell>
          <cell r="AB204">
            <v>0.13812154696132595</v>
          </cell>
          <cell r="AC204">
            <v>7.9566003616636571E-2</v>
          </cell>
          <cell r="AD204">
            <v>0.19895287958115193</v>
          </cell>
          <cell r="AE204">
            <v>-0.11111111111111116</v>
          </cell>
          <cell r="AF204">
            <v>0.125</v>
          </cell>
          <cell r="AG204">
            <v>7.3825503355704702E-2</v>
          </cell>
          <cell r="AH204">
            <v>-6.8181818181818232E-2</v>
          </cell>
          <cell r="AI204">
            <v>-0.29184549356223177</v>
          </cell>
          <cell r="AJ204">
            <v>-5.579399141630903E-2</v>
          </cell>
          <cell r="AK204">
            <v>-0.13994169096209907</v>
          </cell>
          <cell r="AL204">
            <v>-7.6190476190476142E-2</v>
          </cell>
          <cell r="AM204">
            <v>-0.11274509803921573</v>
          </cell>
          <cell r="AN204">
            <v>-3.3333333333333326E-2</v>
          </cell>
          <cell r="AO204">
            <v>-7.3717948717948678E-2</v>
          </cell>
          <cell r="AP204">
            <v>1.5957446808510634E-2</v>
          </cell>
          <cell r="AQ204">
            <v>-0.14778325123152714</v>
          </cell>
          <cell r="AR204">
            <v>1.4563106796116498E-2</v>
          </cell>
          <cell r="AS204">
            <v>-4.020100502512558E-2</v>
          </cell>
          <cell r="AT204">
            <v>-0.23580786026200873</v>
          </cell>
          <cell r="AU204">
            <v>0.3035714285714286</v>
          </cell>
          <cell r="AV204">
            <v>-0.16460905349794241</v>
          </cell>
          <cell r="AW204">
            <v>-6.7187499999999997E-2</v>
          </cell>
          <cell r="AX204">
            <v>7.8048780487804947E-2</v>
          </cell>
          <cell r="AY204">
            <v>-1.8181818181818188E-2</v>
          </cell>
          <cell r="AZ204">
            <v>-0.05</v>
          </cell>
          <cell r="BA204">
            <v>3.3898305084745228E-3</v>
          </cell>
          <cell r="BB204">
            <v>-0.14432989690721654</v>
          </cell>
          <cell r="BC204">
            <v>0.21546961325966851</v>
          </cell>
          <cell r="BD204">
            <v>8.3743842364532028E-2</v>
          </cell>
          <cell r="BE204">
            <v>4.844290657439454E-2</v>
          </cell>
        </row>
        <row r="205">
          <cell r="A205" t="str">
            <v>Buphenyl</v>
          </cell>
          <cell r="B205">
            <v>66</v>
          </cell>
          <cell r="C205">
            <v>42</v>
          </cell>
          <cell r="D205">
            <v>41</v>
          </cell>
          <cell r="E205">
            <v>149</v>
          </cell>
          <cell r="F205">
            <v>67</v>
          </cell>
          <cell r="G205">
            <v>48</v>
          </cell>
          <cell r="H205">
            <v>62</v>
          </cell>
          <cell r="I205">
            <v>177</v>
          </cell>
          <cell r="J205">
            <v>58</v>
          </cell>
          <cell r="K205">
            <v>51</v>
          </cell>
          <cell r="L205">
            <v>18</v>
          </cell>
          <cell r="M205">
            <v>127</v>
          </cell>
          <cell r="N205">
            <v>90</v>
          </cell>
          <cell r="O205">
            <v>43</v>
          </cell>
          <cell r="P205">
            <v>63</v>
          </cell>
          <cell r="Q205">
            <v>196</v>
          </cell>
          <cell r="R205">
            <v>70</v>
          </cell>
          <cell r="S205">
            <v>86</v>
          </cell>
          <cell r="T205">
            <v>61</v>
          </cell>
          <cell r="U205">
            <v>217</v>
          </cell>
          <cell r="V205">
            <v>77</v>
          </cell>
          <cell r="W205">
            <v>67</v>
          </cell>
          <cell r="X205">
            <v>57</v>
          </cell>
          <cell r="Y205">
            <v>201</v>
          </cell>
          <cell r="Z205">
            <v>42</v>
          </cell>
          <cell r="AA205">
            <v>51</v>
          </cell>
          <cell r="AB205">
            <v>53</v>
          </cell>
          <cell r="AC205">
            <v>146</v>
          </cell>
          <cell r="AD205">
            <v>75</v>
          </cell>
          <cell r="AE205">
            <v>30</v>
          </cell>
          <cell r="AF205">
            <v>79</v>
          </cell>
          <cell r="AG205">
            <v>184</v>
          </cell>
          <cell r="AH205">
            <v>47</v>
          </cell>
          <cell r="AI205">
            <v>51</v>
          </cell>
          <cell r="AJ205">
            <v>75</v>
          </cell>
          <cell r="AK205">
            <v>173</v>
          </cell>
          <cell r="AL205">
            <v>66</v>
          </cell>
          <cell r="AM205">
            <v>39</v>
          </cell>
          <cell r="AN205">
            <v>63</v>
          </cell>
          <cell r="AO205">
            <v>168</v>
          </cell>
          <cell r="AP205">
            <v>39</v>
          </cell>
          <cell r="AQ205">
            <v>33</v>
          </cell>
          <cell r="AR205">
            <v>64</v>
          </cell>
          <cell r="AS205">
            <v>136</v>
          </cell>
          <cell r="AT205">
            <v>38</v>
          </cell>
          <cell r="AU205">
            <v>43</v>
          </cell>
          <cell r="AV205">
            <v>43</v>
          </cell>
          <cell r="AW205">
            <v>124</v>
          </cell>
          <cell r="AX205">
            <v>50</v>
          </cell>
          <cell r="AY205">
            <v>33</v>
          </cell>
          <cell r="AZ205">
            <v>54</v>
          </cell>
          <cell r="BA205">
            <v>137</v>
          </cell>
          <cell r="BB205">
            <v>50</v>
          </cell>
          <cell r="BC205">
            <v>41</v>
          </cell>
          <cell r="BD205">
            <v>82</v>
          </cell>
          <cell r="BE205">
            <v>173</v>
          </cell>
        </row>
        <row r="206">
          <cell r="A206" t="str">
            <v>TRx</v>
          </cell>
          <cell r="B206">
            <v>208</v>
          </cell>
          <cell r="C206">
            <v>173</v>
          </cell>
          <cell r="D206">
            <v>191</v>
          </cell>
          <cell r="E206">
            <v>572</v>
          </cell>
          <cell r="F206">
            <v>217</v>
          </cell>
          <cell r="G206">
            <v>208</v>
          </cell>
          <cell r="H206">
            <v>202</v>
          </cell>
          <cell r="I206">
            <v>627</v>
          </cell>
          <cell r="J206">
            <v>200</v>
          </cell>
          <cell r="K206">
            <v>172</v>
          </cell>
          <cell r="L206">
            <v>181</v>
          </cell>
          <cell r="M206">
            <v>553</v>
          </cell>
          <cell r="N206">
            <v>191</v>
          </cell>
          <cell r="O206">
            <v>189</v>
          </cell>
          <cell r="P206">
            <v>216</v>
          </cell>
          <cell r="Q206">
            <v>596</v>
          </cell>
          <cell r="R206">
            <v>220</v>
          </cell>
          <cell r="S206">
            <v>233</v>
          </cell>
          <cell r="T206">
            <v>233</v>
          </cell>
          <cell r="U206">
            <v>686</v>
          </cell>
          <cell r="V206">
            <v>210</v>
          </cell>
          <cell r="W206">
            <v>204</v>
          </cell>
          <cell r="X206">
            <v>210</v>
          </cell>
          <cell r="Y206">
            <v>624</v>
          </cell>
          <cell r="Z206">
            <v>188</v>
          </cell>
          <cell r="AA206">
            <v>203</v>
          </cell>
          <cell r="AB206">
            <v>206</v>
          </cell>
          <cell r="AC206">
            <v>597</v>
          </cell>
          <cell r="AD206">
            <v>229</v>
          </cell>
          <cell r="AE206">
            <v>168</v>
          </cell>
          <cell r="AF206">
            <v>243</v>
          </cell>
          <cell r="AG206">
            <v>640</v>
          </cell>
          <cell r="AH206">
            <v>205</v>
          </cell>
          <cell r="AI206">
            <v>165</v>
          </cell>
          <cell r="AJ206">
            <v>220</v>
          </cell>
          <cell r="AK206">
            <v>590</v>
          </cell>
          <cell r="AL206">
            <v>194</v>
          </cell>
          <cell r="AM206">
            <v>181</v>
          </cell>
          <cell r="AN206">
            <v>203</v>
          </cell>
          <cell r="AO206">
            <v>578</v>
          </cell>
          <cell r="AP206">
            <v>191</v>
          </cell>
          <cell r="AQ206">
            <v>173</v>
          </cell>
          <cell r="AR206">
            <v>209</v>
          </cell>
          <cell r="AS206">
            <v>573</v>
          </cell>
          <cell r="AT206">
            <v>175</v>
          </cell>
          <cell r="AU206">
            <v>219</v>
          </cell>
          <cell r="AV206">
            <v>203</v>
          </cell>
          <cell r="AW206">
            <v>597</v>
          </cell>
          <cell r="AX206">
            <v>221</v>
          </cell>
          <cell r="AY206">
            <v>162</v>
          </cell>
          <cell r="AZ206">
            <v>209</v>
          </cell>
          <cell r="BA206">
            <v>592</v>
          </cell>
          <cell r="BB206">
            <v>166</v>
          </cell>
          <cell r="BC206">
            <v>220</v>
          </cell>
          <cell r="BD206">
            <v>220</v>
          </cell>
          <cell r="BE206">
            <v>606</v>
          </cell>
        </row>
        <row r="207">
          <cell r="A207" t="str">
            <v xml:space="preserve">  % Change</v>
          </cell>
          <cell r="B207">
            <v>0.53381900000000004</v>
          </cell>
          <cell r="C207">
            <v>0.32267000000000001</v>
          </cell>
          <cell r="D207">
            <v>0.79575700000000005</v>
          </cell>
          <cell r="E207">
            <v>1.6522460000000001</v>
          </cell>
          <cell r="F207">
            <v>0.51546700000000001</v>
          </cell>
          <cell r="G207">
            <v>0.41042899999999999</v>
          </cell>
          <cell r="H207">
            <v>0.58405600000000002</v>
          </cell>
          <cell r="I207">
            <v>1.5099520000000002</v>
          </cell>
          <cell r="J207">
            <v>0.62854500000000002</v>
          </cell>
          <cell r="K207">
            <v>0.82705399999999996</v>
          </cell>
          <cell r="L207">
            <v>0.750973</v>
          </cell>
          <cell r="M207">
            <v>2.206572</v>
          </cell>
          <cell r="N207">
            <v>0.69069800000000003</v>
          </cell>
          <cell r="O207">
            <v>0.54840199999999995</v>
          </cell>
          <cell r="P207">
            <v>0.84094999999999998</v>
          </cell>
          <cell r="Q207">
            <v>2.08005</v>
          </cell>
          <cell r="R207">
            <v>5.7692307692307709E-2</v>
          </cell>
          <cell r="S207">
            <v>0.34682080924855496</v>
          </cell>
          <cell r="T207">
            <v>0.21989528795811508</v>
          </cell>
          <cell r="U207">
            <v>0.19930069930069938</v>
          </cell>
          <cell r="V207">
            <v>-3.2258064516129004E-2</v>
          </cell>
          <cell r="W207">
            <v>-1.9230769230769273E-2</v>
          </cell>
          <cell r="X207">
            <v>3.9603960396039639E-2</v>
          </cell>
          <cell r="Y207">
            <v>-4.784688995215336E-3</v>
          </cell>
          <cell r="Z207">
            <v>-6.0000000000000053E-2</v>
          </cell>
          <cell r="AA207">
            <v>0.18023255813953498</v>
          </cell>
          <cell r="AB207">
            <v>0.13812154696132595</v>
          </cell>
          <cell r="AC207">
            <v>7.9566003616636571E-2</v>
          </cell>
          <cell r="AD207">
            <v>0.19895287958115193</v>
          </cell>
          <cell r="AE207">
            <v>-0.11111111111111116</v>
          </cell>
          <cell r="AF207">
            <v>0.125</v>
          </cell>
          <cell r="AG207">
            <v>7.3825503355704702E-2</v>
          </cell>
          <cell r="AH207">
            <v>-6.8181818181818232E-2</v>
          </cell>
          <cell r="AI207">
            <v>-0.29184549356223177</v>
          </cell>
          <cell r="AJ207">
            <v>-5.579399141630903E-2</v>
          </cell>
          <cell r="AK207">
            <v>-0.13994169096209907</v>
          </cell>
          <cell r="AL207">
            <v>-7.6190476190476142E-2</v>
          </cell>
          <cell r="AM207">
            <v>-0.11274509803921573</v>
          </cell>
          <cell r="AN207">
            <v>-3.3333333333333326E-2</v>
          </cell>
          <cell r="AO207">
            <v>-7.3717948717948678E-2</v>
          </cell>
          <cell r="AP207">
            <v>1.5957446808510634E-2</v>
          </cell>
          <cell r="AQ207">
            <v>-0.14778325123152714</v>
          </cell>
          <cell r="AR207">
            <v>1.4563106796116498E-2</v>
          </cell>
          <cell r="AS207">
            <v>-4.020100502512558E-2</v>
          </cell>
          <cell r="AT207">
            <v>-0.23580786026200873</v>
          </cell>
          <cell r="AU207">
            <v>0.3035714285714286</v>
          </cell>
          <cell r="AV207">
            <v>-0.16460905349794241</v>
          </cell>
          <cell r="AW207">
            <v>-6.7187499999999997E-2</v>
          </cell>
          <cell r="AX207">
            <v>7.8048780487804947E-2</v>
          </cell>
          <cell r="AY207">
            <v>-1.8181818181818188E-2</v>
          </cell>
          <cell r="AZ207">
            <v>-0.05</v>
          </cell>
          <cell r="BA207">
            <v>3.3898305084745228E-3</v>
          </cell>
          <cell r="BB207">
            <v>-0.14432989690721654</v>
          </cell>
          <cell r="BC207">
            <v>0.21546961325966851</v>
          </cell>
          <cell r="BD207">
            <v>8.3743842364532028E-2</v>
          </cell>
          <cell r="BE207">
            <v>4.844290657439454E-2</v>
          </cell>
        </row>
        <row r="208">
          <cell r="A208" t="str">
            <v>NRx</v>
          </cell>
          <cell r="B208">
            <v>66</v>
          </cell>
          <cell r="C208">
            <v>42</v>
          </cell>
          <cell r="D208">
            <v>41</v>
          </cell>
          <cell r="E208">
            <v>149</v>
          </cell>
          <cell r="F208">
            <v>67</v>
          </cell>
          <cell r="G208">
            <v>48</v>
          </cell>
          <cell r="H208">
            <v>62</v>
          </cell>
          <cell r="I208">
            <v>177</v>
          </cell>
          <cell r="J208">
            <v>58</v>
          </cell>
          <cell r="K208">
            <v>51</v>
          </cell>
          <cell r="L208">
            <v>18</v>
          </cell>
          <cell r="M208">
            <v>127</v>
          </cell>
          <cell r="N208">
            <v>90</v>
          </cell>
          <cell r="O208">
            <v>43</v>
          </cell>
          <cell r="P208">
            <v>63</v>
          </cell>
          <cell r="Q208">
            <v>196</v>
          </cell>
          <cell r="R208">
            <v>70</v>
          </cell>
          <cell r="S208">
            <v>86</v>
          </cell>
          <cell r="T208">
            <v>61</v>
          </cell>
          <cell r="U208">
            <v>217</v>
          </cell>
          <cell r="V208">
            <v>77</v>
          </cell>
          <cell r="W208">
            <v>67</v>
          </cell>
          <cell r="X208">
            <v>57</v>
          </cell>
          <cell r="Y208">
            <v>201</v>
          </cell>
          <cell r="Z208">
            <v>42</v>
          </cell>
          <cell r="AA208">
            <v>51</v>
          </cell>
          <cell r="AB208">
            <v>53</v>
          </cell>
          <cell r="AC208">
            <v>146</v>
          </cell>
          <cell r="AD208">
            <v>75</v>
          </cell>
          <cell r="AE208">
            <v>30</v>
          </cell>
          <cell r="AF208">
            <v>79</v>
          </cell>
          <cell r="AG208">
            <v>184</v>
          </cell>
          <cell r="AH208">
            <v>47</v>
          </cell>
          <cell r="AI208">
            <v>51</v>
          </cell>
          <cell r="AJ208">
            <v>75</v>
          </cell>
          <cell r="AK208">
            <v>173</v>
          </cell>
          <cell r="AL208">
            <v>66</v>
          </cell>
          <cell r="AM208">
            <v>39</v>
          </cell>
          <cell r="AN208">
            <v>63</v>
          </cell>
          <cell r="AO208">
            <v>168</v>
          </cell>
          <cell r="AP208">
            <v>39</v>
          </cell>
          <cell r="AQ208">
            <v>33</v>
          </cell>
          <cell r="AR208">
            <v>64</v>
          </cell>
          <cell r="AS208">
            <v>136</v>
          </cell>
          <cell r="AT208">
            <v>38</v>
          </cell>
          <cell r="AU208">
            <v>43</v>
          </cell>
          <cell r="AV208">
            <v>43</v>
          </cell>
          <cell r="AW208">
            <v>124</v>
          </cell>
          <cell r="AX208">
            <v>50</v>
          </cell>
          <cell r="AY208">
            <v>33</v>
          </cell>
          <cell r="AZ208">
            <v>54</v>
          </cell>
          <cell r="BA208">
            <v>137</v>
          </cell>
          <cell r="BB208">
            <v>50</v>
          </cell>
          <cell r="BC208">
            <v>41</v>
          </cell>
          <cell r="BD208">
            <v>82</v>
          </cell>
          <cell r="BE208">
            <v>173</v>
          </cell>
        </row>
        <row r="209">
          <cell r="A209" t="str">
            <v xml:space="preserve">  % Change</v>
          </cell>
          <cell r="R209">
            <v>6.0606060606060552E-2</v>
          </cell>
          <cell r="S209">
            <v>1.0476190476190474</v>
          </cell>
          <cell r="T209">
            <v>0.48780487804878048</v>
          </cell>
          <cell r="U209">
            <v>0.4563758389261745</v>
          </cell>
          <cell r="V209">
            <v>0.14925373134328357</v>
          </cell>
          <cell r="W209">
            <v>0.39583333333333326</v>
          </cell>
          <cell r="X209">
            <v>-8.064516129032262E-2</v>
          </cell>
          <cell r="Y209">
            <v>0.13559322033898313</v>
          </cell>
          <cell r="Z209">
            <v>-0.27586206896551724</v>
          </cell>
          <cell r="AA209">
            <v>0</v>
          </cell>
          <cell r="AB209">
            <v>1.9444444444444446</v>
          </cell>
          <cell r="AC209">
            <v>0.14960629921259838</v>
          </cell>
          <cell r="AD209">
            <v>-0.16666666666666663</v>
          </cell>
          <cell r="AE209">
            <v>-0.30232558139534882</v>
          </cell>
          <cell r="AF209">
            <v>0.25396825396825395</v>
          </cell>
          <cell r="AG209">
            <v>-6.1224489795918324E-2</v>
          </cell>
          <cell r="AH209">
            <v>-0.32857142857142863</v>
          </cell>
          <cell r="AI209">
            <v>-0.40697674418604646</v>
          </cell>
          <cell r="AJ209">
            <v>0.22950819672131151</v>
          </cell>
          <cell r="AK209">
            <v>-0.20276497695852536</v>
          </cell>
          <cell r="AL209">
            <v>-0.1428571428571429</v>
          </cell>
          <cell r="AM209">
            <v>-0.41791044776119401</v>
          </cell>
          <cell r="AN209">
            <v>0.10526315789473695</v>
          </cell>
          <cell r="AO209">
            <v>-0.16417910447761197</v>
          </cell>
          <cell r="AP209">
            <v>-7.1428571428571397E-2</v>
          </cell>
          <cell r="AQ209">
            <v>-0.3529411764705882</v>
          </cell>
          <cell r="AR209">
            <v>0.20754716981132071</v>
          </cell>
          <cell r="AS209">
            <v>-6.8493150684931559E-2</v>
          </cell>
          <cell r="AT209">
            <v>-0.49333333333333329</v>
          </cell>
          <cell r="AU209">
            <v>0.43333333333333335</v>
          </cell>
          <cell r="AV209">
            <v>-0.45569620253164556</v>
          </cell>
          <cell r="AW209">
            <v>-0.32608695652173914</v>
          </cell>
          <cell r="AX209">
            <v>6.3829787234042534E-2</v>
          </cell>
          <cell r="AY209">
            <v>-0.3529411764705882</v>
          </cell>
          <cell r="AZ209">
            <v>-0.28000000000000003</v>
          </cell>
          <cell r="BA209">
            <v>-0.20809248554913296</v>
          </cell>
          <cell r="BB209">
            <v>-0.24242424242424243</v>
          </cell>
          <cell r="BC209">
            <v>5.1282051282051322E-2</v>
          </cell>
          <cell r="BD209">
            <v>0.30158730158730163</v>
          </cell>
          <cell r="BE209">
            <v>2.9761904761904656E-2</v>
          </cell>
        </row>
        <row r="210">
          <cell r="A210" t="str">
            <v>Sales (IMS)</v>
          </cell>
          <cell r="B210">
            <v>0.53381900000000004</v>
          </cell>
          <cell r="C210">
            <v>0.32267000000000001</v>
          </cell>
          <cell r="D210">
            <v>0.79575700000000005</v>
          </cell>
          <cell r="E210">
            <v>1.6522460000000001</v>
          </cell>
          <cell r="F210">
            <v>0.51546700000000001</v>
          </cell>
          <cell r="G210">
            <v>0.41042899999999999</v>
          </cell>
          <cell r="H210">
            <v>0.58405600000000002</v>
          </cell>
          <cell r="I210">
            <v>1.5099520000000002</v>
          </cell>
          <cell r="J210">
            <v>0.62854500000000002</v>
          </cell>
          <cell r="K210">
            <v>0.82705399999999996</v>
          </cell>
          <cell r="L210">
            <v>0.750973</v>
          </cell>
          <cell r="M210">
            <v>2.206572</v>
          </cell>
          <cell r="N210">
            <v>0.69069800000000003</v>
          </cell>
          <cell r="O210">
            <v>0.54840199999999995</v>
          </cell>
          <cell r="P210">
            <v>0.84094999999999998</v>
          </cell>
          <cell r="Q210">
            <v>2.08005</v>
          </cell>
          <cell r="R210">
            <v>0.95951799999999998</v>
          </cell>
          <cell r="S210">
            <v>0.85801300000000003</v>
          </cell>
          <cell r="T210">
            <v>0.97369000000000006</v>
          </cell>
          <cell r="U210">
            <v>2.7912210000000002</v>
          </cell>
          <cell r="V210">
            <v>0.66854000000000002</v>
          </cell>
          <cell r="W210">
            <v>0.62171799999999999</v>
          </cell>
          <cell r="X210">
            <v>1.049596</v>
          </cell>
          <cell r="Y210">
            <v>2.3398539999999999</v>
          </cell>
          <cell r="Z210">
            <v>0.67551000000000005</v>
          </cell>
          <cell r="AA210">
            <v>0.59157800000000005</v>
          </cell>
          <cell r="AB210">
            <v>1.098052</v>
          </cell>
          <cell r="AC210">
            <v>2.3651400000000002</v>
          </cell>
          <cell r="AD210">
            <v>0.84331</v>
          </cell>
          <cell r="AE210">
            <v>0.72899599999999998</v>
          </cell>
          <cell r="AF210">
            <v>0.78143499999999999</v>
          </cell>
          <cell r="AG210">
            <v>2.3537409999999999</v>
          </cell>
          <cell r="AH210">
            <v>0.84037099999999998</v>
          </cell>
          <cell r="AI210">
            <v>0.77123399999999998</v>
          </cell>
          <cell r="AJ210">
            <v>0.917184</v>
          </cell>
          <cell r="AK210">
            <v>2.5287889999999997</v>
          </cell>
          <cell r="AL210">
            <v>0.98888699999999996</v>
          </cell>
          <cell r="AM210">
            <v>0.89723600000000003</v>
          </cell>
          <cell r="AN210">
            <v>0.96767999999999998</v>
          </cell>
          <cell r="AO210">
            <v>2.8538030000000001</v>
          </cell>
          <cell r="AP210">
            <v>0.87230700000000005</v>
          </cell>
          <cell r="AQ210">
            <v>0.80850999999999995</v>
          </cell>
          <cell r="AR210">
            <v>1.280767</v>
          </cell>
          <cell r="AS210">
            <v>2.9615840000000002</v>
          </cell>
          <cell r="AT210">
            <v>0.87920299999999996</v>
          </cell>
          <cell r="AU210">
            <v>0.83191499999999996</v>
          </cell>
          <cell r="AV210">
            <v>1.0128699999999999</v>
          </cell>
          <cell r="AW210">
            <v>2.7239879999999999</v>
          </cell>
          <cell r="AX210">
            <v>1.00776</v>
          </cell>
          <cell r="AY210">
            <v>0.78675700000000004</v>
          </cell>
          <cell r="AZ210">
            <v>1.0744339999999999</v>
          </cell>
          <cell r="BA210">
            <v>2.868951</v>
          </cell>
          <cell r="BB210">
            <v>1.1004100000000001</v>
          </cell>
          <cell r="BC210">
            <v>0.74920600000000004</v>
          </cell>
          <cell r="BD210">
            <v>1.4316139999999999</v>
          </cell>
          <cell r="BE210">
            <v>3.2812299999999999</v>
          </cell>
        </row>
        <row r="211">
          <cell r="A211" t="str">
            <v xml:space="preserve">  % Change</v>
          </cell>
          <cell r="R211">
            <v>0.79745943849881673</v>
          </cell>
          <cell r="S211">
            <v>1.65910372826727</v>
          </cell>
          <cell r="T211">
            <v>0.22360218006250654</v>
          </cell>
          <cell r="U211">
            <v>0.68934952785481096</v>
          </cell>
          <cell r="V211">
            <v>0.29695984418013177</v>
          </cell>
          <cell r="W211">
            <v>0.51480036742043089</v>
          </cell>
          <cell r="X211">
            <v>0.79708110181215486</v>
          </cell>
          <cell r="Y211">
            <v>0.54962144492010312</v>
          </cell>
          <cell r="Z211">
            <v>7.4720187098775703E-2</v>
          </cell>
          <cell r="AA211">
            <v>-0.28471659649793113</v>
          </cell>
          <cell r="AB211">
            <v>0.46217240832892803</v>
          </cell>
          <cell r="AC211">
            <v>7.1861693160250484E-2</v>
          </cell>
          <cell r="AD211">
            <v>0.22095329652033158</v>
          </cell>
          <cell r="AE211">
            <v>0.32930952111772038</v>
          </cell>
          <cell r="AF211">
            <v>-7.0771151673702293E-2</v>
          </cell>
          <cell r="AG211">
            <v>0.13157904858056302</v>
          </cell>
          <cell r="AH211">
            <v>-0.12417380393072353</v>
          </cell>
          <cell r="AI211">
            <v>-0.1011394932244617</v>
          </cell>
          <cell r="AJ211">
            <v>-5.8032844129034977E-2</v>
          </cell>
          <cell r="AK211">
            <v>-9.402050213866997E-2</v>
          </cell>
          <cell r="AL211">
            <v>0.47917402100098716</v>
          </cell>
          <cell r="AM211">
            <v>0.44315590026346352</v>
          </cell>
          <cell r="AN211">
            <v>-7.8045266940803937E-2</v>
          </cell>
          <cell r="AO211">
            <v>0.21965002944628176</v>
          </cell>
          <cell r="AP211">
            <v>0.29133099435981702</v>
          </cell>
          <cell r="AQ211">
            <v>0.3667005872429332</v>
          </cell>
          <cell r="AR211">
            <v>0.16639922335189961</v>
          </cell>
          <cell r="AS211">
            <v>0.25218126622525516</v>
          </cell>
          <cell r="AT211">
            <v>4.2562047171265549E-2</v>
          </cell>
          <cell r="AU211">
            <v>0.1411791011198964</v>
          </cell>
          <cell r="AV211">
            <v>0.29616666773308076</v>
          </cell>
          <cell r="AW211">
            <v>0.15730150428615564</v>
          </cell>
          <cell r="AX211">
            <v>0.19918464582904449</v>
          </cell>
          <cell r="AY211">
            <v>2.0127484006151164E-2</v>
          </cell>
          <cell r="AZ211">
            <v>0.17144869513641736</v>
          </cell>
          <cell r="BA211">
            <v>0.13451577019672278</v>
          </cell>
          <cell r="BB211">
            <v>0.1127762828311023</v>
          </cell>
          <cell r="BC211">
            <v>-0.16498446339647543</v>
          </cell>
          <cell r="BD211">
            <v>0.47942915013227516</v>
          </cell>
          <cell r="BE211">
            <v>0.14977452893559917</v>
          </cell>
        </row>
        <row r="212">
          <cell r="A212" t="str">
            <v>Price Change</v>
          </cell>
          <cell r="U212">
            <v>0</v>
          </cell>
          <cell r="Y212">
            <v>0</v>
          </cell>
          <cell r="AC212">
            <v>0</v>
          </cell>
          <cell r="AG212">
            <v>0</v>
          </cell>
          <cell r="AK212">
            <v>0</v>
          </cell>
          <cell r="AO212">
            <v>0</v>
          </cell>
          <cell r="AS212">
            <v>0</v>
          </cell>
          <cell r="AW212">
            <v>0</v>
          </cell>
          <cell r="BA212">
            <v>0</v>
          </cell>
          <cell r="BB212">
            <v>0.161163</v>
          </cell>
          <cell r="BC212">
            <v>0.26263799999999998</v>
          </cell>
          <cell r="BE212">
            <v>0</v>
          </cell>
        </row>
        <row r="213">
          <cell r="A213" t="str">
            <v>Yr/Yr:</v>
          </cell>
        </row>
        <row r="214">
          <cell r="A214" t="str">
            <v>Ammonul</v>
          </cell>
          <cell r="BE214">
            <v>-0.25490425435757824</v>
          </cell>
        </row>
        <row r="215">
          <cell r="A215" t="str">
            <v>Sales (IMS)</v>
          </cell>
          <cell r="B215">
            <v>156772</v>
          </cell>
          <cell r="C215">
            <v>154879</v>
          </cell>
          <cell r="D215">
            <v>139096</v>
          </cell>
          <cell r="E215">
            <v>450747</v>
          </cell>
          <cell r="F215">
            <v>126261</v>
          </cell>
          <cell r="G215">
            <v>127063</v>
          </cell>
          <cell r="H215">
            <v>91968</v>
          </cell>
          <cell r="I215">
            <v>345292</v>
          </cell>
          <cell r="J215">
            <v>78606</v>
          </cell>
          <cell r="K215">
            <v>84755</v>
          </cell>
          <cell r="L215">
            <v>119970</v>
          </cell>
          <cell r="M215">
            <v>283331</v>
          </cell>
          <cell r="N215">
            <v>183970</v>
          </cell>
          <cell r="O215">
            <v>212553</v>
          </cell>
          <cell r="P215">
            <v>217555</v>
          </cell>
          <cell r="Q215">
            <v>614078</v>
          </cell>
          <cell r="R215">
            <v>203024</v>
          </cell>
          <cell r="S215">
            <v>206669</v>
          </cell>
          <cell r="T215">
            <v>198494</v>
          </cell>
          <cell r="U215">
            <v>608187</v>
          </cell>
          <cell r="V215">
            <v>173416</v>
          </cell>
          <cell r="W215">
            <v>165624</v>
          </cell>
          <cell r="X215">
            <v>126879</v>
          </cell>
          <cell r="Y215">
            <v>465919</v>
          </cell>
          <cell r="Z215">
            <v>96398</v>
          </cell>
          <cell r="AA215">
            <v>119042</v>
          </cell>
          <cell r="AB215">
            <v>205276</v>
          </cell>
          <cell r="AC215">
            <v>420716</v>
          </cell>
          <cell r="AD215">
            <v>252681</v>
          </cell>
          <cell r="AE215">
            <v>246127</v>
          </cell>
          <cell r="AF215">
            <v>287532</v>
          </cell>
          <cell r="AG215">
            <v>786340</v>
          </cell>
          <cell r="AH215">
            <v>217274</v>
          </cell>
          <cell r="AI215">
            <v>237713</v>
          </cell>
          <cell r="AJ215">
            <v>228597</v>
          </cell>
          <cell r="AK215">
            <v>683584</v>
          </cell>
          <cell r="AL215">
            <v>188651</v>
          </cell>
          <cell r="AM215">
            <v>182457</v>
          </cell>
          <cell r="AO215">
            <v>371108</v>
          </cell>
          <cell r="BB215">
            <v>0.161163</v>
          </cell>
          <cell r="BC215">
            <v>0.26263799999999998</v>
          </cell>
          <cell r="BD215">
            <v>0.29489199999999999</v>
          </cell>
          <cell r="BE215">
            <v>0.71869300000000003</v>
          </cell>
        </row>
        <row r="216">
          <cell r="A216" t="str">
            <v xml:space="preserve">  % Change</v>
          </cell>
          <cell r="R216">
            <v>0.29502717321970762</v>
          </cell>
          <cell r="S216">
            <v>0.33439007224994999</v>
          </cell>
          <cell r="T216">
            <v>0.42702881463162123</v>
          </cell>
          <cell r="U216">
            <v>0.3492868504948452</v>
          </cell>
          <cell r="V216">
            <v>0.37347241032464495</v>
          </cell>
          <cell r="W216">
            <v>0.30347937637235067</v>
          </cell>
          <cell r="X216">
            <v>0.37959942588726503</v>
          </cell>
          <cell r="Y216">
            <v>0.34934779838513497</v>
          </cell>
          <cell r="Z216">
            <v>0.22634404498384342</v>
          </cell>
          <cell r="AA216">
            <v>0.40454250486696952</v>
          </cell>
          <cell r="AB216">
            <v>0.71106109860798528</v>
          </cell>
          <cell r="AC216">
            <v>0.48489222852423497</v>
          </cell>
          <cell r="AD216">
            <v>0.37349024297439803</v>
          </cell>
          <cell r="AE216">
            <v>0.15795589805836663</v>
          </cell>
          <cell r="AF216">
            <v>0.32165199604697658</v>
          </cell>
          <cell r="AG216">
            <v>0.28052136699246666</v>
          </cell>
          <cell r="AH216">
            <v>7.0188746158089677E-2</v>
          </cell>
          <cell r="AI216">
            <v>0.15021120729282078</v>
          </cell>
          <cell r="AJ216">
            <v>0.15165697703708925</v>
          </cell>
          <cell r="AK216">
            <v>0.12397009472415554</v>
          </cell>
          <cell r="AL216">
            <v>8.7852331964755281E-2</v>
          </cell>
          <cell r="AM216">
            <v>0.10163382118533537</v>
          </cell>
          <cell r="AO216">
            <v>-0.20349245255076531</v>
          </cell>
          <cell r="BE216">
            <v>24.959309902931022</v>
          </cell>
        </row>
        <row r="217">
          <cell r="A217" t="str">
            <v>Orapred</v>
          </cell>
          <cell r="B217">
            <v>154615</v>
          </cell>
          <cell r="C217">
            <v>152622</v>
          </cell>
          <cell r="D217">
            <v>137144</v>
          </cell>
          <cell r="E217">
            <v>444381</v>
          </cell>
          <cell r="F217">
            <v>124617</v>
          </cell>
          <cell r="G217">
            <v>125138</v>
          </cell>
          <cell r="H217">
            <v>90374</v>
          </cell>
          <cell r="I217">
            <v>340129</v>
          </cell>
          <cell r="J217">
            <v>77249</v>
          </cell>
          <cell r="K217">
            <v>83291</v>
          </cell>
          <cell r="L217">
            <v>118345</v>
          </cell>
          <cell r="M217">
            <v>278885</v>
          </cell>
          <cell r="N217">
            <v>181572</v>
          </cell>
          <cell r="O217">
            <v>209589</v>
          </cell>
          <cell r="P217">
            <v>214590</v>
          </cell>
          <cell r="Q217">
            <v>605751</v>
          </cell>
          <cell r="R217">
            <v>200080</v>
          </cell>
          <cell r="S217">
            <v>203700</v>
          </cell>
          <cell r="T217">
            <v>195499</v>
          </cell>
          <cell r="U217">
            <v>599279</v>
          </cell>
          <cell r="V217">
            <v>170623</v>
          </cell>
          <cell r="W217">
            <v>162834</v>
          </cell>
          <cell r="X217">
            <v>124476</v>
          </cell>
          <cell r="Y217">
            <v>457933</v>
          </cell>
          <cell r="Z217">
            <v>94567</v>
          </cell>
          <cell r="AA217">
            <v>116876</v>
          </cell>
          <cell r="AB217">
            <v>202074</v>
          </cell>
          <cell r="AC217">
            <v>413517</v>
          </cell>
          <cell r="AD217">
            <v>248691</v>
          </cell>
          <cell r="AE217">
            <v>242280</v>
          </cell>
          <cell r="AF217">
            <v>283033</v>
          </cell>
          <cell r="AG217">
            <v>774004</v>
          </cell>
          <cell r="AH217">
            <v>213382</v>
          </cell>
          <cell r="AI217">
            <v>233675</v>
          </cell>
          <cell r="AJ217">
            <v>224581</v>
          </cell>
          <cell r="AK217">
            <v>671638</v>
          </cell>
          <cell r="AL217">
            <v>185192</v>
          </cell>
          <cell r="AM217">
            <v>179338</v>
          </cell>
          <cell r="AO217">
            <v>364530</v>
          </cell>
          <cell r="BE217">
            <v>0</v>
          </cell>
        </row>
        <row r="218">
          <cell r="A218" t="str">
            <v>TRx3</v>
          </cell>
          <cell r="B218">
            <v>156772</v>
          </cell>
          <cell r="C218">
            <v>154879</v>
          </cell>
          <cell r="D218">
            <v>139096</v>
          </cell>
          <cell r="E218">
            <v>450747</v>
          </cell>
          <cell r="F218">
            <v>126261</v>
          </cell>
          <cell r="G218">
            <v>127063</v>
          </cell>
          <cell r="H218">
            <v>91968</v>
          </cell>
          <cell r="I218">
            <v>345292</v>
          </cell>
          <cell r="J218">
            <v>78606</v>
          </cell>
          <cell r="K218">
            <v>84755</v>
          </cell>
          <cell r="L218">
            <v>119970</v>
          </cell>
          <cell r="M218">
            <v>283331</v>
          </cell>
          <cell r="N218">
            <v>183970</v>
          </cell>
          <cell r="O218">
            <v>212553</v>
          </cell>
          <cell r="P218">
            <v>217555</v>
          </cell>
          <cell r="Q218">
            <v>614078</v>
          </cell>
          <cell r="R218">
            <v>203024</v>
          </cell>
          <cell r="S218">
            <v>206669</v>
          </cell>
          <cell r="T218">
            <v>198494</v>
          </cell>
          <cell r="U218">
            <v>608187</v>
          </cell>
          <cell r="V218">
            <v>173416</v>
          </cell>
          <cell r="W218">
            <v>165624</v>
          </cell>
          <cell r="X218">
            <v>126879</v>
          </cell>
          <cell r="Y218">
            <v>465919</v>
          </cell>
          <cell r="Z218">
            <v>96398</v>
          </cell>
          <cell r="AA218">
            <v>119042</v>
          </cell>
          <cell r="AB218">
            <v>205276</v>
          </cell>
          <cell r="AC218">
            <v>420716</v>
          </cell>
          <cell r="AD218">
            <v>252681</v>
          </cell>
          <cell r="AE218">
            <v>246127</v>
          </cell>
          <cell r="AF218">
            <v>287532</v>
          </cell>
          <cell r="AG218">
            <v>786340</v>
          </cell>
          <cell r="AH218">
            <v>217274</v>
          </cell>
          <cell r="AI218">
            <v>237713</v>
          </cell>
          <cell r="AJ218">
            <v>228597</v>
          </cell>
          <cell r="AK218">
            <v>683584</v>
          </cell>
          <cell r="AL218">
            <v>188651</v>
          </cell>
          <cell r="AM218">
            <v>182457</v>
          </cell>
          <cell r="AO218">
            <v>371108</v>
          </cell>
          <cell r="BE218">
            <v>-0.25490425435757824</v>
          </cell>
        </row>
        <row r="219">
          <cell r="A219" t="str">
            <v xml:space="preserve">  % Change</v>
          </cell>
          <cell r="B219">
            <v>2.1498390000000001</v>
          </cell>
          <cell r="C219">
            <v>2.568886</v>
          </cell>
          <cell r="D219">
            <v>2.9129839999999998</v>
          </cell>
          <cell r="E219">
            <v>7.6317089999999999</v>
          </cell>
          <cell r="F219">
            <v>2.0105689999999998</v>
          </cell>
          <cell r="G219">
            <v>2.360007</v>
          </cell>
          <cell r="H219">
            <v>2.1948289999999999</v>
          </cell>
          <cell r="I219">
            <v>6.5654050000000002</v>
          </cell>
          <cell r="J219">
            <v>1.3281700000000001</v>
          </cell>
          <cell r="K219">
            <v>1.511147</v>
          </cell>
          <cell r="L219">
            <v>3.004537</v>
          </cell>
          <cell r="M219">
            <v>5.8438540000000003</v>
          </cell>
          <cell r="N219">
            <v>3.6382279999999998</v>
          </cell>
          <cell r="O219">
            <v>4.2147610000000002</v>
          </cell>
          <cell r="P219">
            <v>4.9903490000000001</v>
          </cell>
          <cell r="Q219">
            <v>12.843337999999999</v>
          </cell>
          <cell r="R219">
            <v>0.29502717321970762</v>
          </cell>
          <cell r="S219">
            <v>0.33439007224994999</v>
          </cell>
          <cell r="T219">
            <v>0.42702881463162123</v>
          </cell>
          <cell r="U219">
            <v>0.3492868504948452</v>
          </cell>
          <cell r="V219">
            <v>0.37347241032464495</v>
          </cell>
          <cell r="W219">
            <v>0.30347937637235067</v>
          </cell>
          <cell r="X219">
            <v>0.37959942588726503</v>
          </cell>
          <cell r="Y219">
            <v>0.34934779838513497</v>
          </cell>
          <cell r="Z219">
            <v>0.22634404498384342</v>
          </cell>
          <cell r="AA219">
            <v>0.40454250486696952</v>
          </cell>
          <cell r="AB219">
            <v>0.71106109860798528</v>
          </cell>
          <cell r="AC219">
            <v>0.48489222852423497</v>
          </cell>
          <cell r="AD219">
            <v>0.37349024297439803</v>
          </cell>
          <cell r="AE219">
            <v>0.15795589805836663</v>
          </cell>
          <cell r="AF219">
            <v>0.32165199604697658</v>
          </cell>
          <cell r="AG219">
            <v>0.28052136699246666</v>
          </cell>
          <cell r="AH219">
            <v>7.0188746158089677E-2</v>
          </cell>
          <cell r="AI219">
            <v>0.15021120729282078</v>
          </cell>
          <cell r="AJ219">
            <v>0.15165697703708925</v>
          </cell>
          <cell r="AK219">
            <v>0.12397009472415554</v>
          </cell>
          <cell r="AL219">
            <v>8.7852331964755281E-2</v>
          </cell>
          <cell r="AM219">
            <v>0.10163382118533537</v>
          </cell>
          <cell r="AO219">
            <v>-0.20349245255076531</v>
          </cell>
          <cell r="BE219">
            <v>24.959309902931022</v>
          </cell>
        </row>
        <row r="220">
          <cell r="A220" t="str">
            <v>NRx</v>
          </cell>
          <cell r="B220">
            <v>154615</v>
          </cell>
          <cell r="C220">
            <v>152622</v>
          </cell>
          <cell r="D220">
            <v>137144</v>
          </cell>
          <cell r="E220">
            <v>444381</v>
          </cell>
          <cell r="F220">
            <v>124617</v>
          </cell>
          <cell r="G220">
            <v>125138</v>
          </cell>
          <cell r="H220">
            <v>90374</v>
          </cell>
          <cell r="I220">
            <v>340129</v>
          </cell>
          <cell r="J220">
            <v>77249</v>
          </cell>
          <cell r="K220">
            <v>83291</v>
          </cell>
          <cell r="L220">
            <v>118345</v>
          </cell>
          <cell r="M220">
            <v>278885</v>
          </cell>
          <cell r="N220">
            <v>181572</v>
          </cell>
          <cell r="O220">
            <v>209589</v>
          </cell>
          <cell r="P220">
            <v>214590</v>
          </cell>
          <cell r="Q220">
            <v>605751</v>
          </cell>
          <cell r="R220">
            <v>200080</v>
          </cell>
          <cell r="S220">
            <v>203700</v>
          </cell>
          <cell r="T220">
            <v>195499</v>
          </cell>
          <cell r="U220">
            <v>599279</v>
          </cell>
          <cell r="V220">
            <v>170623</v>
          </cell>
          <cell r="W220">
            <v>162834</v>
          </cell>
          <cell r="X220">
            <v>124476</v>
          </cell>
          <cell r="Y220">
            <v>457933</v>
          </cell>
          <cell r="Z220">
            <v>94567</v>
          </cell>
          <cell r="AA220">
            <v>116876</v>
          </cell>
          <cell r="AB220">
            <v>202074</v>
          </cell>
          <cell r="AC220">
            <v>413517</v>
          </cell>
          <cell r="AD220">
            <v>248691</v>
          </cell>
          <cell r="AE220">
            <v>242280</v>
          </cell>
          <cell r="AF220">
            <v>283033</v>
          </cell>
          <cell r="AG220">
            <v>774004</v>
          </cell>
          <cell r="AH220">
            <v>213382</v>
          </cell>
          <cell r="AI220">
            <v>233675</v>
          </cell>
          <cell r="AJ220">
            <v>224581</v>
          </cell>
          <cell r="AK220">
            <v>671638</v>
          </cell>
          <cell r="AL220">
            <v>185192</v>
          </cell>
          <cell r="AM220">
            <v>179338</v>
          </cell>
          <cell r="AO220">
            <v>364530</v>
          </cell>
        </row>
        <row r="221">
          <cell r="A221" t="str">
            <v xml:space="preserve">  % Change</v>
          </cell>
          <cell r="R221">
            <v>0.29405297028102062</v>
          </cell>
          <cell r="S221">
            <v>0.33466996894287848</v>
          </cell>
          <cell r="T221">
            <v>0.42550166248614585</v>
          </cell>
          <cell r="U221">
            <v>0.34857025840438727</v>
          </cell>
          <cell r="V221">
            <v>0.36917916496144176</v>
          </cell>
          <cell r="W221">
            <v>0.30123543607856917</v>
          </cell>
          <cell r="X221">
            <v>0.37734304114015083</v>
          </cell>
          <cell r="Y221">
            <v>0.34635094331856453</v>
          </cell>
          <cell r="Z221">
            <v>0.2241841318334219</v>
          </cell>
          <cell r="AA221">
            <v>0.40322483821781474</v>
          </cell>
          <cell r="AB221">
            <v>0.70749926063627533</v>
          </cell>
          <cell r="AC221">
            <v>0.4827509546945874</v>
          </cell>
          <cell r="AD221">
            <v>0.36965501288744962</v>
          </cell>
          <cell r="AE221">
            <v>0.1559766972503327</v>
          </cell>
          <cell r="AF221">
            <v>0.31894776084626497</v>
          </cell>
          <cell r="AG221">
            <v>0.27775934336055563</v>
          </cell>
          <cell r="AH221">
            <v>6.6483406637344977E-2</v>
          </cell>
          <cell r="AI221">
            <v>0.14715267550319089</v>
          </cell>
          <cell r="AJ221">
            <v>0.14875779415751489</v>
          </cell>
          <cell r="AK221">
            <v>0.12074342668439919</v>
          </cell>
          <cell r="AL221">
            <v>8.53870814602955E-2</v>
          </cell>
          <cell r="AM221">
            <v>0.10135475392117121</v>
          </cell>
          <cell r="AO221">
            <v>-0.20396651911960917</v>
          </cell>
        </row>
        <row r="222">
          <cell r="A222" t="str">
            <v>Sales (IMS)</v>
          </cell>
          <cell r="B222">
            <v>2.1498390000000001</v>
          </cell>
          <cell r="C222">
            <v>2.568886</v>
          </cell>
          <cell r="D222">
            <v>2.9129839999999998</v>
          </cell>
          <cell r="E222">
            <v>7.6317089999999999</v>
          </cell>
          <cell r="F222">
            <v>2.0105689999999998</v>
          </cell>
          <cell r="G222">
            <v>2.360007</v>
          </cell>
          <cell r="H222">
            <v>2.1948289999999999</v>
          </cell>
          <cell r="I222">
            <v>6.5654050000000002</v>
          </cell>
          <cell r="J222">
            <v>1.3281700000000001</v>
          </cell>
          <cell r="K222">
            <v>1.511147</v>
          </cell>
          <cell r="L222">
            <v>3.004537</v>
          </cell>
          <cell r="M222">
            <v>5.8438540000000003</v>
          </cell>
          <cell r="N222">
            <v>3.6382279999999998</v>
          </cell>
          <cell r="O222">
            <v>4.2147610000000002</v>
          </cell>
          <cell r="P222">
            <v>4.9903490000000001</v>
          </cell>
          <cell r="Q222">
            <v>12.843337999999999</v>
          </cell>
          <cell r="R222">
            <v>3.936172</v>
          </cell>
          <cell r="S222">
            <v>4.577439</v>
          </cell>
          <cell r="T222">
            <v>4.740532</v>
          </cell>
          <cell r="U222">
            <v>13.254143000000001</v>
          </cell>
          <cell r="V222">
            <v>3.5932270000000002</v>
          </cell>
          <cell r="W222">
            <v>3.4829810000000001</v>
          </cell>
          <cell r="X222">
            <v>3.5349330000000001</v>
          </cell>
          <cell r="Y222">
            <v>10.611141</v>
          </cell>
          <cell r="Z222">
            <v>1.8725590000000001</v>
          </cell>
          <cell r="AA222">
            <v>2.523822</v>
          </cell>
          <cell r="AB222">
            <v>5.5428439999999997</v>
          </cell>
          <cell r="AC222">
            <v>9.9392250000000004</v>
          </cell>
          <cell r="AD222">
            <v>5.7118339999999996</v>
          </cell>
          <cell r="AE222">
            <v>5.799245</v>
          </cell>
          <cell r="AF222">
            <v>7.7005499999999998</v>
          </cell>
          <cell r="AG222">
            <v>19.211628999999999</v>
          </cell>
          <cell r="AH222">
            <v>4.616161</v>
          </cell>
          <cell r="AI222">
            <v>5.8088509999999998</v>
          </cell>
          <cell r="AJ222">
            <v>6.2216709999999997</v>
          </cell>
          <cell r="AK222">
            <v>16.646682999999999</v>
          </cell>
          <cell r="AL222">
            <v>4.365621</v>
          </cell>
          <cell r="AM222">
            <v>4.5704549999999999</v>
          </cell>
          <cell r="AN222">
            <v>38139</v>
          </cell>
          <cell r="AO222">
            <v>8.9360759999999999</v>
          </cell>
          <cell r="AP222">
            <v>38169</v>
          </cell>
          <cell r="AQ222">
            <v>38200</v>
          </cell>
          <cell r="AR222">
            <v>38231</v>
          </cell>
          <cell r="AS222" t="str">
            <v>Q1:F05</v>
          </cell>
          <cell r="AT222">
            <v>38261</v>
          </cell>
          <cell r="AU222">
            <v>38292</v>
          </cell>
          <cell r="AV222">
            <v>38322</v>
          </cell>
          <cell r="AW222" t="str">
            <v>Q2:F05</v>
          </cell>
          <cell r="AX222">
            <v>38353</v>
          </cell>
          <cell r="AY222">
            <v>38384</v>
          </cell>
          <cell r="AZ222">
            <v>38412</v>
          </cell>
          <cell r="BA222" t="str">
            <v>Q3:F05</v>
          </cell>
          <cell r="BB222">
            <v>38443</v>
          </cell>
          <cell r="BC222">
            <v>38473</v>
          </cell>
          <cell r="BD222">
            <v>38504</v>
          </cell>
          <cell r="BE222" t="str">
            <v>Q4:F05E</v>
          </cell>
        </row>
        <row r="223">
          <cell r="A223" t="str">
            <v xml:space="preserve">  % Change</v>
          </cell>
          <cell r="R223">
            <v>0.83091478013004694</v>
          </cell>
          <cell r="S223">
            <v>0.78187704709356498</v>
          </cell>
          <cell r="T223">
            <v>0.62738003366994133</v>
          </cell>
          <cell r="U223">
            <v>0.73672017630651299</v>
          </cell>
          <cell r="V223">
            <v>0.78716920433966719</v>
          </cell>
          <cell r="W223">
            <v>0.47583502930287924</v>
          </cell>
          <cell r="X223">
            <v>0.61057330662206488</v>
          </cell>
          <cell r="Y223">
            <v>0.61622032456489739</v>
          </cell>
          <cell r="Z223">
            <v>0.40987900645248732</v>
          </cell>
          <cell r="AA223">
            <v>0.67013665778378928</v>
          </cell>
          <cell r="AB223">
            <v>0.84482467681376527</v>
          </cell>
          <cell r="AC223">
            <v>0.70079967774691143</v>
          </cell>
          <cell r="AD223">
            <v>0.56994943692368927</v>
          </cell>
          <cell r="AE223">
            <v>0.37593685620608142</v>
          </cell>
          <cell r="AF223">
            <v>0.54308846936356536</v>
          </cell>
          <cell r="AG223">
            <v>0.49584391534350325</v>
          </cell>
          <cell r="AH223">
            <v>0.17275388372256084</v>
          </cell>
          <cell r="AI223">
            <v>0.26901767560419687</v>
          </cell>
          <cell r="AJ223">
            <v>0.31244151500295736</v>
          </cell>
          <cell r="AK223">
            <v>0.25596072111188173</v>
          </cell>
          <cell r="AL223">
            <v>0.21495830906313462</v>
          </cell>
          <cell r="AM223">
            <v>0.31222507386632303</v>
          </cell>
          <cell r="AO223">
            <v>-0.15785908414561634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 t="str">
            <v>Price Change</v>
          </cell>
          <cell r="U224">
            <v>0</v>
          </cell>
          <cell r="Y224">
            <v>0</v>
          </cell>
          <cell r="AC224">
            <v>0</v>
          </cell>
          <cell r="AG224">
            <v>0</v>
          </cell>
          <cell r="AK224">
            <v>0</v>
          </cell>
          <cell r="AO224">
            <v>0</v>
          </cell>
          <cell r="BE224">
            <v>18.362412970199713</v>
          </cell>
        </row>
        <row r="225">
          <cell r="A225" t="str">
            <v>Product</v>
          </cell>
          <cell r="B225">
            <v>159917</v>
          </cell>
          <cell r="C225">
            <v>157913</v>
          </cell>
          <cell r="D225">
            <v>141706</v>
          </cell>
          <cell r="E225">
            <v>459536</v>
          </cell>
          <cell r="F225">
            <v>128588</v>
          </cell>
          <cell r="G225">
            <v>129101</v>
          </cell>
          <cell r="H225">
            <v>93802</v>
          </cell>
          <cell r="I225">
            <v>351491</v>
          </cell>
          <cell r="J225">
            <v>80306</v>
          </cell>
          <cell r="K225">
            <v>86495</v>
          </cell>
          <cell r="L225">
            <v>121740</v>
          </cell>
          <cell r="M225">
            <v>288541</v>
          </cell>
          <cell r="N225">
            <v>185968</v>
          </cell>
          <cell r="O225">
            <v>214328</v>
          </cell>
          <cell r="P225">
            <v>219517</v>
          </cell>
          <cell r="Q225">
            <v>619813</v>
          </cell>
          <cell r="R225">
            <v>203244</v>
          </cell>
          <cell r="S225">
            <v>206902</v>
          </cell>
          <cell r="T225">
            <v>198727</v>
          </cell>
          <cell r="U225">
            <v>608873</v>
          </cell>
          <cell r="V225">
            <v>173626</v>
          </cell>
          <cell r="W225">
            <v>165828</v>
          </cell>
          <cell r="X225">
            <v>127089</v>
          </cell>
          <cell r="Y225">
            <v>466543</v>
          </cell>
          <cell r="Z225">
            <v>96586</v>
          </cell>
          <cell r="AA225">
            <v>119245</v>
          </cell>
          <cell r="AB225">
            <v>205482</v>
          </cell>
          <cell r="AC225">
            <v>421313</v>
          </cell>
          <cell r="AD225">
            <v>252910</v>
          </cell>
          <cell r="AE225">
            <v>246295</v>
          </cell>
          <cell r="AF225">
            <v>287775</v>
          </cell>
          <cell r="AG225" t="str">
            <v>Q2:F04</v>
          </cell>
          <cell r="AH225">
            <v>37987</v>
          </cell>
          <cell r="AI225">
            <v>38018</v>
          </cell>
          <cell r="AJ225">
            <v>38047</v>
          </cell>
          <cell r="AK225" t="str">
            <v>Q3:F04</v>
          </cell>
          <cell r="AL225">
            <v>38078</v>
          </cell>
          <cell r="AM225">
            <v>38108</v>
          </cell>
          <cell r="AN225">
            <v>38139</v>
          </cell>
          <cell r="AO225" t="str">
            <v>Q4:F04</v>
          </cell>
          <cell r="AP225">
            <v>38169</v>
          </cell>
          <cell r="AQ225">
            <v>38200</v>
          </cell>
          <cell r="AR225">
            <v>38231</v>
          </cell>
          <cell r="AS225" t="str">
            <v>Q1:F05</v>
          </cell>
          <cell r="AT225">
            <v>38261</v>
          </cell>
          <cell r="AU225">
            <v>38292</v>
          </cell>
          <cell r="AV225">
            <v>38322</v>
          </cell>
          <cell r="AW225" t="str">
            <v>Q2:F05</v>
          </cell>
          <cell r="AX225">
            <v>38353</v>
          </cell>
          <cell r="AY225">
            <v>38384</v>
          </cell>
          <cell r="AZ225">
            <v>38412</v>
          </cell>
          <cell r="BA225" t="str">
            <v>Q3:F05</v>
          </cell>
          <cell r="BB225">
            <v>38443</v>
          </cell>
          <cell r="BC225">
            <v>38473</v>
          </cell>
          <cell r="BD225">
            <v>38504</v>
          </cell>
          <cell r="BE225" t="str">
            <v>Q4:F05</v>
          </cell>
        </row>
        <row r="226">
          <cell r="A226" t="str">
            <v xml:space="preserve">  % Change</v>
          </cell>
          <cell r="R226">
            <v>0.27093429716665529</v>
          </cell>
          <cell r="S226">
            <v>0.31022778365302406</v>
          </cell>
          <cell r="T226">
            <v>0.4023894542221218</v>
          </cell>
          <cell r="U226">
            <v>0.32497345148149437</v>
          </cell>
          <cell r="V226">
            <v>0.35025041216909814</v>
          </cell>
          <cell r="W226">
            <v>0.28448269184591912</v>
          </cell>
          <cell r="X226">
            <v>0.35486450182298879</v>
          </cell>
          <cell r="Y226">
            <v>0.32732559297393116</v>
          </cell>
          <cell r="Z226">
            <v>0.2027245784872862</v>
          </cell>
          <cell r="AA226">
            <v>0.37863460315625175</v>
          </cell>
          <cell r="AB226">
            <v>0.68787580088713662</v>
          </cell>
          <cell r="AC226">
            <v>0.46014951081475419</v>
          </cell>
          <cell r="AD226">
            <v>0.35996515529553474</v>
          </cell>
          <cell r="AE226">
            <v>0.14914990108618564</v>
          </cell>
          <cell r="AF226">
            <v>0.31094630484199404</v>
          </cell>
          <cell r="AG226">
            <v>0.26970554021938886</v>
          </cell>
          <cell r="AH226">
            <v>7.0038967940013075E-2</v>
          </cell>
          <cell r="AI226">
            <v>0.1497133908807069</v>
          </cell>
          <cell r="AJ226">
            <v>0.15141374850926148</v>
          </cell>
          <cell r="AK226">
            <v>0.12367275277438816</v>
          </cell>
          <cell r="AL226">
            <v>8.765392279958073E-2</v>
          </cell>
          <cell r="AM226">
            <v>0.10137009431459099</v>
          </cell>
          <cell r="AN226">
            <v>-0.99840269417494831</v>
          </cell>
          <cell r="AO226">
            <v>-0.20331887950306826</v>
          </cell>
          <cell r="AP226">
            <v>-0.99802248773114111</v>
          </cell>
          <cell r="AQ226">
            <v>-0.99854920541741787</v>
          </cell>
          <cell r="AR226">
            <v>-0.99898287927896356</v>
          </cell>
          <cell r="AS226">
            <v>-0.9986399660110179</v>
          </cell>
          <cell r="AT226">
            <v>-0.99930805424854696</v>
          </cell>
          <cell r="AU226">
            <v>-0.99911082238778703</v>
          </cell>
          <cell r="AV226">
            <v>-0.99929458778559643</v>
          </cell>
          <cell r="AW226">
            <v>-0.99924140384762006</v>
          </cell>
          <cell r="AX226">
            <v>-0.99898380993107383</v>
          </cell>
          <cell r="AY226">
            <v>-0.99931897863610764</v>
          </cell>
          <cell r="AZ226">
            <v>-0.99908660632732704</v>
          </cell>
          <cell r="BA226">
            <v>-0.99913472303829143</v>
          </cell>
          <cell r="BB226">
            <v>-0.99912097222589957</v>
          </cell>
          <cell r="BC226">
            <v>-0.99879543139981819</v>
          </cell>
          <cell r="BD226">
            <v>8.3743842364532028E-2</v>
          </cell>
          <cell r="BE226">
            <v>-0.99836959153694249</v>
          </cell>
        </row>
        <row r="227">
          <cell r="A227" t="str">
            <v>TOTAL Non-Derm Products</v>
          </cell>
          <cell r="BE227">
            <v>18.362412970199713</v>
          </cell>
        </row>
        <row r="228">
          <cell r="A228" t="str">
            <v>TOTAL TRx</v>
          </cell>
          <cell r="B228">
            <v>159917</v>
          </cell>
          <cell r="C228">
            <v>157913</v>
          </cell>
          <cell r="D228">
            <v>141706</v>
          </cell>
          <cell r="E228">
            <v>459536</v>
          </cell>
          <cell r="F228">
            <v>128588</v>
          </cell>
          <cell r="G228">
            <v>129101</v>
          </cell>
          <cell r="H228">
            <v>93802</v>
          </cell>
          <cell r="I228">
            <v>351491</v>
          </cell>
          <cell r="J228">
            <v>80306</v>
          </cell>
          <cell r="K228">
            <v>86495</v>
          </cell>
          <cell r="L228">
            <v>121740</v>
          </cell>
          <cell r="M228">
            <v>288541</v>
          </cell>
          <cell r="N228">
            <v>185968</v>
          </cell>
          <cell r="O228">
            <v>214328</v>
          </cell>
          <cell r="P228">
            <v>219517</v>
          </cell>
          <cell r="Q228">
            <v>619813</v>
          </cell>
          <cell r="R228">
            <v>203244</v>
          </cell>
          <cell r="S228">
            <v>206902</v>
          </cell>
          <cell r="T228">
            <v>198727</v>
          </cell>
          <cell r="U228">
            <v>608873</v>
          </cell>
          <cell r="V228">
            <v>173626</v>
          </cell>
          <cell r="W228">
            <v>165828</v>
          </cell>
          <cell r="X228">
            <v>127089</v>
          </cell>
          <cell r="Y228">
            <v>466543</v>
          </cell>
          <cell r="Z228">
            <v>96586</v>
          </cell>
          <cell r="AA228">
            <v>119245</v>
          </cell>
          <cell r="AB228">
            <v>205482</v>
          </cell>
          <cell r="AC228">
            <v>421313</v>
          </cell>
          <cell r="AD228">
            <v>252910</v>
          </cell>
          <cell r="AE228">
            <v>246295</v>
          </cell>
          <cell r="AF228">
            <v>287775</v>
          </cell>
          <cell r="AG228">
            <v>786980</v>
          </cell>
          <cell r="AH228">
            <v>217479</v>
          </cell>
          <cell r="AI228">
            <v>237878</v>
          </cell>
          <cell r="AJ228">
            <v>228817</v>
          </cell>
          <cell r="AK228">
            <v>684174</v>
          </cell>
          <cell r="AL228">
            <v>188845</v>
          </cell>
          <cell r="AM228">
            <v>182638</v>
          </cell>
          <cell r="AN228">
            <v>203</v>
          </cell>
          <cell r="AO228">
            <v>371686</v>
          </cell>
          <cell r="AP228">
            <v>191</v>
          </cell>
          <cell r="AQ228">
            <v>173</v>
          </cell>
          <cell r="AR228">
            <v>209</v>
          </cell>
          <cell r="AS228">
            <v>573</v>
          </cell>
          <cell r="AT228">
            <v>175</v>
          </cell>
          <cell r="AU228">
            <v>219</v>
          </cell>
          <cell r="AV228">
            <v>203</v>
          </cell>
          <cell r="AW228">
            <v>597</v>
          </cell>
          <cell r="AX228">
            <v>221</v>
          </cell>
          <cell r="AY228">
            <v>162</v>
          </cell>
          <cell r="AZ228">
            <v>209</v>
          </cell>
          <cell r="BA228">
            <v>592</v>
          </cell>
          <cell r="BB228">
            <v>166</v>
          </cell>
          <cell r="BC228">
            <v>220</v>
          </cell>
          <cell r="BD228">
            <v>220</v>
          </cell>
          <cell r="BE228">
            <v>606</v>
          </cell>
        </row>
        <row r="229">
          <cell r="A229" t="str">
            <v xml:space="preserve">  % Change</v>
          </cell>
          <cell r="R229">
            <v>0.27093429716665529</v>
          </cell>
          <cell r="S229">
            <v>0.31022778365302406</v>
          </cell>
          <cell r="T229">
            <v>0.4023894542221218</v>
          </cell>
          <cell r="U229">
            <v>0.32497345148149437</v>
          </cell>
          <cell r="V229">
            <v>0.35025041216909814</v>
          </cell>
          <cell r="W229">
            <v>0.28448269184591912</v>
          </cell>
          <cell r="X229">
            <v>0.35486450182298879</v>
          </cell>
          <cell r="Y229">
            <v>0.32732559297393116</v>
          </cell>
          <cell r="Z229">
            <v>0.2027245784872862</v>
          </cell>
          <cell r="AA229">
            <v>0.37863460315625175</v>
          </cell>
          <cell r="AB229">
            <v>0.68787580088713662</v>
          </cell>
          <cell r="AC229">
            <v>0.46014951081475419</v>
          </cell>
          <cell r="AD229">
            <v>0.35996515529553474</v>
          </cell>
          <cell r="AE229">
            <v>0.14914990108618564</v>
          </cell>
          <cell r="AF229">
            <v>0.31094630484199404</v>
          </cell>
          <cell r="AG229">
            <v>0.26970554021938886</v>
          </cell>
          <cell r="AH229">
            <v>7.0038967940013075E-2</v>
          </cell>
          <cell r="AI229">
            <v>0.1497133908807069</v>
          </cell>
          <cell r="AJ229">
            <v>0.15141374850926148</v>
          </cell>
          <cell r="AK229">
            <v>0.12367275277438816</v>
          </cell>
          <cell r="AL229">
            <v>8.765392279958073E-2</v>
          </cell>
          <cell r="AM229">
            <v>0.10137009431459099</v>
          </cell>
          <cell r="AN229">
            <v>-0.99840269417494831</v>
          </cell>
          <cell r="AO229">
            <v>-0.20331887950306826</v>
          </cell>
          <cell r="AP229">
            <v>-0.99802248773114111</v>
          </cell>
          <cell r="AQ229">
            <v>-0.99854920541741787</v>
          </cell>
          <cell r="AR229">
            <v>-0.99898287927896356</v>
          </cell>
          <cell r="AS229">
            <v>-0.9986399660110179</v>
          </cell>
          <cell r="AT229">
            <v>-0.99930805424854696</v>
          </cell>
          <cell r="AU229">
            <v>-0.99911082238778703</v>
          </cell>
          <cell r="AV229">
            <v>-0.99929458778559643</v>
          </cell>
          <cell r="AW229">
            <v>-0.99924140384762006</v>
          </cell>
          <cell r="AX229">
            <v>-0.99898380993107383</v>
          </cell>
          <cell r="AY229">
            <v>-0.99931897863610764</v>
          </cell>
          <cell r="AZ229">
            <v>-0.99908660632732704</v>
          </cell>
          <cell r="BA229">
            <v>-0.99913472303829143</v>
          </cell>
          <cell r="BB229">
            <v>-0.99912097222589957</v>
          </cell>
          <cell r="BC229">
            <v>-0.99879543139981819</v>
          </cell>
          <cell r="BD229">
            <v>8.3743842364532028E-2</v>
          </cell>
          <cell r="BE229">
            <v>-0.99836959153694249</v>
          </cell>
        </row>
        <row r="231">
          <cell r="A231" t="str">
            <v>TOTAL REPORTED SALES</v>
          </cell>
          <cell r="B231">
            <v>2.7462580000000005</v>
          </cell>
          <cell r="C231">
            <v>2.9525040000000002</v>
          </cell>
          <cell r="D231">
            <v>3.776993</v>
          </cell>
          <cell r="E231">
            <v>18.685590000000001</v>
          </cell>
          <cell r="F231">
            <v>2.566516</v>
          </cell>
          <cell r="G231">
            <v>2.8152820000000003</v>
          </cell>
          <cell r="H231">
            <v>2.8203279999999999</v>
          </cell>
          <cell r="I231">
            <v>13.584240000000008</v>
          </cell>
          <cell r="J231">
            <v>1.984774</v>
          </cell>
          <cell r="K231">
            <v>2.3669689999999997</v>
          </cell>
          <cell r="L231">
            <v>3.7940710000000002</v>
          </cell>
          <cell r="M231">
            <v>4.6996000000000002</v>
          </cell>
          <cell r="N231">
            <v>4.3600580000000004</v>
          </cell>
          <cell r="O231">
            <v>4.7925810000000002</v>
          </cell>
          <cell r="P231">
            <v>5.8662660000000004</v>
          </cell>
          <cell r="Q231">
            <v>18.449339999999999</v>
          </cell>
          <cell r="R231">
            <v>4.8956900000000001</v>
          </cell>
          <cell r="S231">
            <v>5.4354519999999997</v>
          </cell>
          <cell r="T231">
            <v>5.7142220000000004</v>
          </cell>
          <cell r="U231">
            <v>28.784500000000001</v>
          </cell>
          <cell r="V231">
            <v>4.2617669999999999</v>
          </cell>
          <cell r="W231">
            <v>4.1046990000000001</v>
          </cell>
          <cell r="X231">
            <v>4.5845289999999999</v>
          </cell>
          <cell r="Y231">
            <v>22.328259999999986</v>
          </cell>
          <cell r="Z231">
            <v>2.5480689999999999</v>
          </cell>
          <cell r="AA231">
            <v>3.1154000000000002</v>
          </cell>
          <cell r="AB231">
            <v>6.6408959999999997</v>
          </cell>
          <cell r="AC231">
            <v>12.02605</v>
          </cell>
          <cell r="AD231">
            <v>6.5551439999999994</v>
          </cell>
          <cell r="AE231">
            <v>6.5282409999999995</v>
          </cell>
          <cell r="AF231">
            <v>8.4819849999999999</v>
          </cell>
          <cell r="AG231">
            <v>13.420269999999999</v>
          </cell>
          <cell r="AH231">
            <v>5.4565320000000002</v>
          </cell>
          <cell r="AI231">
            <v>6.5800849999999995</v>
          </cell>
          <cell r="AJ231">
            <v>7.1388549999999995</v>
          </cell>
          <cell r="AK231">
            <v>17.18619</v>
          </cell>
          <cell r="AL231">
            <v>5.354508</v>
          </cell>
          <cell r="AM231">
            <v>5.4676910000000003</v>
          </cell>
          <cell r="AN231">
            <v>0.96767999999999998</v>
          </cell>
          <cell r="AO231">
            <v>3.9</v>
          </cell>
          <cell r="AP231">
            <v>0.87230700000000005</v>
          </cell>
          <cell r="AQ231">
            <v>0.80850999999999995</v>
          </cell>
          <cell r="AR231">
            <v>1.280767</v>
          </cell>
          <cell r="AS231">
            <v>4.8</v>
          </cell>
          <cell r="AT231">
            <v>0.87920299999999996</v>
          </cell>
          <cell r="AU231">
            <v>0.83191499999999996</v>
          </cell>
          <cell r="AV231">
            <v>1.0128699999999999</v>
          </cell>
          <cell r="AW231">
            <v>3.8550350000000009</v>
          </cell>
          <cell r="AX231">
            <v>1.00776</v>
          </cell>
          <cell r="AY231">
            <v>0.78675700000000004</v>
          </cell>
          <cell r="AZ231">
            <v>1.0744339999999999</v>
          </cell>
          <cell r="BA231">
            <v>7.8921880000000009</v>
          </cell>
          <cell r="BB231">
            <v>1.2615730000000001</v>
          </cell>
          <cell r="BC231">
            <v>1.011844</v>
          </cell>
          <cell r="BE231">
            <v>7</v>
          </cell>
        </row>
        <row r="232">
          <cell r="A232" t="str">
            <v xml:space="preserve">  % Change</v>
          </cell>
          <cell r="E232">
            <v>1.6815846622985948</v>
          </cell>
          <cell r="I232">
            <v>0.91272686177119844</v>
          </cell>
          <cell r="M232">
            <v>0.72457033557981732</v>
          </cell>
          <cell r="Q232">
            <v>1.2387843056535717</v>
          </cell>
          <cell r="R232">
            <v>0.7826766458213319</v>
          </cell>
          <cell r="S232">
            <v>0.84096346694195812</v>
          </cell>
          <cell r="T232">
            <v>0.51290245970802717</v>
          </cell>
          <cell r="U232">
            <v>0.54046513917944261</v>
          </cell>
          <cell r="V232">
            <v>0.66052617634178001</v>
          </cell>
          <cell r="W232">
            <v>0.45800633826380444</v>
          </cell>
          <cell r="X232">
            <v>0.62553043475794312</v>
          </cell>
          <cell r="Y232">
            <v>0.64368856851763301</v>
          </cell>
          <cell r="Z232">
            <v>0.28380813130361426</v>
          </cell>
          <cell r="AA232">
            <v>0.31619805751575147</v>
          </cell>
          <cell r="AB232">
            <v>0.75033519404354831</v>
          </cell>
          <cell r="AC232">
            <v>1.5589518256872923</v>
          </cell>
          <cell r="AD232">
            <v>0.50345339442732162</v>
          </cell>
          <cell r="AE232">
            <v>0.36215559006723086</v>
          </cell>
          <cell r="AF232">
            <v>0.44589164555442928</v>
          </cell>
          <cell r="AG232">
            <v>-0.27258807090118131</v>
          </cell>
          <cell r="AH232">
            <v>0.11455831557962215</v>
          </cell>
          <cell r="AI232">
            <v>0.21058653447772135</v>
          </cell>
          <cell r="AJ232">
            <v>0.24931355484613626</v>
          </cell>
          <cell r="AK232">
            <v>-0.4029359551147319</v>
          </cell>
          <cell r="AL232">
            <v>0.25640561766985392</v>
          </cell>
          <cell r="AM232">
            <v>0.33205650402136677</v>
          </cell>
          <cell r="AN232">
            <v>-0.78892488192353016</v>
          </cell>
          <cell r="AO232">
            <v>-0.82533345634635202</v>
          </cell>
          <cell r="AP232">
            <v>-0.65765958457168927</v>
          </cell>
          <cell r="AQ232">
            <v>-0.74047955318739167</v>
          </cell>
          <cell r="AR232">
            <v>-0.80713942817354767</v>
          </cell>
          <cell r="AS232">
            <v>-0.60086645240956094</v>
          </cell>
          <cell r="AT232">
            <v>-0.86587586786804382</v>
          </cell>
          <cell r="AU232">
            <v>-0.87256674500834142</v>
          </cell>
          <cell r="AV232">
            <v>-0.88058573553242547</v>
          </cell>
          <cell r="AW232">
            <v>-0.71274534715024351</v>
          </cell>
          <cell r="AX232">
            <v>-0.81531126363778317</v>
          </cell>
          <cell r="AY232">
            <v>-0.88043361141991328</v>
          </cell>
          <cell r="AZ232">
            <v>-0.84949491199919314</v>
          </cell>
          <cell r="BA232">
            <v>-0.54078315205406202</v>
          </cell>
          <cell r="BB232">
            <v>-0.76439049115250179</v>
          </cell>
          <cell r="BC232">
            <v>-0.81494126131121902</v>
          </cell>
          <cell r="BE232">
            <v>0.79487179487179493</v>
          </cell>
        </row>
        <row r="234">
          <cell r="A234" t="str">
            <v>TOTAL IMS SALES</v>
          </cell>
          <cell r="B234">
            <v>2.7462580000000005</v>
          </cell>
          <cell r="C234">
            <v>2.9525040000000002</v>
          </cell>
          <cell r="D234">
            <v>3.776993</v>
          </cell>
          <cell r="E234">
            <v>9.4757549999999995</v>
          </cell>
          <cell r="F234">
            <v>2.566516</v>
          </cell>
          <cell r="G234">
            <v>2.8152820000000003</v>
          </cell>
          <cell r="H234">
            <v>2.8203279999999999</v>
          </cell>
          <cell r="I234">
            <v>8.2021259999999998</v>
          </cell>
          <cell r="J234">
            <v>1.984774</v>
          </cell>
          <cell r="K234">
            <v>2.3669689999999997</v>
          </cell>
          <cell r="L234">
            <v>3.7940710000000002</v>
          </cell>
          <cell r="M234">
            <v>8.1458139999999997</v>
          </cell>
          <cell r="N234">
            <v>4.3600580000000004</v>
          </cell>
          <cell r="O234">
            <v>4.7925810000000002</v>
          </cell>
          <cell r="P234">
            <v>5.8662660000000004</v>
          </cell>
          <cell r="Q234">
            <v>15.018905</v>
          </cell>
          <cell r="R234">
            <v>4.8956900000000001</v>
          </cell>
          <cell r="S234">
            <v>5.4354519999999997</v>
          </cell>
          <cell r="T234">
            <v>5.7142220000000004</v>
          </cell>
          <cell r="U234">
            <v>16.045363999999999</v>
          </cell>
          <cell r="V234">
            <v>4.2617669999999999</v>
          </cell>
          <cell r="W234">
            <v>4.1046990000000001</v>
          </cell>
          <cell r="X234">
            <v>4.5845289999999999</v>
          </cell>
          <cell r="Y234">
            <v>12.950994999999999</v>
          </cell>
          <cell r="Z234">
            <v>2.5480689999999999</v>
          </cell>
          <cell r="AA234">
            <v>3.1154000000000002</v>
          </cell>
          <cell r="AB234">
            <v>6.6408959999999997</v>
          </cell>
          <cell r="AC234">
            <v>12.304365000000001</v>
          </cell>
          <cell r="AD234">
            <v>6.5551439999999994</v>
          </cell>
          <cell r="AE234">
            <v>6.5282409999999995</v>
          </cell>
          <cell r="AF234">
            <v>8.4819849999999999</v>
          </cell>
          <cell r="AG234">
            <v>21.565370000000001</v>
          </cell>
          <cell r="AH234">
            <v>5.4565320000000002</v>
          </cell>
          <cell r="AI234">
            <v>6.5800849999999995</v>
          </cell>
          <cell r="AJ234">
            <v>7.1388549999999995</v>
          </cell>
          <cell r="AK234">
            <v>19.175471999999999</v>
          </cell>
          <cell r="AL234">
            <v>5.354508</v>
          </cell>
          <cell r="AM234">
            <v>5.4676910000000003</v>
          </cell>
          <cell r="AN234">
            <v>0.96767999999999998</v>
          </cell>
          <cell r="AO234">
            <v>11.789879000000001</v>
          </cell>
          <cell r="AP234">
            <v>0.87230700000000005</v>
          </cell>
          <cell r="AQ234">
            <v>0.80850999999999995</v>
          </cell>
          <cell r="AR234">
            <v>1.280767</v>
          </cell>
          <cell r="AS234">
            <v>2.9615840000000002</v>
          </cell>
          <cell r="AT234">
            <v>0.87920299999999996</v>
          </cell>
          <cell r="AU234">
            <v>0.83191499999999996</v>
          </cell>
          <cell r="AV234">
            <v>1.0128699999999999</v>
          </cell>
          <cell r="AW234">
            <v>2.7239879999999999</v>
          </cell>
          <cell r="AX234">
            <v>1.00776</v>
          </cell>
          <cell r="AY234">
            <v>0.78675700000000004</v>
          </cell>
          <cell r="AZ234">
            <v>1.0744339999999999</v>
          </cell>
          <cell r="BA234">
            <v>2.868951</v>
          </cell>
          <cell r="BB234">
            <v>1.2615730000000001</v>
          </cell>
          <cell r="BC234">
            <v>1.011844</v>
          </cell>
          <cell r="BD234">
            <v>1.7265059999999999</v>
          </cell>
          <cell r="BE234">
            <v>3.9999229999999999</v>
          </cell>
        </row>
        <row r="235">
          <cell r="A235" t="str">
            <v xml:space="preserve">  % Change</v>
          </cell>
          <cell r="E235">
            <v>0.50711564365909767</v>
          </cell>
          <cell r="I235">
            <v>0.60379719439585833</v>
          </cell>
          <cell r="M235">
            <v>1.733299429738701</v>
          </cell>
          <cell r="Q235">
            <v>0.81406191224184721</v>
          </cell>
          <cell r="R235">
            <v>0.7826766458213319</v>
          </cell>
          <cell r="S235">
            <v>0.84096346694195812</v>
          </cell>
          <cell r="T235">
            <v>0.51290245970802717</v>
          </cell>
          <cell r="U235">
            <v>0.69330718238282851</v>
          </cell>
          <cell r="V235">
            <v>0.66052617634178001</v>
          </cell>
          <cell r="W235">
            <v>0.45800633826380444</v>
          </cell>
          <cell r="X235">
            <v>0.62553043475794312</v>
          </cell>
          <cell r="Y235">
            <v>0.57898025463154301</v>
          </cell>
          <cell r="Z235">
            <v>0.28380813130361426</v>
          </cell>
          <cell r="AA235">
            <v>0.31619805751575147</v>
          </cell>
          <cell r="AB235">
            <v>0.75033519404354831</v>
          </cell>
          <cell r="AC235">
            <v>0.51051386638585172</v>
          </cell>
          <cell r="AD235">
            <v>0.50345339442732162</v>
          </cell>
          <cell r="AE235">
            <v>0.36215559006723086</v>
          </cell>
          <cell r="AF235">
            <v>0.44589164555442928</v>
          </cell>
          <cell r="AG235">
            <v>0.43588164383488692</v>
          </cell>
          <cell r="AH235">
            <v>0.11455831557962215</v>
          </cell>
          <cell r="AI235">
            <v>0.21058653447772135</v>
          </cell>
          <cell r="AJ235">
            <v>0.24931355484613626</v>
          </cell>
          <cell r="AK235">
            <v>0.19507865324837748</v>
          </cell>
          <cell r="AL235">
            <v>0.25640561766985392</v>
          </cell>
          <cell r="AM235">
            <v>0.33205650402136677</v>
          </cell>
          <cell r="AN235">
            <v>-0.78892488192353016</v>
          </cell>
          <cell r="AO235">
            <v>-8.96545786636469E-2</v>
          </cell>
          <cell r="AP235">
            <v>-0.65765958457168927</v>
          </cell>
          <cell r="AQ235">
            <v>-0.74047955318739167</v>
          </cell>
          <cell r="AR235">
            <v>-0.80713942817354767</v>
          </cell>
          <cell r="AS235">
            <v>-0.75930622994360131</v>
          </cell>
          <cell r="AT235">
            <v>-0.86587586786804382</v>
          </cell>
          <cell r="AU235">
            <v>-0.87256674500834142</v>
          </cell>
          <cell r="AV235">
            <v>-0.88058573553242547</v>
          </cell>
          <cell r="AW235">
            <v>-0.87368693419125198</v>
          </cell>
          <cell r="AX235">
            <v>-0.81531126363778317</v>
          </cell>
          <cell r="AY235">
            <v>-0.88043361141991328</v>
          </cell>
          <cell r="AZ235">
            <v>-0.84949491199919314</v>
          </cell>
          <cell r="BA235">
            <v>-0.85038433473762731</v>
          </cell>
          <cell r="BB235">
            <v>-0.76439049115250179</v>
          </cell>
          <cell r="BC235">
            <v>-0.81494126131121902</v>
          </cell>
          <cell r="BD235">
            <v>0.78417038690476182</v>
          </cell>
          <cell r="BE235">
            <v>-0.66073248079984537</v>
          </cell>
        </row>
        <row r="236">
          <cell r="A236" t="str">
            <v>TRx</v>
          </cell>
          <cell r="B236">
            <v>208</v>
          </cell>
          <cell r="C236">
            <v>173</v>
          </cell>
          <cell r="D236">
            <v>191</v>
          </cell>
          <cell r="E236">
            <v>572</v>
          </cell>
          <cell r="F236">
            <v>217</v>
          </cell>
          <cell r="G236">
            <v>208</v>
          </cell>
          <cell r="H236">
            <v>202</v>
          </cell>
          <cell r="I236">
            <v>627</v>
          </cell>
          <cell r="J236">
            <v>200</v>
          </cell>
          <cell r="K236">
            <v>172</v>
          </cell>
          <cell r="L236">
            <v>181</v>
          </cell>
          <cell r="M236">
            <v>553</v>
          </cell>
          <cell r="N236">
            <v>191</v>
          </cell>
          <cell r="O236">
            <v>189</v>
          </cell>
          <cell r="P236">
            <v>216</v>
          </cell>
          <cell r="Q236">
            <v>596</v>
          </cell>
          <cell r="R236">
            <v>220</v>
          </cell>
          <cell r="S236">
            <v>233</v>
          </cell>
          <cell r="T236">
            <v>233</v>
          </cell>
          <cell r="U236">
            <v>686</v>
          </cell>
          <cell r="V236">
            <v>210</v>
          </cell>
          <cell r="W236">
            <v>204</v>
          </cell>
          <cell r="X236">
            <v>210</v>
          </cell>
          <cell r="Y236">
            <v>624</v>
          </cell>
          <cell r="Z236">
            <v>188</v>
          </cell>
          <cell r="AA236">
            <v>203</v>
          </cell>
          <cell r="AB236">
            <v>206</v>
          </cell>
          <cell r="AC236">
            <v>597</v>
          </cell>
          <cell r="AD236">
            <v>229</v>
          </cell>
          <cell r="AE236">
            <v>168</v>
          </cell>
          <cell r="AF236">
            <v>243</v>
          </cell>
          <cell r="AG236">
            <v>640</v>
          </cell>
          <cell r="AH236">
            <v>205</v>
          </cell>
          <cell r="AI236">
            <v>165</v>
          </cell>
          <cell r="AJ236">
            <v>220</v>
          </cell>
          <cell r="AK236">
            <v>590</v>
          </cell>
          <cell r="AL236">
            <v>194</v>
          </cell>
          <cell r="AM236">
            <v>181</v>
          </cell>
          <cell r="AN236">
            <v>203</v>
          </cell>
          <cell r="AO236">
            <v>578</v>
          </cell>
          <cell r="AP236">
            <v>191</v>
          </cell>
          <cell r="AQ236">
            <v>173</v>
          </cell>
          <cell r="AR236">
            <v>209</v>
          </cell>
          <cell r="AS236">
            <v>573</v>
          </cell>
          <cell r="AT236">
            <v>175</v>
          </cell>
          <cell r="AU236">
            <v>219</v>
          </cell>
          <cell r="AV236">
            <v>203</v>
          </cell>
          <cell r="AW236">
            <v>597</v>
          </cell>
          <cell r="AX236">
            <v>221</v>
          </cell>
          <cell r="AY236">
            <v>162</v>
          </cell>
          <cell r="AZ236">
            <v>209</v>
          </cell>
          <cell r="BA236">
            <v>592</v>
          </cell>
          <cell r="BB236">
            <v>166</v>
          </cell>
          <cell r="BC236">
            <v>220</v>
          </cell>
          <cell r="BD236">
            <v>220</v>
          </cell>
          <cell r="BE236">
            <v>606</v>
          </cell>
        </row>
        <row r="237">
          <cell r="A237" t="str">
            <v>IMS SALES/REPORTED SALES</v>
          </cell>
          <cell r="B237">
            <v>412302.9</v>
          </cell>
          <cell r="C237">
            <v>464398.6</v>
          </cell>
          <cell r="D237">
            <v>476121.4</v>
          </cell>
          <cell r="E237">
            <v>0.50711564365909767</v>
          </cell>
          <cell r="F237">
            <v>467003.7</v>
          </cell>
          <cell r="G237">
            <v>473199.7</v>
          </cell>
          <cell r="H237">
            <v>421900.2</v>
          </cell>
          <cell r="I237">
            <v>0.60379719439585833</v>
          </cell>
          <cell r="J237">
            <v>422801</v>
          </cell>
          <cell r="K237">
            <v>448410.6</v>
          </cell>
          <cell r="L237">
            <v>451470.7</v>
          </cell>
          <cell r="M237">
            <v>1.733299429738701</v>
          </cell>
          <cell r="N237">
            <v>542168</v>
          </cell>
          <cell r="O237">
            <v>551414.69999999995</v>
          </cell>
          <cell r="P237">
            <v>559165.30000000005</v>
          </cell>
          <cell r="Q237">
            <v>0.81406191224184721</v>
          </cell>
          <cell r="R237">
            <v>530235.80000000005</v>
          </cell>
          <cell r="S237">
            <v>501739.4</v>
          </cell>
          <cell r="T237">
            <v>525948.1</v>
          </cell>
          <cell r="U237">
            <v>0.55743070055064348</v>
          </cell>
          <cell r="V237">
            <v>500518.2</v>
          </cell>
          <cell r="W237">
            <v>505410.7</v>
          </cell>
          <cell r="X237">
            <v>466322.7</v>
          </cell>
          <cell r="Y237">
            <v>0.58002705987837866</v>
          </cell>
          <cell r="Z237">
            <v>442876.5</v>
          </cell>
          <cell r="AA237">
            <v>471487.6</v>
          </cell>
          <cell r="AB237">
            <v>551969.80000000005</v>
          </cell>
          <cell r="AC237">
            <v>1.0231426777703403</v>
          </cell>
          <cell r="AD237">
            <v>611688.30000000005</v>
          </cell>
          <cell r="AE237">
            <v>579863.6</v>
          </cell>
          <cell r="AF237">
            <v>659044</v>
          </cell>
          <cell r="AG237">
            <v>1.606925195990841</v>
          </cell>
          <cell r="AH237">
            <v>557810.30000000005</v>
          </cell>
          <cell r="AI237">
            <v>566669.19999999995</v>
          </cell>
          <cell r="AJ237">
            <v>606498.69999999995</v>
          </cell>
          <cell r="AK237">
            <v>1.1157488658044628</v>
          </cell>
          <cell r="AL237">
            <v>533837.4</v>
          </cell>
          <cell r="AM237">
            <v>525616.6</v>
          </cell>
          <cell r="AN237">
            <v>350022.1</v>
          </cell>
          <cell r="AO237">
            <v>3.0230458974358978</v>
          </cell>
          <cell r="AP237">
            <v>323231.09999999998</v>
          </cell>
          <cell r="AQ237">
            <v>333493.59999999998</v>
          </cell>
          <cell r="AR237">
            <v>297686.09999999998</v>
          </cell>
          <cell r="AS237">
            <v>0.61699666666666675</v>
          </cell>
          <cell r="AT237">
            <v>302281.2</v>
          </cell>
          <cell r="AU237">
            <v>310589.3</v>
          </cell>
          <cell r="AV237">
            <v>325466.7</v>
          </cell>
          <cell r="AW237">
            <v>0.70660525779921568</v>
          </cell>
          <cell r="AX237">
            <v>305329.5</v>
          </cell>
          <cell r="AY237">
            <v>285957.8</v>
          </cell>
          <cell r="AZ237">
            <v>304821.5</v>
          </cell>
          <cell r="BA237">
            <v>0.36351782294086249</v>
          </cell>
          <cell r="BB237">
            <v>264420.40000000002</v>
          </cell>
          <cell r="BC237">
            <v>269627.90000000002</v>
          </cell>
          <cell r="BD237">
            <v>265619.90000000002</v>
          </cell>
          <cell r="BE237">
            <v>0.57141757142857141</v>
          </cell>
        </row>
        <row r="238">
          <cell r="A238" t="str">
            <v xml:space="preserve">  % Change</v>
          </cell>
          <cell r="B238">
            <v>66</v>
          </cell>
          <cell r="C238">
            <v>42</v>
          </cell>
          <cell r="D238">
            <v>41</v>
          </cell>
          <cell r="E238">
            <v>149</v>
          </cell>
          <cell r="F238">
            <v>67</v>
          </cell>
          <cell r="G238">
            <v>48</v>
          </cell>
          <cell r="H238">
            <v>62</v>
          </cell>
          <cell r="I238">
            <v>177</v>
          </cell>
          <cell r="J238">
            <v>58</v>
          </cell>
          <cell r="K238">
            <v>51</v>
          </cell>
          <cell r="L238">
            <v>18</v>
          </cell>
          <cell r="M238">
            <v>127</v>
          </cell>
          <cell r="N238">
            <v>90</v>
          </cell>
          <cell r="O238">
            <v>43</v>
          </cell>
          <cell r="P238">
            <v>63</v>
          </cell>
          <cell r="Q238">
            <v>196</v>
          </cell>
          <cell r="R238">
            <v>0.28603461193214996</v>
          </cell>
          <cell r="S238">
            <v>8.0406788478690538E-2</v>
          </cell>
          <cell r="T238">
            <v>0.10465125071042802</v>
          </cell>
          <cell r="U238">
            <v>0.15160920176617365</v>
          </cell>
          <cell r="V238">
            <v>7.1764956037821515E-2</v>
          </cell>
          <cell r="W238">
            <v>6.8070626418402114E-2</v>
          </cell>
          <cell r="X238">
            <v>0.10529148836620594</v>
          </cell>
          <cell r="Y238">
            <v>8.0866095647937453E-2</v>
          </cell>
          <cell r="Z238">
            <v>4.7482148812325375E-2</v>
          </cell>
          <cell r="AA238">
            <v>5.1463993045659517E-2</v>
          </cell>
          <cell r="AB238">
            <v>0.22260381459970713</v>
          </cell>
          <cell r="AC238">
            <v>0.10860627680585111</v>
          </cell>
          <cell r="AD238">
            <v>0.1282264906818551</v>
          </cell>
          <cell r="AE238">
            <v>5.1592567263803568E-2</v>
          </cell>
          <cell r="AF238">
            <v>0.17862106250155363</v>
          </cell>
          <cell r="AG238">
            <v>0.11970844920096702</v>
          </cell>
          <cell r="AH238">
            <v>5.2004221518049176E-2</v>
          </cell>
          <cell r="AI238">
            <v>0.12940941054260424</v>
          </cell>
          <cell r="AJ238">
            <v>0.15315313431116118</v>
          </cell>
          <cell r="AK238">
            <v>0.11108050056122787</v>
          </cell>
          <cell r="AL238">
            <v>6.6569407466102071E-2</v>
          </cell>
          <cell r="AM238">
            <v>3.9979169416080707E-2</v>
          </cell>
          <cell r="AN238">
            <v>-0.24939939659810695</v>
          </cell>
          <cell r="AO238">
            <v>-4.2639111412750341E-2</v>
          </cell>
          <cell r="AP238">
            <v>-0.27015522386037649</v>
          </cell>
          <cell r="AQ238">
            <v>-0.2926778986340256</v>
          </cell>
          <cell r="AR238">
            <v>-0.46068408090442636</v>
          </cell>
          <cell r="AS238">
            <v>-0.34911768731528336</v>
          </cell>
          <cell r="AT238">
            <v>-0.5058247803660787</v>
          </cell>
          <cell r="AU238">
            <v>-0.46437524272949704</v>
          </cell>
          <cell r="AV238">
            <v>-0.50615330691122296</v>
          </cell>
          <cell r="AW238">
            <v>-0.49295402632200791</v>
          </cell>
          <cell r="AX238">
            <v>-0.45262842941408576</v>
          </cell>
          <cell r="AY238">
            <v>-0.49537084422446109</v>
          </cell>
          <cell r="AZ238">
            <v>-0.49740782626574465</v>
          </cell>
          <cell r="BA238">
            <v>-0.48231075353808606</v>
          </cell>
          <cell r="BB238">
            <v>-0.50467988941951236</v>
          </cell>
          <cell r="BC238">
            <v>-0.48702552392751663</v>
          </cell>
          <cell r="BD238">
            <v>-0.24113391697267106</v>
          </cell>
          <cell r="BE238">
            <v>-0.43264862738715471</v>
          </cell>
        </row>
        <row r="239">
          <cell r="A239" t="str">
            <v>TRx MRX Products2</v>
          </cell>
          <cell r="B239">
            <v>412302.9</v>
          </cell>
          <cell r="C239">
            <v>464398.6</v>
          </cell>
          <cell r="D239">
            <v>476121.4</v>
          </cell>
          <cell r="E239">
            <v>1352822.9</v>
          </cell>
          <cell r="F239">
            <v>467003.7</v>
          </cell>
          <cell r="G239">
            <v>473199.7</v>
          </cell>
          <cell r="H239">
            <v>421900.2</v>
          </cell>
          <cell r="I239">
            <v>1362103.6</v>
          </cell>
          <cell r="J239">
            <v>422801</v>
          </cell>
          <cell r="K239">
            <v>448410.6</v>
          </cell>
          <cell r="L239">
            <v>451470.7</v>
          </cell>
          <cell r="M239">
            <v>1322682.3</v>
          </cell>
          <cell r="N239">
            <v>542168</v>
          </cell>
          <cell r="O239">
            <v>551414.69999999995</v>
          </cell>
          <cell r="P239">
            <v>559165.30000000005</v>
          </cell>
          <cell r="Q239">
            <v>1652748</v>
          </cell>
          <cell r="R239">
            <v>530235.80000000005</v>
          </cell>
          <cell r="S239">
            <v>501739.4</v>
          </cell>
          <cell r="T239">
            <v>525948.1</v>
          </cell>
          <cell r="U239">
            <v>1557923.3</v>
          </cell>
          <cell r="V239">
            <v>500518.2</v>
          </cell>
          <cell r="W239">
            <v>505410.7</v>
          </cell>
          <cell r="X239">
            <v>466322.7</v>
          </cell>
          <cell r="Y239">
            <v>1472251.6</v>
          </cell>
          <cell r="Z239">
            <v>442876.5</v>
          </cell>
          <cell r="AA239">
            <v>471487.6</v>
          </cell>
          <cell r="AB239">
            <v>551969.80000000005</v>
          </cell>
          <cell r="AC239">
            <v>1466333.9</v>
          </cell>
          <cell r="AD239">
            <v>611688.30000000005</v>
          </cell>
          <cell r="AE239">
            <v>579863.6</v>
          </cell>
          <cell r="AF239">
            <v>659044</v>
          </cell>
          <cell r="AG239">
            <v>1850595.9</v>
          </cell>
          <cell r="AH239">
            <v>557810.30000000005</v>
          </cell>
          <cell r="AI239">
            <v>566669.19999999995</v>
          </cell>
          <cell r="AJ239">
            <v>606498.69999999995</v>
          </cell>
          <cell r="AK239">
            <v>1730978.2</v>
          </cell>
          <cell r="AL239">
            <v>533837.4</v>
          </cell>
          <cell r="AM239">
            <v>525616.6</v>
          </cell>
          <cell r="AN239">
            <v>350022.1</v>
          </cell>
          <cell r="AO239">
            <v>1409476.1</v>
          </cell>
          <cell r="AP239">
            <v>323231.09999999998</v>
          </cell>
          <cell r="AQ239">
            <v>333493.59999999998</v>
          </cell>
          <cell r="AR239">
            <v>297686.09999999998</v>
          </cell>
          <cell r="AS239">
            <v>954410.8</v>
          </cell>
          <cell r="AT239">
            <v>302281.2</v>
          </cell>
          <cell r="AU239">
            <v>310589.3</v>
          </cell>
          <cell r="AV239">
            <v>325466.7</v>
          </cell>
          <cell r="AW239">
            <v>938337.2</v>
          </cell>
          <cell r="AX239">
            <v>305329.5</v>
          </cell>
          <cell r="AY239">
            <v>285957.8</v>
          </cell>
          <cell r="AZ239">
            <v>304821.5</v>
          </cell>
          <cell r="BA239">
            <v>896108.8</v>
          </cell>
          <cell r="BB239">
            <v>264420.40000000002</v>
          </cell>
          <cell r="BC239">
            <v>269627.90000000002</v>
          </cell>
          <cell r="BD239">
            <v>265619.90000000002</v>
          </cell>
          <cell r="BE239">
            <v>799668.2</v>
          </cell>
        </row>
        <row r="240">
          <cell r="A240" t="str">
            <v xml:space="preserve">  % Change</v>
          </cell>
          <cell r="B240">
            <v>0.53381900000000004</v>
          </cell>
          <cell r="C240">
            <v>0.32267000000000001</v>
          </cell>
          <cell r="D240">
            <v>0.79575700000000005</v>
          </cell>
          <cell r="E240">
            <v>1.6522460000000001</v>
          </cell>
          <cell r="F240">
            <v>0.51546700000000001</v>
          </cell>
          <cell r="G240">
            <v>0.41042899999999999</v>
          </cell>
          <cell r="H240">
            <v>0.58405600000000002</v>
          </cell>
          <cell r="I240">
            <v>1.5099520000000002</v>
          </cell>
          <cell r="J240">
            <v>0.62854500000000002</v>
          </cell>
          <cell r="K240">
            <v>0.82705399999999996</v>
          </cell>
          <cell r="L240">
            <v>0.750973</v>
          </cell>
          <cell r="M240">
            <v>2.206572</v>
          </cell>
          <cell r="N240">
            <v>0.69069800000000003</v>
          </cell>
          <cell r="O240">
            <v>0.54840199999999995</v>
          </cell>
          <cell r="P240">
            <v>0.84094999999999998</v>
          </cell>
          <cell r="Q240">
            <v>2.08005</v>
          </cell>
          <cell r="R240">
            <v>0.28603461193214996</v>
          </cell>
          <cell r="S240">
            <v>8.0406788478690538E-2</v>
          </cell>
          <cell r="T240">
            <v>0.10465125071042802</v>
          </cell>
          <cell r="U240">
            <v>0.15160920176617365</v>
          </cell>
          <cell r="V240">
            <v>7.1764956037821515E-2</v>
          </cell>
          <cell r="W240">
            <v>6.8070626418402114E-2</v>
          </cell>
          <cell r="X240">
            <v>0.10529148836620594</v>
          </cell>
          <cell r="Y240">
            <v>8.0866095647937453E-2</v>
          </cell>
          <cell r="Z240">
            <v>4.7482148812325375E-2</v>
          </cell>
          <cell r="AA240">
            <v>5.1463993045659517E-2</v>
          </cell>
          <cell r="AB240">
            <v>0.22260381459970713</v>
          </cell>
          <cell r="AC240">
            <v>0.10860627680585111</v>
          </cell>
          <cell r="AD240">
            <v>0.1282264906818551</v>
          </cell>
          <cell r="AE240">
            <v>5.1592567263803568E-2</v>
          </cell>
          <cell r="AF240">
            <v>0.17862106250155363</v>
          </cell>
          <cell r="AG240">
            <v>0.11970844920096702</v>
          </cell>
          <cell r="AH240">
            <v>5.2004221518049176E-2</v>
          </cell>
          <cell r="AI240">
            <v>0.12940941054260424</v>
          </cell>
          <cell r="AJ240">
            <v>0.15315313431116118</v>
          </cell>
          <cell r="AK240">
            <v>0.11108050056122787</v>
          </cell>
          <cell r="AL240">
            <v>6.6569407466102071E-2</v>
          </cell>
          <cell r="AM240">
            <v>3.9979169416080707E-2</v>
          </cell>
          <cell r="AN240">
            <v>-0.24939939659810695</v>
          </cell>
          <cell r="AO240">
            <v>-4.2639111412750341E-2</v>
          </cell>
          <cell r="AP240">
            <v>-0.27015522386037649</v>
          </cell>
          <cell r="AQ240">
            <v>-0.2926778986340256</v>
          </cell>
          <cell r="AR240">
            <v>-0.46068408090442636</v>
          </cell>
          <cell r="AS240">
            <v>-0.34911768731528336</v>
          </cell>
          <cell r="AT240">
            <v>-0.5058247803660787</v>
          </cell>
          <cell r="AU240">
            <v>-0.46437524272949704</v>
          </cell>
          <cell r="AV240">
            <v>-0.50615330691122296</v>
          </cell>
          <cell r="AW240">
            <v>-0.49295402632200791</v>
          </cell>
          <cell r="AX240">
            <v>-0.45262842941408576</v>
          </cell>
          <cell r="AY240">
            <v>-0.49537084422446109</v>
          </cell>
          <cell r="AZ240">
            <v>-0.49740782626574465</v>
          </cell>
          <cell r="BA240">
            <v>-0.48231075353808606</v>
          </cell>
          <cell r="BB240">
            <v>-0.50467988941951236</v>
          </cell>
          <cell r="BC240">
            <v>-0.48702552392751663</v>
          </cell>
          <cell r="BD240">
            <v>-0.24113391697267106</v>
          </cell>
          <cell r="BE240">
            <v>-0.43264862738715471</v>
          </cell>
        </row>
        <row r="241">
          <cell r="A241" t="str">
            <v>TOTAL REPORTED SALES4</v>
          </cell>
          <cell r="B241">
            <v>18.0964098</v>
          </cell>
          <cell r="C241">
            <v>18.565267500000001</v>
          </cell>
          <cell r="D241">
            <v>23.421486099999999</v>
          </cell>
          <cell r="E241">
            <v>56.622999999999998</v>
          </cell>
          <cell r="F241">
            <v>17.850798900000001</v>
          </cell>
          <cell r="G241">
            <v>18.312999900000001</v>
          </cell>
          <cell r="H241">
            <v>22.167855799999995</v>
          </cell>
          <cell r="I241">
            <v>57.628</v>
          </cell>
          <cell r="J241">
            <v>17.371682499999999</v>
          </cell>
          <cell r="K241">
            <v>18.589906600000003</v>
          </cell>
          <cell r="L241">
            <v>23.735451300000001</v>
          </cell>
          <cell r="M241">
            <v>58.744999999999997</v>
          </cell>
          <cell r="N241">
            <v>21.130486099999999</v>
          </cell>
          <cell r="O241">
            <v>22.1739563</v>
          </cell>
          <cell r="P241">
            <v>26.987654899999999</v>
          </cell>
          <cell r="Q241">
            <v>59.514000000000003</v>
          </cell>
          <cell r="R241">
            <v>22.363781400000001</v>
          </cell>
          <cell r="S241">
            <v>23.648058200000001</v>
          </cell>
          <cell r="T241">
            <v>28.967605899999999</v>
          </cell>
          <cell r="U241">
            <v>62.575000000000003</v>
          </cell>
          <cell r="V241">
            <v>22.5282959</v>
          </cell>
          <cell r="W241">
            <v>22.914672100000001</v>
          </cell>
          <cell r="X241">
            <v>30.4184293</v>
          </cell>
          <cell r="Y241">
            <v>66.704999999999998</v>
          </cell>
          <cell r="Z241">
            <v>22.4592569</v>
          </cell>
          <cell r="AA241">
            <v>24.842136</v>
          </cell>
          <cell r="AB241">
            <v>33.033219299999999</v>
          </cell>
          <cell r="AC241">
            <v>63.295000000000002</v>
          </cell>
          <cell r="AD241">
            <v>28.733097000000001</v>
          </cell>
          <cell r="AE241">
            <v>29.100548000000003</v>
          </cell>
          <cell r="AF241">
            <v>36.440402900000002</v>
          </cell>
          <cell r="AG241">
            <v>70.632999999999996</v>
          </cell>
          <cell r="AH241">
            <v>27.677975800000002</v>
          </cell>
          <cell r="AI241">
            <v>29.525263599999999</v>
          </cell>
          <cell r="AJ241">
            <v>37.337464600000004</v>
          </cell>
          <cell r="AK241">
            <v>81.838999999999999</v>
          </cell>
          <cell r="AL241">
            <v>29.373538100000001</v>
          </cell>
          <cell r="AM241">
            <v>30.7119888</v>
          </cell>
          <cell r="AN241">
            <v>31.129405999999999</v>
          </cell>
          <cell r="AO241">
            <v>87.953999999999994</v>
          </cell>
          <cell r="AP241">
            <v>23.4875398</v>
          </cell>
          <cell r="AQ241">
            <v>25.192516299999998</v>
          </cell>
          <cell r="AR241">
            <v>29.506764700000002</v>
          </cell>
          <cell r="AS241">
            <v>88.817999999999998</v>
          </cell>
          <cell r="AT241">
            <v>25.9174212</v>
          </cell>
          <cell r="AU241">
            <v>25.460899300000001</v>
          </cell>
          <cell r="AV241">
            <v>32.252715599999995</v>
          </cell>
          <cell r="AW241">
            <v>92.349000000000004</v>
          </cell>
          <cell r="AX241">
            <v>25.776069900000007</v>
          </cell>
          <cell r="AY241">
            <v>26.5595061</v>
          </cell>
          <cell r="AZ241">
            <v>31.667345100000002</v>
          </cell>
          <cell r="BA241">
            <v>95.188000000000002</v>
          </cell>
          <cell r="BB241">
            <v>23.055956399999999</v>
          </cell>
          <cell r="BC241">
            <v>24.030224700000002</v>
          </cell>
          <cell r="BD241">
            <v>0.47942915013227516</v>
          </cell>
          <cell r="BE241">
            <v>100.544</v>
          </cell>
        </row>
        <row r="242">
          <cell r="A242" t="str">
            <v xml:space="preserve">  % Change</v>
          </cell>
          <cell r="R242">
            <v>0.23581316112768413</v>
          </cell>
          <cell r="S242">
            <v>0.27377955636782514</v>
          </cell>
          <cell r="T242">
            <v>0.23679623813452211</v>
          </cell>
          <cell r="U242">
            <v>0.24792772645522843</v>
          </cell>
          <cell r="V242">
            <v>0.2620329222352058</v>
          </cell>
          <cell r="W242">
            <v>0.25127899443717028</v>
          </cell>
          <cell r="X242">
            <v>0.37218635732915617</v>
          </cell>
          <cell r="Y242">
            <v>0.30051852326506778</v>
          </cell>
          <cell r="Z242">
            <v>0.29286595584509456</v>
          </cell>
          <cell r="AA242">
            <v>0.33632387373048966</v>
          </cell>
          <cell r="AB242">
            <v>0.39172493004167142</v>
          </cell>
          <cell r="AC242">
            <v>0.34570510802073184</v>
          </cell>
          <cell r="AD242">
            <v>0.35979346920939981</v>
          </cell>
          <cell r="AE242">
            <v>0.31237509474121228</v>
          </cell>
          <cell r="AF242">
            <v>0.35026192661148947</v>
          </cell>
          <cell r="AG242">
            <v>0.18682998958228292</v>
          </cell>
          <cell r="AH242">
            <v>0.23762503777648281</v>
          </cell>
          <cell r="AI242">
            <v>0.248528033477184</v>
          </cell>
          <cell r="AJ242">
            <v>0.28893857258669775</v>
          </cell>
          <cell r="AK242">
            <v>0.30785457451058718</v>
          </cell>
          <cell r="AL242">
            <v>0.30385086516907833</v>
          </cell>
          <cell r="AM242">
            <v>0.34027616306148234</v>
          </cell>
          <cell r="AN242">
            <v>2.3373221969748448E-2</v>
          </cell>
          <cell r="AO242">
            <v>0.31855183269619958</v>
          </cell>
          <cell r="AP242">
            <v>4.5784368760660055E-2</v>
          </cell>
          <cell r="AQ242">
            <v>1.4104274286236729E-2</v>
          </cell>
          <cell r="AR242">
            <v>-0.1067547963755382</v>
          </cell>
          <cell r="AS242">
            <v>0.40323880243305155</v>
          </cell>
          <cell r="AT242">
            <v>-9.7994163316262095E-2</v>
          </cell>
          <cell r="AU242">
            <v>-0.12507148318993866</v>
          </cell>
          <cell r="AV242">
            <v>-0.11491879800264249</v>
          </cell>
          <cell r="AW242">
            <v>0.30744835983180674</v>
          </cell>
          <cell r="AX242">
            <v>-6.8715498334961156E-2</v>
          </cell>
          <cell r="AY242">
            <v>-0.10044812944532011</v>
          </cell>
          <cell r="AZ242">
            <v>-0.15186139607347637</v>
          </cell>
          <cell r="BA242">
            <v>0.16311294126272324</v>
          </cell>
          <cell r="BB242">
            <v>-0.21507731477536929</v>
          </cell>
          <cell r="BC242">
            <v>-0.21756207790750426</v>
          </cell>
          <cell r="BE242">
            <v>0.14314300657161705</v>
          </cell>
        </row>
        <row r="243">
          <cell r="A243" t="str">
            <v>TOTAL IMS SALES2</v>
          </cell>
          <cell r="B243">
            <v>18.0964098</v>
          </cell>
          <cell r="C243">
            <v>18.565267500000001</v>
          </cell>
          <cell r="D243">
            <v>23.421486099999999</v>
          </cell>
          <cell r="E243">
            <v>60.083163400000004</v>
          </cell>
          <cell r="F243">
            <v>17.850798900000001</v>
          </cell>
          <cell r="G243">
            <v>18.312999900000001</v>
          </cell>
          <cell r="H243">
            <v>22.167855799999995</v>
          </cell>
          <cell r="I243">
            <v>58.331654599999993</v>
          </cell>
          <cell r="J243">
            <v>17.371682499999999</v>
          </cell>
          <cell r="K243">
            <v>18.589906600000003</v>
          </cell>
          <cell r="L243">
            <v>23.735451300000001</v>
          </cell>
          <cell r="M243">
            <v>59.697040399999999</v>
          </cell>
          <cell r="N243">
            <v>21.130486099999999</v>
          </cell>
          <cell r="O243">
            <v>22.1739563</v>
          </cell>
          <cell r="P243">
            <v>26.987654899999999</v>
          </cell>
          <cell r="Q243">
            <v>70.292097299999995</v>
          </cell>
          <cell r="R243">
            <v>22.363781400000001</v>
          </cell>
          <cell r="S243">
            <v>23.648058200000001</v>
          </cell>
          <cell r="T243">
            <v>28.967605899999999</v>
          </cell>
          <cell r="U243">
            <v>74.979445499999997</v>
          </cell>
          <cell r="V243">
            <v>22.5282959</v>
          </cell>
          <cell r="W243">
            <v>22.914672100000001</v>
          </cell>
          <cell r="X243">
            <v>30.4184293</v>
          </cell>
          <cell r="Y243">
            <v>75.861397299999993</v>
          </cell>
          <cell r="Z243">
            <v>22.4592569</v>
          </cell>
          <cell r="AA243">
            <v>24.842136</v>
          </cell>
          <cell r="AB243">
            <v>33.033219299999999</v>
          </cell>
          <cell r="AC243">
            <v>80.334612199999995</v>
          </cell>
          <cell r="AD243">
            <v>28.733097000000001</v>
          </cell>
          <cell r="AE243">
            <v>29.100548000000003</v>
          </cell>
          <cell r="AF243">
            <v>36.440402900000002</v>
          </cell>
          <cell r="AG243">
            <v>94.274047899999999</v>
          </cell>
          <cell r="AH243">
            <v>27.677975800000002</v>
          </cell>
          <cell r="AI243">
            <v>29.525263599999999</v>
          </cell>
          <cell r="AJ243">
            <v>37.337464600000004</v>
          </cell>
          <cell r="AK243">
            <v>94.540704000000005</v>
          </cell>
          <cell r="AL243">
            <v>29.373538100000001</v>
          </cell>
          <cell r="AM243">
            <v>30.7119888</v>
          </cell>
          <cell r="AN243">
            <v>31.129405999999999</v>
          </cell>
          <cell r="AO243">
            <v>91.214932900000008</v>
          </cell>
          <cell r="AP243">
            <v>23.4875398</v>
          </cell>
          <cell r="AQ243">
            <v>25.192516299999998</v>
          </cell>
          <cell r="AR243">
            <v>29.506764700000002</v>
          </cell>
          <cell r="AS243">
            <v>78.186820800000007</v>
          </cell>
          <cell r="AT243">
            <v>25.9174212</v>
          </cell>
          <cell r="AU243">
            <v>25.460899300000001</v>
          </cell>
          <cell r="AV243">
            <v>32.252715599999995</v>
          </cell>
          <cell r="AW243">
            <v>83.631036099999989</v>
          </cell>
          <cell r="AX243">
            <v>25.776069900000007</v>
          </cell>
          <cell r="AY243">
            <v>26.5595061</v>
          </cell>
          <cell r="AZ243">
            <v>31.667345100000002</v>
          </cell>
          <cell r="BA243">
            <v>84.002921100000009</v>
          </cell>
          <cell r="BB243">
            <v>23.055956399999999</v>
          </cell>
          <cell r="BC243">
            <v>24.030224700000002</v>
          </cell>
          <cell r="BD243">
            <v>28.709295300000001</v>
          </cell>
          <cell r="BE243">
            <v>75.795476400000013</v>
          </cell>
        </row>
        <row r="244">
          <cell r="A244" t="str">
            <v xml:space="preserve">  % Change</v>
          </cell>
          <cell r="E244">
            <v>41.855441684199761</v>
          </cell>
          <cell r="I244">
            <v>42.30808875330775</v>
          </cell>
          <cell r="M244">
            <v>44.413537551685693</v>
          </cell>
          <cell r="Q244">
            <v>36.009119357579017</v>
          </cell>
          <cell r="R244">
            <v>0.23581316112768413</v>
          </cell>
          <cell r="S244">
            <v>0.27377955636782514</v>
          </cell>
          <cell r="T244">
            <v>0.23679623813452211</v>
          </cell>
          <cell r="U244">
            <v>0.24792772645522843</v>
          </cell>
          <cell r="V244">
            <v>0.2620329222352058</v>
          </cell>
          <cell r="W244">
            <v>0.25127899443717028</v>
          </cell>
          <cell r="X244">
            <v>0.37218635732915617</v>
          </cell>
          <cell r="Y244">
            <v>0.30051852326506778</v>
          </cell>
          <cell r="Z244">
            <v>0.29286595584509456</v>
          </cell>
          <cell r="AA244">
            <v>0.33632387373048966</v>
          </cell>
          <cell r="AB244">
            <v>0.39172493004167142</v>
          </cell>
          <cell r="AC244">
            <v>0.34570510802073184</v>
          </cell>
          <cell r="AD244">
            <v>0.35979346920939981</v>
          </cell>
          <cell r="AE244">
            <v>0.31237509474121228</v>
          </cell>
          <cell r="AF244">
            <v>0.35026192661148947</v>
          </cell>
          <cell r="AG244">
            <v>0.34117563027956499</v>
          </cell>
          <cell r="AH244">
            <v>0.23762503777648281</v>
          </cell>
          <cell r="AI244">
            <v>0.248528033477184</v>
          </cell>
          <cell r="AJ244">
            <v>0.28893857258669775</v>
          </cell>
          <cell r="AK244">
            <v>0.26088827904175438</v>
          </cell>
          <cell r="AL244">
            <v>0.30385086516907833</v>
          </cell>
          <cell r="AM244">
            <v>0.34027616306148234</v>
          </cell>
          <cell r="AN244">
            <v>2.3373221969748448E-2</v>
          </cell>
          <cell r="AO244">
            <v>0.20238930663619636</v>
          </cell>
          <cell r="AP244">
            <v>4.5784368760660055E-2</v>
          </cell>
          <cell r="AQ244">
            <v>1.4104274286236729E-2</v>
          </cell>
          <cell r="AR244">
            <v>-0.1067547963755382</v>
          </cell>
          <cell r="AS244">
            <v>-2.6735566914207198E-2</v>
          </cell>
          <cell r="AT244">
            <v>-9.7994163316262095E-2</v>
          </cell>
          <cell r="AU244">
            <v>-0.12507148318993866</v>
          </cell>
          <cell r="AV244">
            <v>-0.11491879800264249</v>
          </cell>
          <cell r="AW244">
            <v>-0.11289439710162286</v>
          </cell>
          <cell r="AX244">
            <v>-6.8715498334961156E-2</v>
          </cell>
          <cell r="AY244">
            <v>-0.10044812944532011</v>
          </cell>
          <cell r="AZ244">
            <v>-0.15186139607347637</v>
          </cell>
          <cell r="BA244">
            <v>-0.11146291971762756</v>
          </cell>
          <cell r="BB244">
            <v>-0.21507731477536929</v>
          </cell>
          <cell r="BC244">
            <v>-0.21756207790750426</v>
          </cell>
          <cell r="BD244">
            <v>-7.7743555402245645E-2</v>
          </cell>
          <cell r="BE244">
            <v>-0.16904530880820279</v>
          </cell>
        </row>
        <row r="245">
          <cell r="A245" t="str">
            <v>IMS SALES/REPORTED SALES</v>
          </cell>
          <cell r="E245">
            <v>1.0611087967786943</v>
          </cell>
          <cell r="I245">
            <v>1.0122102901367389</v>
          </cell>
          <cell r="M245">
            <v>1.0162063222401907</v>
          </cell>
          <cell r="Q245">
            <v>1.1811018802298618</v>
          </cell>
          <cell r="U245">
            <v>1.1982332481022773</v>
          </cell>
          <cell r="Y245">
            <v>1.1372670309571995</v>
          </cell>
          <cell r="AC245">
            <v>1.2692094509834899</v>
          </cell>
          <cell r="AG245">
            <v>1.3347025880254273</v>
          </cell>
          <cell r="AK245">
            <v>1.1552035582057456</v>
          </cell>
          <cell r="AO245">
            <v>1.037075436023376</v>
          </cell>
          <cell r="AS245">
            <v>0.88030377626156875</v>
          </cell>
          <cell r="AW245">
            <v>0.90559763614115996</v>
          </cell>
          <cell r="BA245">
            <v>0.88249486384838427</v>
          </cell>
          <cell r="BB245">
            <v>0.161163</v>
          </cell>
          <cell r="BC245">
            <v>0.26263799999999998</v>
          </cell>
          <cell r="BD245">
            <v>0.29489199999999999</v>
          </cell>
          <cell r="BE245">
            <v>0.71869300000000003</v>
          </cell>
        </row>
        <row r="246">
          <cell r="A246" t="str">
            <v>REPORTED SALES/TRx</v>
          </cell>
          <cell r="E246">
            <v>41.855441684199761</v>
          </cell>
          <cell r="I246">
            <v>42.30808875330775</v>
          </cell>
          <cell r="M246">
            <v>44.413537551685693</v>
          </cell>
          <cell r="Q246">
            <v>36.009119357579017</v>
          </cell>
          <cell r="U246">
            <v>40.165648719677023</v>
          </cell>
          <cell r="Y246">
            <v>45.308152492413654</v>
          </cell>
          <cell r="AC246">
            <v>43.16547547594719</v>
          </cell>
          <cell r="AG246">
            <v>38.167705872470592</v>
          </cell>
          <cell r="AK246">
            <v>47.27904718846257</v>
          </cell>
          <cell r="AO246">
            <v>62.401909475442672</v>
          </cell>
          <cell r="AS246">
            <v>93.06055631390592</v>
          </cell>
          <cell r="AW246">
            <v>98.417711671241435</v>
          </cell>
          <cell r="BA246">
            <v>106.2237085496761</v>
          </cell>
          <cell r="BE246">
            <v>125.73214740813752</v>
          </cell>
        </row>
        <row r="247">
          <cell r="A247" t="str">
            <v>IMS SALES/REPORTED SALES</v>
          </cell>
          <cell r="E247">
            <v>1.0611087967786943</v>
          </cell>
          <cell r="I247">
            <v>1.0122102901367389</v>
          </cell>
          <cell r="M247">
            <v>1.0162063222401907</v>
          </cell>
          <cell r="Q247">
            <v>1.1811018802298618</v>
          </cell>
          <cell r="U247">
            <v>1.1982332481022773</v>
          </cell>
          <cell r="Y247">
            <v>1.1372670309571995</v>
          </cell>
          <cell r="AC247">
            <v>1.2692094509834899</v>
          </cell>
          <cell r="AG247">
            <v>1.3347025880254273</v>
          </cell>
          <cell r="AK247">
            <v>1.1552035582057456</v>
          </cell>
          <cell r="AO247">
            <v>1.037075436023376</v>
          </cell>
          <cell r="AS247">
            <v>0.88030377626156875</v>
          </cell>
          <cell r="AW247">
            <v>0.90559763614115996</v>
          </cell>
          <cell r="BA247">
            <v>0.88249486384838427</v>
          </cell>
          <cell r="BE247">
            <v>0.7538537993316361</v>
          </cell>
        </row>
        <row r="248">
          <cell r="A248" t="str">
            <v>(1)  Licensed to Taro in 07/04; MRX receives approximately $1M per quarter in license payments (recognized as revenue)</v>
          </cell>
          <cell r="B248">
            <v>156772</v>
          </cell>
          <cell r="C248">
            <v>154879</v>
          </cell>
          <cell r="D248">
            <v>139096</v>
          </cell>
          <cell r="E248">
            <v>450747</v>
          </cell>
          <cell r="F248">
            <v>126261</v>
          </cell>
          <cell r="G248">
            <v>127063</v>
          </cell>
          <cell r="H248">
            <v>91968</v>
          </cell>
          <cell r="I248">
            <v>345292</v>
          </cell>
          <cell r="J248">
            <v>78606</v>
          </cell>
          <cell r="K248">
            <v>84755</v>
          </cell>
          <cell r="L248">
            <v>119970</v>
          </cell>
          <cell r="M248">
            <v>283331</v>
          </cell>
          <cell r="N248">
            <v>183970</v>
          </cell>
          <cell r="O248">
            <v>212553</v>
          </cell>
          <cell r="P248">
            <v>217555</v>
          </cell>
          <cell r="Q248">
            <v>614078</v>
          </cell>
          <cell r="R248">
            <v>203024</v>
          </cell>
          <cell r="S248">
            <v>206669</v>
          </cell>
          <cell r="T248">
            <v>198494</v>
          </cell>
          <cell r="U248">
            <v>608187</v>
          </cell>
          <cell r="V248">
            <v>173416</v>
          </cell>
          <cell r="W248">
            <v>165624</v>
          </cell>
          <cell r="X248">
            <v>126879</v>
          </cell>
          <cell r="Y248">
            <v>465919</v>
          </cell>
          <cell r="Z248">
            <v>96398</v>
          </cell>
          <cell r="AA248">
            <v>119042</v>
          </cell>
          <cell r="AB248">
            <v>205276</v>
          </cell>
          <cell r="AC248">
            <v>420716</v>
          </cell>
          <cell r="AD248">
            <v>252681</v>
          </cell>
          <cell r="AE248">
            <v>246127</v>
          </cell>
          <cell r="AF248">
            <v>287532</v>
          </cell>
          <cell r="AG248">
            <v>786340</v>
          </cell>
          <cell r="AH248">
            <v>217274</v>
          </cell>
          <cell r="AI248">
            <v>237713</v>
          </cell>
          <cell r="AJ248">
            <v>228597</v>
          </cell>
          <cell r="AK248">
            <v>683584</v>
          </cell>
          <cell r="AL248">
            <v>188651</v>
          </cell>
          <cell r="AM248">
            <v>182457</v>
          </cell>
          <cell r="AO248">
            <v>371108</v>
          </cell>
        </row>
        <row r="249">
          <cell r="A249" t="str">
            <v>(2)  Includes Omnicef at 10%</v>
          </cell>
          <cell r="R249">
            <v>0.29502717321970762</v>
          </cell>
          <cell r="S249">
            <v>0.33439007224994999</v>
          </cell>
          <cell r="T249">
            <v>0.42702881463162123</v>
          </cell>
          <cell r="U249">
            <v>0.3492868504948452</v>
          </cell>
          <cell r="V249">
            <v>0.37347241032464495</v>
          </cell>
          <cell r="W249">
            <v>0.30347937637235067</v>
          </cell>
          <cell r="X249">
            <v>0.37959942588726503</v>
          </cell>
          <cell r="Y249">
            <v>0.34934779838513497</v>
          </cell>
          <cell r="Z249">
            <v>0.22634404498384342</v>
          </cell>
          <cell r="AA249">
            <v>0.40454250486696952</v>
          </cell>
          <cell r="AB249">
            <v>0.71106109860798528</v>
          </cell>
          <cell r="AC249">
            <v>0.48489222852423497</v>
          </cell>
          <cell r="AD249">
            <v>0.37349024297439803</v>
          </cell>
          <cell r="AE249">
            <v>0.15795589805836663</v>
          </cell>
          <cell r="AF249">
            <v>0.32165199604697658</v>
          </cell>
          <cell r="AG249">
            <v>0.28052136699246666</v>
          </cell>
          <cell r="AH249">
            <v>7.0188746158089677E-2</v>
          </cell>
          <cell r="AI249">
            <v>0.15021120729282078</v>
          </cell>
          <cell r="AJ249">
            <v>0.15165697703708925</v>
          </cell>
          <cell r="AK249">
            <v>0.12397009472415554</v>
          </cell>
          <cell r="AL249">
            <v>8.7852331964755281E-2</v>
          </cell>
          <cell r="AM249">
            <v>0.10163382118533537</v>
          </cell>
          <cell r="AO249">
            <v>-0.20349245255076531</v>
          </cell>
        </row>
        <row r="250">
          <cell r="A250" t="str">
            <v>(3)  Licensed to BioMarin in 05/04; MRX will receives approximately $2M per quarter in license and reimbursement payments (recognized as revenue)</v>
          </cell>
          <cell r="B250">
            <v>154615</v>
          </cell>
          <cell r="C250">
            <v>152622</v>
          </cell>
          <cell r="D250">
            <v>137144</v>
          </cell>
          <cell r="E250">
            <v>444381</v>
          </cell>
          <cell r="F250">
            <v>124617</v>
          </cell>
          <cell r="G250">
            <v>125138</v>
          </cell>
          <cell r="H250">
            <v>90374</v>
          </cell>
          <cell r="I250">
            <v>340129</v>
          </cell>
          <cell r="J250">
            <v>77249</v>
          </cell>
          <cell r="K250">
            <v>83291</v>
          </cell>
          <cell r="L250">
            <v>118345</v>
          </cell>
          <cell r="M250">
            <v>278885</v>
          </cell>
          <cell r="N250">
            <v>181572</v>
          </cell>
          <cell r="O250">
            <v>209589</v>
          </cell>
          <cell r="P250">
            <v>214590</v>
          </cell>
          <cell r="Q250">
            <v>605751</v>
          </cell>
          <cell r="R250">
            <v>200080</v>
          </cell>
          <cell r="S250">
            <v>203700</v>
          </cell>
          <cell r="T250">
            <v>195499</v>
          </cell>
          <cell r="U250">
            <v>599279</v>
          </cell>
          <cell r="V250">
            <v>170623</v>
          </cell>
          <cell r="W250">
            <v>162834</v>
          </cell>
          <cell r="X250">
            <v>124476</v>
          </cell>
          <cell r="Y250">
            <v>457933</v>
          </cell>
          <cell r="Z250">
            <v>94567</v>
          </cell>
          <cell r="AA250">
            <v>116876</v>
          </cell>
          <cell r="AB250">
            <v>202074</v>
          </cell>
          <cell r="AC250">
            <v>413517</v>
          </cell>
          <cell r="AD250">
            <v>248691</v>
          </cell>
          <cell r="AE250">
            <v>242280</v>
          </cell>
          <cell r="AF250">
            <v>283033</v>
          </cell>
          <cell r="AG250">
            <v>774004</v>
          </cell>
          <cell r="AH250">
            <v>213382</v>
          </cell>
          <cell r="AI250">
            <v>233675</v>
          </cell>
          <cell r="AJ250">
            <v>224581</v>
          </cell>
          <cell r="AK250">
            <v>671638</v>
          </cell>
          <cell r="AL250">
            <v>185192</v>
          </cell>
          <cell r="AM250">
            <v>179338</v>
          </cell>
          <cell r="AO250">
            <v>364530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MKTD"/>
      <sheetName val="PPLN-brand"/>
      <sheetName val="PPLN-generic"/>
      <sheetName val="IMS"/>
      <sheetName val="iQ_US_CoreIndustrials"/>
      <sheetName val="P&amp;L Review"/>
      <sheetName val="SUMMARY"/>
      <sheetName val="VA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A3" t="str">
            <v>Product</v>
          </cell>
          <cell r="B3">
            <v>36892</v>
          </cell>
          <cell r="C3">
            <v>36923</v>
          </cell>
          <cell r="D3">
            <v>36951</v>
          </cell>
          <cell r="E3" t="str">
            <v>Q1:01</v>
          </cell>
          <cell r="F3">
            <v>36982</v>
          </cell>
          <cell r="G3">
            <v>37012</v>
          </cell>
          <cell r="H3">
            <v>37043</v>
          </cell>
          <cell r="I3" t="str">
            <v>Q2:01</v>
          </cell>
          <cell r="J3">
            <v>37073</v>
          </cell>
          <cell r="K3">
            <v>37104</v>
          </cell>
          <cell r="L3">
            <v>37135</v>
          </cell>
          <cell r="M3" t="str">
            <v>Q3:01</v>
          </cell>
          <cell r="N3">
            <v>37165</v>
          </cell>
          <cell r="O3">
            <v>37196</v>
          </cell>
          <cell r="P3">
            <v>37226</v>
          </cell>
          <cell r="Q3" t="str">
            <v>Q4:01</v>
          </cell>
          <cell r="R3">
            <v>37257</v>
          </cell>
          <cell r="S3">
            <v>37288</v>
          </cell>
          <cell r="T3">
            <v>37316</v>
          </cell>
          <cell r="U3" t="str">
            <v>Q1:02</v>
          </cell>
          <cell r="V3">
            <v>37347</v>
          </cell>
          <cell r="W3">
            <v>37377</v>
          </cell>
          <cell r="X3">
            <v>37408</v>
          </cell>
          <cell r="Y3" t="str">
            <v>Q2:02</v>
          </cell>
          <cell r="Z3">
            <v>37438</v>
          </cell>
          <cell r="AA3">
            <v>37469</v>
          </cell>
          <cell r="AB3">
            <v>37500</v>
          </cell>
          <cell r="AC3" t="str">
            <v>Q3:02</v>
          </cell>
          <cell r="AD3">
            <v>37530</v>
          </cell>
          <cell r="AE3">
            <v>37561</v>
          </cell>
          <cell r="AF3">
            <v>37591</v>
          </cell>
          <cell r="AG3" t="str">
            <v>Q4:02</v>
          </cell>
          <cell r="AH3">
            <v>37622</v>
          </cell>
          <cell r="AI3">
            <v>37653</v>
          </cell>
          <cell r="AJ3">
            <v>37681</v>
          </cell>
          <cell r="AK3" t="str">
            <v>Q1:03</v>
          </cell>
          <cell r="AL3" t="str">
            <v>Apr-03</v>
          </cell>
          <cell r="AM3">
            <v>37744</v>
          </cell>
          <cell r="AN3">
            <v>37775</v>
          </cell>
          <cell r="AO3" t="str">
            <v>Q1:F04</v>
          </cell>
          <cell r="AP3">
            <v>37805</v>
          </cell>
          <cell r="AQ3">
            <v>37836</v>
          </cell>
          <cell r="AR3">
            <v>37867</v>
          </cell>
          <cell r="AS3" t="str">
            <v>Q2:F04</v>
          </cell>
          <cell r="AT3">
            <v>37897</v>
          </cell>
          <cell r="AU3">
            <v>37928</v>
          </cell>
          <cell r="AV3">
            <v>37958</v>
          </cell>
          <cell r="AW3" t="str">
            <v>Q3:F04</v>
          </cell>
          <cell r="AX3">
            <v>37987</v>
          </cell>
          <cell r="AY3">
            <v>38018</v>
          </cell>
          <cell r="AZ3">
            <v>38047</v>
          </cell>
          <cell r="BA3" t="str">
            <v>Q4:F04</v>
          </cell>
          <cell r="BB3">
            <v>38078</v>
          </cell>
          <cell r="BC3">
            <v>38108</v>
          </cell>
          <cell r="BD3">
            <v>38139</v>
          </cell>
          <cell r="BE3" t="str">
            <v>Q1:F05</v>
          </cell>
          <cell r="BF3">
            <v>38169</v>
          </cell>
          <cell r="BG3">
            <v>38200</v>
          </cell>
          <cell r="BH3">
            <v>38231</v>
          </cell>
          <cell r="BI3" t="str">
            <v>Q2:F05E</v>
          </cell>
        </row>
        <row r="5">
          <cell r="A5" t="str">
            <v>AMNESTEEM</v>
          </cell>
        </row>
        <row r="6">
          <cell r="A6" t="str">
            <v>TRx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</v>
          </cell>
          <cell r="AF6">
            <v>11418</v>
          </cell>
          <cell r="AG6">
            <v>11451</v>
          </cell>
          <cell r="AH6">
            <v>31826</v>
          </cell>
          <cell r="AI6">
            <v>33679</v>
          </cell>
          <cell r="AJ6">
            <v>42011</v>
          </cell>
          <cell r="AK6">
            <v>107516</v>
          </cell>
          <cell r="AL6">
            <v>46305</v>
          </cell>
          <cell r="AM6">
            <v>46346</v>
          </cell>
          <cell r="AN6">
            <v>39427</v>
          </cell>
          <cell r="AO6">
            <v>132078</v>
          </cell>
          <cell r="AP6">
            <v>38727</v>
          </cell>
          <cell r="AQ6">
            <v>37561</v>
          </cell>
          <cell r="AR6">
            <v>38409</v>
          </cell>
          <cell r="AS6">
            <v>114697</v>
          </cell>
          <cell r="AT6">
            <v>41864</v>
          </cell>
          <cell r="AU6">
            <v>38788</v>
          </cell>
          <cell r="AV6">
            <v>43256</v>
          </cell>
          <cell r="AW6">
            <v>123908</v>
          </cell>
          <cell r="AX6">
            <v>44333</v>
          </cell>
          <cell r="AY6">
            <v>43197</v>
          </cell>
          <cell r="AZ6">
            <v>48300</v>
          </cell>
          <cell r="BA6">
            <v>135830</v>
          </cell>
          <cell r="BB6">
            <v>45281</v>
          </cell>
          <cell r="BC6">
            <v>43931</v>
          </cell>
          <cell r="BD6">
            <v>43165</v>
          </cell>
          <cell r="BE6">
            <v>132377</v>
          </cell>
          <cell r="BF6">
            <v>41483</v>
          </cell>
          <cell r="BG6">
            <v>41615</v>
          </cell>
          <cell r="BH6">
            <v>41020</v>
          </cell>
          <cell r="BI6">
            <v>124118</v>
          </cell>
        </row>
        <row r="7">
          <cell r="A7" t="str">
            <v xml:space="preserve">  % Change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 t="e">
            <v>#DIV/0!</v>
          </cell>
          <cell r="AQ7" t="e">
            <v>#DIV/0!</v>
          </cell>
          <cell r="AR7" t="e">
            <v>#DIV/0!</v>
          </cell>
          <cell r="AS7">
            <v>0</v>
          </cell>
          <cell r="AT7">
            <v>0</v>
          </cell>
          <cell r="AU7">
            <v>0</v>
          </cell>
          <cell r="AV7">
            <v>2.788404273953407</v>
          </cell>
          <cell r="AW7">
            <v>9.8207143480918688</v>
          </cell>
          <cell r="AX7">
            <v>0.3929805819141583</v>
          </cell>
          <cell r="AY7">
            <v>0.28260934113245639</v>
          </cell>
          <cell r="AZ7">
            <v>0.14969888838637502</v>
          </cell>
          <cell r="BA7">
            <v>0.26334685070129105</v>
          </cell>
          <cell r="BB7">
            <v>-2.2114242522405791E-2</v>
          </cell>
          <cell r="BC7">
            <v>-5.2108056790230006E-2</v>
          </cell>
          <cell r="BD7">
            <v>9.4808126410835136E-2</v>
          </cell>
          <cell r="BE7">
            <v>2.2638138069928093E-3</v>
          </cell>
          <cell r="BF7">
            <v>7.1164820409533425E-2</v>
          </cell>
          <cell r="BG7">
            <v>0.10793109874603979</v>
          </cell>
          <cell r="BH7">
            <v>6.7978859121559987E-2</v>
          </cell>
          <cell r="BI7">
            <v>8.2138155313565386E-2</v>
          </cell>
        </row>
        <row r="8">
          <cell r="A8" t="str">
            <v>NRx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</v>
          </cell>
          <cell r="AF8">
            <v>11182</v>
          </cell>
          <cell r="AG8">
            <v>11215</v>
          </cell>
          <cell r="AH8">
            <v>31204</v>
          </cell>
          <cell r="AI8">
            <v>32934</v>
          </cell>
          <cell r="AJ8">
            <v>41212</v>
          </cell>
          <cell r="AK8">
            <v>105350</v>
          </cell>
          <cell r="AL8">
            <v>45515</v>
          </cell>
          <cell r="AM8">
            <v>45414</v>
          </cell>
          <cell r="AN8">
            <v>38617</v>
          </cell>
          <cell r="AO8">
            <v>129546</v>
          </cell>
          <cell r="AP8">
            <v>37979</v>
          </cell>
          <cell r="AQ8">
            <v>36954</v>
          </cell>
          <cell r="AR8">
            <v>37717</v>
          </cell>
          <cell r="AS8">
            <v>112650</v>
          </cell>
          <cell r="AT8">
            <v>41107</v>
          </cell>
          <cell r="AU8">
            <v>38094</v>
          </cell>
          <cell r="AV8">
            <v>42535</v>
          </cell>
          <cell r="AW8">
            <v>121736</v>
          </cell>
          <cell r="AX8">
            <v>43709</v>
          </cell>
          <cell r="AY8">
            <v>42666</v>
          </cell>
          <cell r="AZ8">
            <v>47774</v>
          </cell>
          <cell r="BA8">
            <v>134149</v>
          </cell>
          <cell r="BB8">
            <v>44876</v>
          </cell>
          <cell r="BC8">
            <v>43618</v>
          </cell>
          <cell r="BD8">
            <v>42917</v>
          </cell>
          <cell r="BE8">
            <v>131411</v>
          </cell>
          <cell r="BF8">
            <v>41234</v>
          </cell>
          <cell r="BG8">
            <v>41384</v>
          </cell>
          <cell r="BH8">
            <v>40819</v>
          </cell>
          <cell r="BI8">
            <v>123437</v>
          </cell>
        </row>
        <row r="9">
          <cell r="A9" t="str">
            <v xml:space="preserve">  % Change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 t="e">
            <v>#DIV/0!</v>
          </cell>
          <cell r="AQ9" t="e">
            <v>#DIV/0!</v>
          </cell>
          <cell r="AR9" t="e">
            <v>#DIV/0!</v>
          </cell>
          <cell r="AS9">
            <v>0</v>
          </cell>
          <cell r="AT9">
            <v>0</v>
          </cell>
          <cell r="AU9">
            <v>0</v>
          </cell>
          <cell r="AV9">
            <v>2.8038812377034521</v>
          </cell>
          <cell r="AW9">
            <v>9.8547481052162276</v>
          </cell>
          <cell r="AX9">
            <v>0.40074990385847964</v>
          </cell>
          <cell r="AY9">
            <v>0.29550009109127351</v>
          </cell>
          <cell r="AZ9">
            <v>0.15922546831020101</v>
          </cell>
          <cell r="BA9">
            <v>0.27336497389653536</v>
          </cell>
          <cell r="BB9">
            <v>-1.4039327694166714E-2</v>
          </cell>
          <cell r="BC9">
            <v>-3.9547276170343926E-2</v>
          </cell>
          <cell r="BD9">
            <v>0.11134992360877338</v>
          </cell>
          <cell r="BE9">
            <v>1.4396430611520294E-2</v>
          </cell>
          <cell r="BF9">
            <v>8.5705258168988108E-2</v>
          </cell>
          <cell r="BG9">
            <v>0.11987876819830068</v>
          </cell>
          <cell r="BH9">
            <v>8.2244080918418838E-2</v>
          </cell>
          <cell r="BI9">
            <v>9.5756768752774057E-2</v>
          </cell>
        </row>
        <row r="10">
          <cell r="A10" t="str">
            <v>37110 Ther class</v>
          </cell>
          <cell r="O10">
            <v>432196</v>
          </cell>
          <cell r="P10">
            <v>426368</v>
          </cell>
          <cell r="Q10">
            <v>858564</v>
          </cell>
          <cell r="R10">
            <v>446211</v>
          </cell>
          <cell r="S10">
            <v>394010</v>
          </cell>
          <cell r="T10">
            <v>420987</v>
          </cell>
          <cell r="U10">
            <v>1261208</v>
          </cell>
          <cell r="V10">
            <v>396684</v>
          </cell>
          <cell r="W10">
            <v>384361</v>
          </cell>
          <cell r="X10">
            <v>355715</v>
          </cell>
          <cell r="Y10">
            <v>1136760</v>
          </cell>
          <cell r="Z10">
            <v>366793</v>
          </cell>
          <cell r="AA10">
            <v>401239</v>
          </cell>
          <cell r="AB10">
            <v>371629</v>
          </cell>
          <cell r="AC10">
            <v>1139661</v>
          </cell>
          <cell r="AD10">
            <v>405431</v>
          </cell>
          <cell r="AE10">
            <v>381287</v>
          </cell>
          <cell r="AF10">
            <v>383255</v>
          </cell>
          <cell r="AG10">
            <v>1169973</v>
          </cell>
          <cell r="AH10">
            <v>399660</v>
          </cell>
          <cell r="AI10">
            <v>348321</v>
          </cell>
          <cell r="AJ10">
            <v>386766</v>
          </cell>
          <cell r="AK10">
            <v>1134747</v>
          </cell>
          <cell r="AL10">
            <v>376044</v>
          </cell>
          <cell r="AM10">
            <v>386686</v>
          </cell>
          <cell r="AN10">
            <v>379372</v>
          </cell>
          <cell r="AO10">
            <v>1142102</v>
          </cell>
          <cell r="AP10">
            <v>386943</v>
          </cell>
          <cell r="AQ10">
            <v>402345</v>
          </cell>
          <cell r="AR10">
            <v>394740</v>
          </cell>
          <cell r="AS10">
            <v>1184028</v>
          </cell>
          <cell r="AT10">
            <v>409877</v>
          </cell>
          <cell r="AU10">
            <v>374276</v>
          </cell>
          <cell r="AV10">
            <v>401052</v>
          </cell>
          <cell r="AW10">
            <v>1185205</v>
          </cell>
          <cell r="AX10">
            <v>401052</v>
          </cell>
          <cell r="AY10">
            <v>370919</v>
          </cell>
          <cell r="AZ10">
            <v>427209</v>
          </cell>
          <cell r="BA10">
            <v>1199180</v>
          </cell>
          <cell r="BB10">
            <v>386293</v>
          </cell>
          <cell r="BC10">
            <v>377806</v>
          </cell>
          <cell r="BD10">
            <v>390854</v>
          </cell>
          <cell r="BE10">
            <v>1154953</v>
          </cell>
          <cell r="BF10">
            <v>378360</v>
          </cell>
          <cell r="BG10">
            <v>406195</v>
          </cell>
          <cell r="BH10">
            <v>374945</v>
          </cell>
          <cell r="BI10">
            <v>1159500</v>
          </cell>
        </row>
        <row r="11">
          <cell r="A11" t="str">
            <v>37110 Ther class</v>
          </cell>
          <cell r="O11">
            <v>318389</v>
          </cell>
          <cell r="P11">
            <v>306938</v>
          </cell>
          <cell r="Q11">
            <v>625327</v>
          </cell>
          <cell r="R11">
            <v>331644</v>
          </cell>
          <cell r="S11">
            <v>294041</v>
          </cell>
          <cell r="T11">
            <v>313406</v>
          </cell>
          <cell r="U11">
            <v>939091</v>
          </cell>
          <cell r="V11">
            <v>298481</v>
          </cell>
          <cell r="W11">
            <v>287950</v>
          </cell>
          <cell r="X11">
            <v>264468</v>
          </cell>
          <cell r="Y11">
            <v>850899</v>
          </cell>
          <cell r="Z11">
            <v>274101</v>
          </cell>
          <cell r="AA11">
            <v>303792</v>
          </cell>
          <cell r="AB11">
            <v>279705</v>
          </cell>
          <cell r="AC11">
            <v>857598</v>
          </cell>
          <cell r="AD11">
            <v>310704</v>
          </cell>
          <cell r="AE11">
            <v>293158</v>
          </cell>
          <cell r="AF11">
            <v>287523</v>
          </cell>
          <cell r="AG11">
            <v>891385</v>
          </cell>
          <cell r="AH11">
            <v>309336</v>
          </cell>
          <cell r="AI11">
            <v>270417</v>
          </cell>
          <cell r="AJ11">
            <v>298539</v>
          </cell>
          <cell r="AK11">
            <v>878292</v>
          </cell>
          <cell r="AL11">
            <v>290745</v>
          </cell>
          <cell r="AM11">
            <v>295616</v>
          </cell>
          <cell r="AN11">
            <v>289695</v>
          </cell>
          <cell r="AO11">
            <v>876056</v>
          </cell>
          <cell r="AP11">
            <v>296168</v>
          </cell>
          <cell r="AQ11">
            <v>308799</v>
          </cell>
          <cell r="AR11">
            <v>302540</v>
          </cell>
          <cell r="AS11">
            <v>907507</v>
          </cell>
          <cell r="AT11">
            <v>319059</v>
          </cell>
          <cell r="AU11">
            <v>289143</v>
          </cell>
          <cell r="AV11">
            <v>305650</v>
          </cell>
          <cell r="AW11">
            <v>913852</v>
          </cell>
          <cell r="AX11">
            <v>305650</v>
          </cell>
          <cell r="AY11">
            <v>292781</v>
          </cell>
          <cell r="AZ11">
            <v>336493</v>
          </cell>
          <cell r="BA11">
            <v>934924</v>
          </cell>
          <cell r="BB11">
            <v>300447</v>
          </cell>
          <cell r="BC11">
            <v>290772</v>
          </cell>
          <cell r="BD11">
            <v>299622</v>
          </cell>
          <cell r="BE11">
            <v>890841</v>
          </cell>
          <cell r="BF11">
            <v>290154</v>
          </cell>
          <cell r="BG11">
            <v>313277</v>
          </cell>
          <cell r="BH11">
            <v>288336</v>
          </cell>
          <cell r="BI11">
            <v>891767</v>
          </cell>
        </row>
        <row r="12">
          <cell r="A12" t="str">
            <v>TRx Market Growth</v>
          </cell>
          <cell r="AE12">
            <v>-0.1177914649834797</v>
          </cell>
          <cell r="AF12">
            <v>-0.10111687556289406</v>
          </cell>
          <cell r="AG12">
            <v>0.36270912826533608</v>
          </cell>
          <cell r="AH12">
            <v>-0.10432508387287631</v>
          </cell>
          <cell r="AI12">
            <v>-0.11595898581254283</v>
          </cell>
          <cell r="AJ12">
            <v>-8.1287545696185348E-2</v>
          </cell>
          <cell r="AK12">
            <v>-0.10026974139079359</v>
          </cell>
          <cell r="AL12">
            <v>-5.2031339807000032E-2</v>
          </cell>
          <cell r="AM12">
            <v>6.0490008091351744E-3</v>
          </cell>
          <cell r="AN12">
            <v>6.650548894480135E-2</v>
          </cell>
          <cell r="AO12">
            <v>4.699320876878188E-3</v>
          </cell>
          <cell r="AP12">
            <v>5.493561763719601E-2</v>
          </cell>
          <cell r="AQ12">
            <v>2.756461859390491E-3</v>
          </cell>
          <cell r="AR12">
            <v>6.2188365278274871E-2</v>
          </cell>
          <cell r="AS12">
            <v>3.8929997604550737E-2</v>
          </cell>
          <cell r="AT12">
            <v>1.0966107673068937E-2</v>
          </cell>
          <cell r="AU12">
            <v>-1.8387723683209733E-2</v>
          </cell>
          <cell r="AV12">
            <v>4.6436445708470941E-2</v>
          </cell>
          <cell r="AW12">
            <v>1.3019103859661652E-2</v>
          </cell>
          <cell r="AX12">
            <v>3.4829605164390376E-3</v>
          </cell>
          <cell r="AY12">
            <v>6.4876938226520853E-2</v>
          </cell>
          <cell r="AZ12">
            <v>0.10456710258916235</v>
          </cell>
          <cell r="BA12">
            <v>5.6781820088530832E-2</v>
          </cell>
          <cell r="BB12">
            <v>2.7254789333163165E-2</v>
          </cell>
          <cell r="BC12">
            <v>-2.2964369022928199E-2</v>
          </cell>
          <cell r="BD12">
            <v>3.0265807703256931E-2</v>
          </cell>
          <cell r="BE12">
            <v>1.125205979851196E-2</v>
          </cell>
          <cell r="BF12">
            <v>-2.2181561625355672E-2</v>
          </cell>
          <cell r="BG12">
            <v>9.5689023102063508E-3</v>
          </cell>
          <cell r="BH12">
            <v>-5.0146932157876023E-2</v>
          </cell>
          <cell r="BI12">
            <v>-2.0715726317283023E-2</v>
          </cell>
        </row>
        <row r="13">
          <cell r="A13" t="str">
            <v>NRx Market Growth</v>
          </cell>
          <cell r="AE13">
            <v>-7.9245828216427117E-2</v>
          </cell>
          <cell r="AF13">
            <v>-6.3253816731717816E-2</v>
          </cell>
          <cell r="AG13">
            <v>0.42547019399450203</v>
          </cell>
          <cell r="AH13">
            <v>-6.7264898505626558E-2</v>
          </cell>
          <cell r="AI13">
            <v>-8.0342537265211345E-2</v>
          </cell>
          <cell r="AJ13">
            <v>-4.743687102352856E-2</v>
          </cell>
          <cell r="AK13">
            <v>-6.4742394507028567E-2</v>
          </cell>
          <cell r="AL13">
            <v>-2.5917897621624109E-2</v>
          </cell>
          <cell r="AM13">
            <v>2.662267754818548E-2</v>
          </cell>
          <cell r="AN13">
            <v>9.5387721765960443E-2</v>
          </cell>
          <cell r="AO13">
            <v>2.9565201040311573E-2</v>
          </cell>
          <cell r="AP13">
            <v>8.0506820478582819E-2</v>
          </cell>
          <cell r="AQ13">
            <v>1.6481671670089959E-2</v>
          </cell>
          <cell r="AR13">
            <v>8.1639584562306799E-2</v>
          </cell>
          <cell r="AS13">
            <v>5.8196264450243618E-2</v>
          </cell>
          <cell r="AT13">
            <v>2.6890545342190597E-2</v>
          </cell>
          <cell r="AU13">
            <v>-1.3695686285211339E-2</v>
          </cell>
          <cell r="AV13">
            <v>6.3045391151316688E-2</v>
          </cell>
          <cell r="AW13">
            <v>2.5204597340094281E-2</v>
          </cell>
          <cell r="AX13">
            <v>-1.1915845553055582E-2</v>
          </cell>
          <cell r="AY13">
            <v>8.2701901137872236E-2</v>
          </cell>
          <cell r="AZ13">
            <v>0.12713246845470771</v>
          </cell>
          <cell r="BA13">
            <v>6.4479694680129152E-2</v>
          </cell>
          <cell r="BB13">
            <v>3.3369447453954537E-2</v>
          </cell>
          <cell r="BC13">
            <v>-1.6386122537345726E-2</v>
          </cell>
          <cell r="BD13">
            <v>3.4267073991611774E-2</v>
          </cell>
          <cell r="BE13">
            <v>1.6876775000684852E-2</v>
          </cell>
          <cell r="BF13">
            <v>-2.030604251640955E-2</v>
          </cell>
          <cell r="BG13">
            <v>1.4501342297092989E-2</v>
          </cell>
          <cell r="BH13">
            <v>-4.6949163746942579E-2</v>
          </cell>
          <cell r="BI13">
            <v>-1.7344218832471836E-2</v>
          </cell>
        </row>
        <row r="14">
          <cell r="A14" t="str">
            <v>TRx Market Share</v>
          </cell>
          <cell r="AE14">
            <v>8.6548977541851677E-5</v>
          </cell>
          <cell r="AF14">
            <v>2.9792174922701597E-2</v>
          </cell>
          <cell r="AG14">
            <v>9.7874053503798804E-3</v>
          </cell>
          <cell r="AH14">
            <v>7.9632687784616921E-2</v>
          </cell>
          <cell r="AI14">
            <v>9.6689547859589289E-2</v>
          </cell>
          <cell r="AJ14">
            <v>0.10862123351070156</v>
          </cell>
          <cell r="AK14">
            <v>9.4748873537449319E-2</v>
          </cell>
          <cell r="AL14">
            <v>0.12313718607397006</v>
          </cell>
          <cell r="AM14">
            <v>0.1198543521099807</v>
          </cell>
          <cell r="AN14">
            <v>0.10392701622681695</v>
          </cell>
          <cell r="AO14">
            <v>0.11564466221055562</v>
          </cell>
          <cell r="AP14">
            <v>0.10008450857102984</v>
          </cell>
          <cell r="AQ14">
            <v>9.3355205110042375E-2</v>
          </cell>
          <cell r="AR14">
            <v>9.7302021583827336E-2</v>
          </cell>
          <cell r="AS14">
            <v>9.6870175367474415E-2</v>
          </cell>
          <cell r="AT14">
            <v>0.10213795846070894</v>
          </cell>
          <cell r="AU14">
            <v>0.10363475082559395</v>
          </cell>
          <cell r="AV14">
            <v>0.10785633783150314</v>
          </cell>
          <cell r="AW14">
            <v>0.10454562712779646</v>
          </cell>
          <cell r="AX14">
            <v>0.11054177513140441</v>
          </cell>
          <cell r="AY14">
            <v>0.11645938870750756</v>
          </cell>
          <cell r="AZ14">
            <v>0.11305941588309235</v>
          </cell>
          <cell r="BA14">
            <v>0.11326906719591721</v>
          </cell>
          <cell r="BB14">
            <v>0.11721931280142275</v>
          </cell>
          <cell r="BC14">
            <v>0.1162792544321689</v>
          </cell>
          <cell r="BD14">
            <v>0.11043765702794393</v>
          </cell>
          <cell r="BE14">
            <v>0.11461678527178162</v>
          </cell>
          <cell r="BF14">
            <v>0.10963896817845438</v>
          </cell>
          <cell r="BG14">
            <v>0.10245079333817501</v>
          </cell>
          <cell r="BH14">
            <v>0.10940271239781835</v>
          </cell>
          <cell r="BI14">
            <v>0.10704441569642087</v>
          </cell>
        </row>
        <row r="15">
          <cell r="A15" t="str">
            <v>NRx Market Share</v>
          </cell>
          <cell r="AE15">
            <v>1.12567284535984E-4</v>
          </cell>
          <cell r="AF15">
            <v>3.8890801779335911E-2</v>
          </cell>
          <cell r="AG15">
            <v>1.2581544450489968E-2</v>
          </cell>
          <cell r="AH15">
            <v>0.10087413039542763</v>
          </cell>
          <cell r="AI15">
            <v>0.12178968038252033</v>
          </cell>
          <cell r="AJ15">
            <v>0.13804561548072447</v>
          </cell>
          <cell r="AK15">
            <v>0.11994871864937856</v>
          </cell>
          <cell r="AL15">
            <v>0.15654611429259316</v>
          </cell>
          <cell r="AM15">
            <v>0.15362497293786534</v>
          </cell>
          <cell r="AN15">
            <v>0.13330226617649596</v>
          </cell>
          <cell r="AO15">
            <v>0.14787410850447916</v>
          </cell>
          <cell r="AP15">
            <v>0.12823465060371142</v>
          </cell>
          <cell r="AQ15">
            <v>0.11967007665180263</v>
          </cell>
          <cell r="AR15">
            <v>0.12466781252065842</v>
          </cell>
          <cell r="AS15">
            <v>0.12413127391854829</v>
          </cell>
          <cell r="AT15">
            <v>0.12883823994935106</v>
          </cell>
          <cell r="AU15">
            <v>0.13174795862255009</v>
          </cell>
          <cell r="AV15">
            <v>0.13916244070014722</v>
          </cell>
          <cell r="AW15">
            <v>0.13321194241518319</v>
          </cell>
          <cell r="AX15">
            <v>0.14300343530181581</v>
          </cell>
          <cell r="AY15">
            <v>0.14572666942185455</v>
          </cell>
          <cell r="AZ15">
            <v>0.14197620752883419</v>
          </cell>
          <cell r="BA15">
            <v>0.14348652938634585</v>
          </cell>
          <cell r="BB15">
            <v>0.14936411413660314</v>
          </cell>
          <cell r="BC15">
            <v>0.15000756606550836</v>
          </cell>
          <cell r="BD15">
            <v>0.1432371454699588</v>
          </cell>
          <cell r="BE15">
            <v>0.14751341709687812</v>
          </cell>
          <cell r="BF15">
            <v>0.14211074119260805</v>
          </cell>
          <cell r="BG15">
            <v>0.1321003457004504</v>
          </cell>
          <cell r="BH15">
            <v>0.14156747683258419</v>
          </cell>
          <cell r="BI15">
            <v>0.13841844338263246</v>
          </cell>
        </row>
        <row r="16">
          <cell r="A16" t="str">
            <v>Price Change (YoY)</v>
          </cell>
          <cell r="AO16">
            <v>0</v>
          </cell>
          <cell r="AS16">
            <v>0</v>
          </cell>
          <cell r="AW16">
            <v>0</v>
          </cell>
          <cell r="BA16">
            <v>0</v>
          </cell>
          <cell r="BE16">
            <v>0</v>
          </cell>
          <cell r="BI16">
            <v>0</v>
          </cell>
        </row>
        <row r="18">
          <cell r="A18" t="str">
            <v xml:space="preserve">TRx + Amnesteem Price Change 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S18">
            <v>0</v>
          </cell>
          <cell r="AW18">
            <v>0</v>
          </cell>
          <cell r="BA18">
            <v>0.26334685070129105</v>
          </cell>
        </row>
        <row r="20">
          <cell r="A20" t="str">
            <v xml:space="preserve">TOTAL AMNESTEEM REPORTED SALES </v>
          </cell>
          <cell r="Y20">
            <v>0</v>
          </cell>
          <cell r="AC20">
            <v>0</v>
          </cell>
          <cell r="AG20">
            <v>15</v>
          </cell>
          <cell r="AK20">
            <v>46.5</v>
          </cell>
          <cell r="AO20">
            <v>28.1</v>
          </cell>
          <cell r="AS20">
            <v>10</v>
          </cell>
        </row>
        <row r="21">
          <cell r="A21" t="str">
            <v xml:space="preserve">  % Change</v>
          </cell>
          <cell r="AO21">
            <v>0</v>
          </cell>
          <cell r="AS21">
            <v>0</v>
          </cell>
          <cell r="AW21">
            <v>-1</v>
          </cell>
          <cell r="BA21">
            <v>-1</v>
          </cell>
        </row>
        <row r="23">
          <cell r="A23" t="str">
            <v>Sales (IMS)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4.66E-4</v>
          </cell>
          <cell r="AF23">
            <v>11.837478000000001</v>
          </cell>
          <cell r="AG23">
            <v>11.837944</v>
          </cell>
          <cell r="AH23">
            <v>9.5741530000000008</v>
          </cell>
          <cell r="AI23">
            <v>10.618105</v>
          </cell>
          <cell r="AJ23">
            <v>17.948634999999999</v>
          </cell>
          <cell r="AK23">
            <v>38.140893000000005</v>
          </cell>
          <cell r="AL23">
            <v>17.219532000000001</v>
          </cell>
          <cell r="AM23">
            <v>12.754963</v>
          </cell>
          <cell r="AN23">
            <v>12.478591</v>
          </cell>
          <cell r="AO23">
            <v>42.453085999999999</v>
          </cell>
          <cell r="AP23">
            <v>8.7760999999999996</v>
          </cell>
          <cell r="AQ23">
            <v>8.8459730000000008</v>
          </cell>
          <cell r="AR23">
            <v>10.697938000000001</v>
          </cell>
          <cell r="AS23">
            <v>28.320011000000001</v>
          </cell>
          <cell r="AT23">
            <v>9.3956909999999993</v>
          </cell>
          <cell r="AU23">
            <v>10.349183</v>
          </cell>
          <cell r="AV23">
            <v>12.447692</v>
          </cell>
          <cell r="AW23">
            <v>32.192565999999999</v>
          </cell>
          <cell r="AX23">
            <v>10.570546</v>
          </cell>
          <cell r="AY23">
            <v>11.017366000000001</v>
          </cell>
          <cell r="AZ23">
            <v>14.357571999999999</v>
          </cell>
          <cell r="BA23">
            <v>35.945484</v>
          </cell>
          <cell r="BB23">
            <v>11.009982000000001</v>
          </cell>
          <cell r="BC23">
            <v>10.868366</v>
          </cell>
          <cell r="BD23">
            <v>12.770996999999999</v>
          </cell>
          <cell r="BE23">
            <v>34.649345000000004</v>
          </cell>
          <cell r="BF23">
            <v>9.3846070000000008</v>
          </cell>
          <cell r="BG23">
            <v>9.5162650000000006</v>
          </cell>
        </row>
        <row r="24">
          <cell r="A24" t="str">
            <v xml:space="preserve">  % Change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5.1549324949115016E-2</v>
          </cell>
          <cell r="AW24">
            <v>1.7194389498717007</v>
          </cell>
          <cell r="AX24">
            <v>0.10407113819885683</v>
          </cell>
          <cell r="AY24">
            <v>3.7601907308319138E-2</v>
          </cell>
          <cell r="AZ24">
            <v>-0.20007443462970864</v>
          </cell>
          <cell r="BA24">
            <v>-5.756050336839269E-2</v>
          </cell>
          <cell r="BB24">
            <v>-0.36061084586967862</v>
          </cell>
          <cell r="BC24">
            <v>-0.14791081714623555</v>
          </cell>
          <cell r="BD24">
            <v>2.3432613505803612E-2</v>
          </cell>
          <cell r="BE24">
            <v>-0.1838203470061045</v>
          </cell>
          <cell r="BF24">
            <v>6.933683526851353E-2</v>
          </cell>
          <cell r="BG24">
            <v>7.577368820818231E-2</v>
          </cell>
        </row>
        <row r="26">
          <cell r="A26" t="str">
            <v>TOTAL OTHER BRANDS1</v>
          </cell>
        </row>
        <row r="27">
          <cell r="A27" t="str">
            <v>TOTAL OTHER BRANDS TRx</v>
          </cell>
          <cell r="O27">
            <v>830040</v>
          </cell>
          <cell r="P27">
            <v>875784</v>
          </cell>
          <cell r="Q27">
            <v>1705824</v>
          </cell>
          <cell r="R27">
            <v>971106</v>
          </cell>
          <cell r="S27">
            <v>915785</v>
          </cell>
          <cell r="T27">
            <v>1002829</v>
          </cell>
          <cell r="U27">
            <v>2889720</v>
          </cell>
          <cell r="V27">
            <v>1030803</v>
          </cell>
          <cell r="W27">
            <v>1042673</v>
          </cell>
          <cell r="X27">
            <v>989897</v>
          </cell>
          <cell r="Y27">
            <v>3063373</v>
          </cell>
          <cell r="Z27">
            <v>1082959</v>
          </cell>
          <cell r="AA27">
            <v>1077692</v>
          </cell>
          <cell r="AB27">
            <v>1060335</v>
          </cell>
          <cell r="AC27">
            <v>3220986</v>
          </cell>
          <cell r="AD27">
            <v>1146472</v>
          </cell>
          <cell r="AE27">
            <v>1097964</v>
          </cell>
          <cell r="AF27">
            <v>1172969</v>
          </cell>
          <cell r="AG27">
            <v>3417405</v>
          </cell>
          <cell r="AH27">
            <v>1183744</v>
          </cell>
          <cell r="AI27">
            <v>1075384</v>
          </cell>
          <cell r="AJ27">
            <v>1168858</v>
          </cell>
          <cell r="AK27">
            <v>3427986</v>
          </cell>
          <cell r="AL27">
            <v>1130786</v>
          </cell>
          <cell r="AM27">
            <v>1142486</v>
          </cell>
          <cell r="AN27">
            <v>1103441</v>
          </cell>
          <cell r="AO27">
            <v>3376713</v>
          </cell>
          <cell r="AP27">
            <v>1118154</v>
          </cell>
          <cell r="AQ27">
            <v>1059049</v>
          </cell>
          <cell r="AR27">
            <v>1020191</v>
          </cell>
          <cell r="AS27">
            <v>3197394</v>
          </cell>
          <cell r="AT27">
            <v>1026425</v>
          </cell>
          <cell r="AU27">
            <v>939311</v>
          </cell>
          <cell r="AV27">
            <v>1040702</v>
          </cell>
          <cell r="AW27">
            <v>3006438</v>
          </cell>
          <cell r="AX27">
            <v>1020006</v>
          </cell>
          <cell r="AY27">
            <v>930902</v>
          </cell>
          <cell r="AZ27">
            <v>1027355</v>
          </cell>
          <cell r="BA27">
            <v>2978263</v>
          </cell>
          <cell r="BB27">
            <v>971062</v>
          </cell>
          <cell r="BC27">
            <v>951556</v>
          </cell>
          <cell r="BD27">
            <v>966272</v>
          </cell>
          <cell r="BE27">
            <v>2888890</v>
          </cell>
          <cell r="BF27">
            <v>964317</v>
          </cell>
          <cell r="BG27">
            <v>970673</v>
          </cell>
          <cell r="BH27">
            <v>948713</v>
          </cell>
          <cell r="BI27">
            <v>2883703</v>
          </cell>
        </row>
        <row r="28">
          <cell r="A28" t="str">
            <v xml:space="preserve">  % Change</v>
          </cell>
          <cell r="AE28">
            <v>0.32278444412317486</v>
          </cell>
          <cell r="AF28">
            <v>0.339335954984334</v>
          </cell>
          <cell r="AG28">
            <v>1.0033749085485959</v>
          </cell>
          <cell r="AH28">
            <v>0.2189647680067881</v>
          </cell>
          <cell r="AI28">
            <v>0.17427562146136921</v>
          </cell>
          <cell r="AJ28">
            <v>0.16556062898061374</v>
          </cell>
          <cell r="AK28">
            <v>0.18626925792118265</v>
          </cell>
          <cell r="AL28">
            <v>9.6995255155446714E-2</v>
          </cell>
          <cell r="AM28">
            <v>9.5727999094634697E-2</v>
          </cell>
          <cell r="AN28">
            <v>0.11470284282102083</v>
          </cell>
          <cell r="AO28">
            <v>0.1022859442842905</v>
          </cell>
          <cell r="AP28">
            <v>3.2498921935179448E-2</v>
          </cell>
          <cell r="AQ28">
            <v>-1.7299005652821053E-2</v>
          </cell>
          <cell r="AR28">
            <v>-3.7859733008907548E-2</v>
          </cell>
          <cell r="AS28">
            <v>-7.3244652413888556E-3</v>
          </cell>
          <cell r="AT28">
            <v>-0.10470992749931962</v>
          </cell>
          <cell r="AU28">
            <v>-0.14449745164686634</v>
          </cell>
          <cell r="AV28">
            <v>-0.11276257087783226</v>
          </cell>
          <cell r="AW28">
            <v>-0.12025703713782832</v>
          </cell>
          <cell r="AX28">
            <v>-0.13832213721885811</v>
          </cell>
          <cell r="AY28">
            <v>-0.13435386801365834</v>
          </cell>
          <cell r="AZ28">
            <v>-0.12106089875759074</v>
          </cell>
          <cell r="BA28">
            <v>-0.13119160930062146</v>
          </cell>
          <cell r="BB28">
            <v>-0.14125042227264928</v>
          </cell>
          <cell r="BC28">
            <v>-0.16711802157750733</v>
          </cell>
          <cell r="BD28">
            <v>-0.12431022592055219</v>
          </cell>
          <cell r="BE28">
            <v>-0.14446682320943471</v>
          </cell>
          <cell r="BF28">
            <v>-0.13758122763054104</v>
          </cell>
          <cell r="BG28">
            <v>-8.3448452337899326E-2</v>
          </cell>
          <cell r="BH28">
            <v>-7.006335088233473E-2</v>
          </cell>
          <cell r="BI28">
            <v>-9.8108334474887982E-2</v>
          </cell>
        </row>
        <row r="30">
          <cell r="A30" t="str">
            <v xml:space="preserve">TOTAL OTHER BRANDS REPORTED SALES </v>
          </cell>
          <cell r="I30">
            <v>28.111000000000001</v>
          </cell>
          <cell r="M30">
            <v>33.511000000000003</v>
          </cell>
          <cell r="Q30">
            <v>35.856999999999999</v>
          </cell>
          <cell r="U30">
            <v>35.497</v>
          </cell>
          <cell r="Y30">
            <v>39.828000000000003</v>
          </cell>
          <cell r="AC30">
            <v>45.258000000000003</v>
          </cell>
          <cell r="AG30">
            <v>51.605999999999995</v>
          </cell>
          <cell r="AK30">
            <v>58.382999999999996</v>
          </cell>
          <cell r="AO30">
            <v>48.08</v>
          </cell>
          <cell r="AS30">
            <v>50.6</v>
          </cell>
          <cell r="AW30">
            <v>59.1</v>
          </cell>
          <cell r="BA30">
            <v>69.400000000000006</v>
          </cell>
          <cell r="BE30">
            <v>60</v>
          </cell>
        </row>
        <row r="31">
          <cell r="A31" t="str">
            <v xml:space="preserve">  % Change</v>
          </cell>
          <cell r="Y31">
            <v>0.41681192415780299</v>
          </cell>
          <cell r="AC31">
            <v>0.35054161320163524</v>
          </cell>
          <cell r="AG31">
            <v>0.43921688931031588</v>
          </cell>
          <cell r="AK31">
            <v>0.64473054060906554</v>
          </cell>
          <cell r="AO31">
            <v>0.20719092096012859</v>
          </cell>
          <cell r="AS31">
            <v>0.11803438066198235</v>
          </cell>
          <cell r="AW31">
            <v>0.14521567259620993</v>
          </cell>
          <cell r="BA31">
            <v>0.18870219070619898</v>
          </cell>
          <cell r="BE31">
            <v>0.24792013311148065</v>
          </cell>
        </row>
        <row r="33">
          <cell r="A33" t="str">
            <v>TOTAL OTHER BRANDS SALES (IMS)</v>
          </cell>
          <cell r="O33">
            <v>9.022787000000001</v>
          </cell>
          <cell r="P33">
            <v>10.854015</v>
          </cell>
          <cell r="Q33">
            <v>29.084283000000003</v>
          </cell>
          <cell r="R33">
            <v>9.0013349999999992</v>
          </cell>
          <cell r="S33">
            <v>9.0892620000000015</v>
          </cell>
          <cell r="T33">
            <v>11.707319</v>
          </cell>
          <cell r="U33">
            <v>29.797916000000001</v>
          </cell>
          <cell r="V33">
            <v>9.5677430000000001</v>
          </cell>
          <cell r="W33">
            <v>9.7131960000000017</v>
          </cell>
          <cell r="X33">
            <v>12.236055</v>
          </cell>
          <cell r="Y33">
            <v>31.516993999999997</v>
          </cell>
          <cell r="Z33">
            <v>9.8368830000000003</v>
          </cell>
          <cell r="AA33">
            <v>9.9140090000000001</v>
          </cell>
          <cell r="AB33">
            <v>12.775431000000001</v>
          </cell>
          <cell r="AC33">
            <v>32.526323000000005</v>
          </cell>
          <cell r="AD33">
            <v>10.058160000000001</v>
          </cell>
          <cell r="AE33">
            <v>10.110047</v>
          </cell>
          <cell r="AF33">
            <v>12.0822</v>
          </cell>
          <cell r="AG33">
            <v>32.250407000000003</v>
          </cell>
          <cell r="AH33">
            <v>10.387034</v>
          </cell>
          <cell r="AI33">
            <v>9.9839460000000013</v>
          </cell>
          <cell r="AJ33">
            <v>12.146283999999998</v>
          </cell>
          <cell r="AK33">
            <v>32.517263999999997</v>
          </cell>
          <cell r="AL33">
            <v>10.452258</v>
          </cell>
          <cell r="AM33">
            <v>9.5650720000000007</v>
          </cell>
          <cell r="AN33">
            <v>11.942916</v>
          </cell>
          <cell r="AO33">
            <v>31.960245999999998</v>
          </cell>
          <cell r="AP33">
            <v>9.0575569999999992</v>
          </cell>
          <cell r="AQ33">
            <v>8.7967719999999989</v>
          </cell>
          <cell r="AR33">
            <v>10.342909000000001</v>
          </cell>
          <cell r="AS33">
            <v>28.197238000000002</v>
          </cell>
          <cell r="AT33">
            <v>8.121024000000002</v>
          </cell>
          <cell r="AU33">
            <v>7.8947899999999995</v>
          </cell>
          <cell r="AV33">
            <v>9.2299659999999992</v>
          </cell>
          <cell r="AW33">
            <v>25.24578</v>
          </cell>
          <cell r="AX33">
            <v>7.427441</v>
          </cell>
          <cell r="AY33">
            <v>6.9775410000000004</v>
          </cell>
          <cell r="AZ33">
            <v>8.6190519999999999</v>
          </cell>
          <cell r="BA33">
            <v>23.024034</v>
          </cell>
          <cell r="BB33">
            <v>6.7137819999999993</v>
          </cell>
          <cell r="BC33">
            <v>6.7380100000000001</v>
          </cell>
          <cell r="BD33">
            <v>8.1750880000000006</v>
          </cell>
          <cell r="BE33">
            <v>21.62688</v>
          </cell>
          <cell r="BF33">
            <v>6.5249449999999998</v>
          </cell>
          <cell r="BG33">
            <v>6.9400890000000004</v>
          </cell>
        </row>
        <row r="34">
          <cell r="A34" t="str">
            <v xml:space="preserve">  % Change</v>
          </cell>
          <cell r="AE34">
            <v>0.1205015700802865</v>
          </cell>
          <cell r="AF34">
            <v>0.11315490166542053</v>
          </cell>
          <cell r="AG34">
            <v>0.10886030781642431</v>
          </cell>
          <cell r="AH34">
            <v>0.15394372057033778</v>
          </cell>
          <cell r="AI34">
            <v>9.8433074104366192E-2</v>
          </cell>
          <cell r="AJ34">
            <v>3.7494920912294116E-2</v>
          </cell>
          <cell r="AK34">
            <v>9.1259670642738877E-2</v>
          </cell>
          <cell r="AL34">
            <v>9.2447612775552246E-2</v>
          </cell>
          <cell r="AM34">
            <v>-1.5249769488848042E-2</v>
          </cell>
          <cell r="AN34">
            <v>-2.3956986136463132E-2</v>
          </cell>
          <cell r="AO34">
            <v>1.4063904698525587E-2</v>
          </cell>
          <cell r="AP34">
            <v>-7.9224892681960424E-2</v>
          </cell>
          <cell r="AQ34">
            <v>-0.11269275628053199</v>
          </cell>
          <cell r="AR34">
            <v>-0.19040625713527792</v>
          </cell>
          <cell r="AS34">
            <v>-0.13309481677347923</v>
          </cell>
          <cell r="AT34">
            <v>-0.19259347634159718</v>
          </cell>
          <cell r="AU34">
            <v>-0.21911441163428813</v>
          </cell>
          <cell r="AV34">
            <v>-0.23606909337703408</v>
          </cell>
          <cell r="AW34">
            <v>-0.21719499539959297</v>
          </cell>
          <cell r="AX34">
            <v>-0.2849314828467876</v>
          </cell>
          <cell r="AY34">
            <v>-0.30112392434814861</v>
          </cell>
          <cell r="AZ34">
            <v>-0.29039597625084335</v>
          </cell>
          <cell r="BA34">
            <v>-0.2919443038012054</v>
          </cell>
          <cell r="BB34">
            <v>-0.35767161507111678</v>
          </cell>
          <cell r="BC34">
            <v>-0.29556097434499196</v>
          </cell>
          <cell r="BD34">
            <v>-0.31548643564101098</v>
          </cell>
          <cell r="BE34">
            <v>-0.32331935117145216</v>
          </cell>
          <cell r="BF34">
            <v>-0.27961314513394719</v>
          </cell>
          <cell r="BG34">
            <v>-0.21106412670465924</v>
          </cell>
        </row>
        <row r="36">
          <cell r="A36" t="str">
            <v>REPORTED SALES/TRx OTHER BRANDS</v>
          </cell>
          <cell r="Q36">
            <v>21.020339730241808</v>
          </cell>
          <cell r="U36">
            <v>12.283889096521463</v>
          </cell>
          <cell r="Y36">
            <v>13.001355042301411</v>
          </cell>
          <cell r="AC36">
            <v>14.050976936875852</v>
          </cell>
          <cell r="AG36">
            <v>15.100931847410534</v>
          </cell>
          <cell r="AK36">
            <v>17.031283091587888</v>
          </cell>
          <cell r="AO36">
            <v>14.238698995147058</v>
          </cell>
          <cell r="AS36">
            <v>15.82538780018978</v>
          </cell>
          <cell r="AW36">
            <v>19.657814330446861</v>
          </cell>
          <cell r="BA36">
            <v>23.302173112314126</v>
          </cell>
        </row>
        <row r="37">
          <cell r="A37" t="str">
            <v>IMS SALES/REPORTED SALES</v>
          </cell>
          <cell r="AC37">
            <v>0.71868670732246243</v>
          </cell>
          <cell r="AG37">
            <v>0.62493522071077023</v>
          </cell>
          <cell r="AK37">
            <v>0.55696459585838343</v>
          </cell>
          <cell r="AO37">
            <v>0.66473057404326108</v>
          </cell>
          <cell r="AS37">
            <v>0.55725766798418974</v>
          </cell>
          <cell r="AW37">
            <v>0.4271705583756345</v>
          </cell>
          <cell r="BA37">
            <v>0.33175841498559078</v>
          </cell>
        </row>
        <row r="39">
          <cell r="A39" t="str">
            <v>TOTAL BRANDS</v>
          </cell>
        </row>
        <row r="40">
          <cell r="A40" t="str">
            <v>TOTAL BRANDS TRx</v>
          </cell>
          <cell r="O40">
            <v>830040</v>
          </cell>
          <cell r="P40">
            <v>875784</v>
          </cell>
          <cell r="Q40">
            <v>1705824</v>
          </cell>
          <cell r="R40">
            <v>971106</v>
          </cell>
          <cell r="S40">
            <v>915785</v>
          </cell>
          <cell r="T40">
            <v>1002829</v>
          </cell>
          <cell r="U40">
            <v>2889720</v>
          </cell>
          <cell r="V40">
            <v>1030803</v>
          </cell>
          <cell r="W40">
            <v>1042673</v>
          </cell>
          <cell r="X40">
            <v>989897</v>
          </cell>
          <cell r="Y40">
            <v>3063373</v>
          </cell>
          <cell r="Z40">
            <v>1082959</v>
          </cell>
          <cell r="AA40">
            <v>1077692</v>
          </cell>
          <cell r="AB40">
            <v>1060335</v>
          </cell>
          <cell r="AC40">
            <v>3220986</v>
          </cell>
          <cell r="AD40">
            <v>1146472</v>
          </cell>
          <cell r="AE40">
            <v>1097997</v>
          </cell>
          <cell r="AF40">
            <v>1184387</v>
          </cell>
          <cell r="AG40">
            <v>3428856</v>
          </cell>
          <cell r="AH40">
            <v>1215570</v>
          </cell>
          <cell r="AI40">
            <v>1109063</v>
          </cell>
          <cell r="AJ40">
            <v>1210869</v>
          </cell>
          <cell r="AK40">
            <v>3535502</v>
          </cell>
          <cell r="AL40">
            <v>1177091</v>
          </cell>
          <cell r="AM40">
            <v>1188832</v>
          </cell>
          <cell r="AN40">
            <v>1142868</v>
          </cell>
          <cell r="AO40">
            <v>3508791</v>
          </cell>
          <cell r="AP40">
            <v>1156881</v>
          </cell>
          <cell r="AQ40">
            <v>1096610</v>
          </cell>
          <cell r="AR40">
            <v>1058600</v>
          </cell>
          <cell r="AS40">
            <v>3312091</v>
          </cell>
          <cell r="AT40">
            <v>1068289</v>
          </cell>
          <cell r="AU40">
            <v>978099</v>
          </cell>
          <cell r="AV40">
            <v>1083958</v>
          </cell>
          <cell r="AW40">
            <v>3130346</v>
          </cell>
          <cell r="AX40">
            <v>1064339</v>
          </cell>
          <cell r="AY40">
            <v>974099</v>
          </cell>
          <cell r="AZ40">
            <v>1075655</v>
          </cell>
          <cell r="BA40">
            <v>3114093</v>
          </cell>
          <cell r="BB40">
            <v>1016343</v>
          </cell>
          <cell r="BC40">
            <v>995487</v>
          </cell>
          <cell r="BD40">
            <v>1009437</v>
          </cell>
          <cell r="BE40">
            <v>3021267</v>
          </cell>
          <cell r="BF40">
            <v>1005800</v>
          </cell>
          <cell r="BG40">
            <v>1012288</v>
          </cell>
          <cell r="BH40">
            <v>989733</v>
          </cell>
          <cell r="BI40">
            <v>3007821</v>
          </cell>
        </row>
        <row r="41">
          <cell r="A41" t="str">
            <v xml:space="preserve">  % Change</v>
          </cell>
          <cell r="AE41">
            <v>0.32282420124331357</v>
          </cell>
          <cell r="AF41">
            <v>0.35237341627615937</v>
          </cell>
          <cell r="AG41">
            <v>1.0100877933479655</v>
          </cell>
          <cell r="AH41">
            <v>0.25173770937467177</v>
          </cell>
          <cell r="AI41">
            <v>0.21105172065495714</v>
          </cell>
          <cell r="AJ41">
            <v>0.20745311513727671</v>
          </cell>
          <cell r="AK41">
            <v>0.22347563085696875</v>
          </cell>
          <cell r="AL41">
            <v>0.14191654467439463</v>
          </cell>
          <cell r="AM41">
            <v>0.14017721759362711</v>
          </cell>
          <cell r="AN41">
            <v>0.1545322392127666</v>
          </cell>
          <cell r="AO41">
            <v>0.14540116401104264</v>
          </cell>
          <cell r="AP41">
            <v>6.8259278513775667E-2</v>
          </cell>
          <cell r="AQ41">
            <v>1.7554180600765301E-2</v>
          </cell>
          <cell r="AR41">
            <v>-1.6362753280803055E-3</v>
          </cell>
          <cell r="AS41">
            <v>2.8284817133635398E-2</v>
          </cell>
          <cell r="AT41">
            <v>-6.819442603046566E-2</v>
          </cell>
          <cell r="AU41">
            <v>-0.1091970196639882</v>
          </cell>
          <cell r="AV41">
            <v>-8.4794074909636752E-2</v>
          </cell>
          <cell r="AW41">
            <v>-8.7058190836827198E-2</v>
          </cell>
          <cell r="AX41">
            <v>-0.12441159291525783</v>
          </cell>
          <cell r="AY41">
            <v>-0.1216919147063783</v>
          </cell>
          <cell r="AZ41">
            <v>-0.1116669102933513</v>
          </cell>
          <cell r="BA41">
            <v>-0.11919354026670048</v>
          </cell>
          <cell r="BB41">
            <v>-0.13656378308898798</v>
          </cell>
          <cell r="BC41">
            <v>-0.16263441764690045</v>
          </cell>
          <cell r="BD41">
            <v>-0.11675101586534931</v>
          </cell>
          <cell r="BE41">
            <v>-0.1389435848416164</v>
          </cell>
          <cell r="BF41">
            <v>-0.13059337995869924</v>
          </cell>
          <cell r="BG41">
            <v>-7.6893334913962108E-2</v>
          </cell>
          <cell r="BH41">
            <v>-6.5054789344417108E-2</v>
          </cell>
          <cell r="BI41">
            <v>-9.186643724462884E-2</v>
          </cell>
        </row>
        <row r="43">
          <cell r="A43" t="str">
            <v xml:space="preserve">TOTAL BRANDS REPORTED SALES </v>
          </cell>
          <cell r="I43">
            <v>28.111000000000001</v>
          </cell>
          <cell r="M43">
            <v>33.511000000000003</v>
          </cell>
          <cell r="Q43">
            <v>35.856999999999999</v>
          </cell>
          <cell r="U43">
            <v>35.497</v>
          </cell>
          <cell r="Y43">
            <v>39.828000000000003</v>
          </cell>
          <cell r="AC43">
            <v>45.258000000000003</v>
          </cell>
          <cell r="AG43">
            <v>66.605999999999995</v>
          </cell>
          <cell r="AK43">
            <v>104.883</v>
          </cell>
          <cell r="AO43">
            <v>76.180000000000007</v>
          </cell>
          <cell r="AS43">
            <v>60.6</v>
          </cell>
          <cell r="AW43">
            <v>59.1</v>
          </cell>
          <cell r="BA43">
            <v>69.400000000000006</v>
          </cell>
          <cell r="BE43">
            <v>71.308000000000007</v>
          </cell>
          <cell r="BI43">
            <v>68</v>
          </cell>
        </row>
        <row r="44">
          <cell r="A44" t="str">
            <v xml:space="preserve">  % Change</v>
          </cell>
          <cell r="Y44">
            <v>0.41681192415780299</v>
          </cell>
          <cell r="AC44">
            <v>0.35054161320163524</v>
          </cell>
          <cell r="AG44">
            <v>0.85754524918425967</v>
          </cell>
          <cell r="AK44">
            <v>1.9547003972166661</v>
          </cell>
          <cell r="AO44">
            <v>0.91272471628000407</v>
          </cell>
          <cell r="AS44">
            <v>0.33898979186000266</v>
          </cell>
          <cell r="AW44">
            <v>-0.11269255022070079</v>
          </cell>
          <cell r="BA44">
            <v>-0.33831030767617243</v>
          </cell>
          <cell r="BE44">
            <v>-6.3953793646626456E-2</v>
          </cell>
          <cell r="BI44">
            <v>0.12211221122112215</v>
          </cell>
        </row>
        <row r="46">
          <cell r="A46" t="str">
            <v xml:space="preserve">TOTAL BRANDS SALES (IMS) </v>
          </cell>
          <cell r="Y46">
            <v>31.516993999999997</v>
          </cell>
          <cell r="Z46">
            <v>9.8368830000000003</v>
          </cell>
          <cell r="AA46">
            <v>9.9140090000000001</v>
          </cell>
          <cell r="AB46">
            <v>12.775431000000001</v>
          </cell>
          <cell r="AC46">
            <v>32.526323000000005</v>
          </cell>
          <cell r="AD46">
            <v>10.058160000000001</v>
          </cell>
          <cell r="AE46">
            <v>10.110512999999999</v>
          </cell>
          <cell r="AF46">
            <v>23.919678000000001</v>
          </cell>
          <cell r="AG46">
            <v>44.088351000000003</v>
          </cell>
          <cell r="AH46">
            <v>19.961187000000002</v>
          </cell>
          <cell r="AI46">
            <v>20.602051000000003</v>
          </cell>
          <cell r="AJ46">
            <v>30.094918999999997</v>
          </cell>
          <cell r="AK46">
            <v>70.658157000000003</v>
          </cell>
          <cell r="AL46">
            <v>27.671790000000001</v>
          </cell>
          <cell r="AM46">
            <v>22.320035000000001</v>
          </cell>
          <cell r="AN46">
            <v>24.421506999999998</v>
          </cell>
          <cell r="AO46">
            <v>74.413331999999997</v>
          </cell>
          <cell r="AP46">
            <v>17.833656999999999</v>
          </cell>
          <cell r="AQ46">
            <v>17.642744999999998</v>
          </cell>
          <cell r="AR46">
            <v>21.040846999999999</v>
          </cell>
          <cell r="AS46">
            <v>56.517249000000007</v>
          </cell>
          <cell r="AT46">
            <v>17.516715000000001</v>
          </cell>
          <cell r="AU46">
            <v>18.243973</v>
          </cell>
          <cell r="AV46">
            <v>21.677658000000001</v>
          </cell>
          <cell r="AW46">
            <v>57.438345999999996</v>
          </cell>
          <cell r="AX46">
            <v>17.997987000000002</v>
          </cell>
          <cell r="AY46">
            <v>17.994907000000001</v>
          </cell>
          <cell r="AZ46">
            <v>22.976624000000001</v>
          </cell>
          <cell r="BA46">
            <v>58.969518000000001</v>
          </cell>
          <cell r="BB46">
            <v>17.723763999999999</v>
          </cell>
          <cell r="BC46">
            <v>17.606376000000001</v>
          </cell>
          <cell r="BD46">
            <v>20.946085</v>
          </cell>
          <cell r="BE46">
            <v>56.276225000000004</v>
          </cell>
          <cell r="BF46">
            <v>15.909552000000001</v>
          </cell>
          <cell r="BG46">
            <v>16.456354000000001</v>
          </cell>
        </row>
        <row r="47">
          <cell r="A47" t="str">
            <v xml:space="preserve">  % Change</v>
          </cell>
          <cell r="AH47" t="e">
            <v>#DIV/0!</v>
          </cell>
          <cell r="AI47" t="e">
            <v>#DIV/0!</v>
          </cell>
          <cell r="AJ47" t="e">
            <v>#DIV/0!</v>
          </cell>
          <cell r="AO47">
            <v>1.361054229981451</v>
          </cell>
          <cell r="AP47">
            <v>0.81293779747100769</v>
          </cell>
          <cell r="AQ47">
            <v>0.77957726284089501</v>
          </cell>
          <cell r="AR47">
            <v>0.64697746792260835</v>
          </cell>
          <cell r="AS47">
            <v>0.73758494004994035</v>
          </cell>
          <cell r="AT47">
            <v>0.741542687728173</v>
          </cell>
          <cell r="AU47">
            <v>0.80445571851794284</v>
          </cell>
          <cell r="AV47">
            <v>-9.3731194876452761E-2</v>
          </cell>
          <cell r="AW47">
            <v>0.3028009598272341</v>
          </cell>
          <cell r="AX47">
            <v>-9.8350864605396437E-2</v>
          </cell>
          <cell r="AY47">
            <v>-0.12654778885849771</v>
          </cell>
          <cell r="AZ47">
            <v>-0.23652813287186436</v>
          </cell>
          <cell r="BA47">
            <v>-0.16542518933801231</v>
          </cell>
          <cell r="BB47">
            <v>-0.35950063223232043</v>
          </cell>
          <cell r="BC47">
            <v>-0.21118510790865697</v>
          </cell>
          <cell r="BD47">
            <v>-0.14230989103170411</v>
          </cell>
          <cell r="BE47">
            <v>-0.24373464421671098</v>
          </cell>
          <cell r="BF47">
            <v>-0.10789178013236422</v>
          </cell>
          <cell r="BG47">
            <v>-6.7245261437491544E-2</v>
          </cell>
        </row>
        <row r="49">
          <cell r="A49" t="str">
            <v>REPORTED SALES/TRx BRANDS</v>
          </cell>
          <cell r="AC49">
            <v>14.050976936875852</v>
          </cell>
          <cell r="AG49">
            <v>19.425137713569772</v>
          </cell>
          <cell r="AK49">
            <v>29.665659926086875</v>
          </cell>
          <cell r="AO49">
            <v>21.711181999725831</v>
          </cell>
          <cell r="AS49">
            <v>18.296598734756987</v>
          </cell>
          <cell r="AW49">
            <v>18.879702115996125</v>
          </cell>
          <cell r="BA49">
            <v>22.285782730316662</v>
          </cell>
          <cell r="BE49">
            <v>23.60201862331267</v>
          </cell>
          <cell r="BI49">
            <v>22.607728318939191</v>
          </cell>
        </row>
        <row r="50">
          <cell r="A50" t="str">
            <v>IMS SALES/REPORTED SALES</v>
          </cell>
          <cell r="AC50">
            <v>0.71868670732246243</v>
          </cell>
          <cell r="AG50">
            <v>0.66192761913341147</v>
          </cell>
          <cell r="AK50">
            <v>0.67368550670747407</v>
          </cell>
          <cell r="AO50">
            <v>0.97680929377789438</v>
          </cell>
          <cell r="AS50">
            <v>0.93262787128712876</v>
          </cell>
          <cell r="AW50">
            <v>0.97188402707275789</v>
          </cell>
          <cell r="BA50">
            <v>0.84970487031700281</v>
          </cell>
          <cell r="BE50">
            <v>0.78919931844954283</v>
          </cell>
        </row>
        <row r="52">
          <cell r="A52" t="str">
            <v>Generics</v>
          </cell>
        </row>
        <row r="53">
          <cell r="A53" t="str">
            <v>NIFEDIPINE ER OSM</v>
          </cell>
        </row>
        <row r="54">
          <cell r="A54" t="str">
            <v>TRx</v>
          </cell>
          <cell r="B54">
            <v>395905</v>
          </cell>
          <cell r="C54">
            <v>358751</v>
          </cell>
          <cell r="D54">
            <v>396279</v>
          </cell>
          <cell r="E54">
            <v>1150935</v>
          </cell>
          <cell r="F54">
            <v>361056</v>
          </cell>
          <cell r="G54">
            <v>345668</v>
          </cell>
          <cell r="H54">
            <v>319579</v>
          </cell>
          <cell r="I54">
            <v>1026303</v>
          </cell>
          <cell r="J54">
            <v>319044</v>
          </cell>
          <cell r="K54">
            <v>300957</v>
          </cell>
          <cell r="L54">
            <v>266521</v>
          </cell>
          <cell r="M54">
            <v>886522</v>
          </cell>
          <cell r="N54">
            <v>286459</v>
          </cell>
          <cell r="O54">
            <v>270126</v>
          </cell>
          <cell r="P54">
            <v>273461</v>
          </cell>
          <cell r="Q54">
            <v>830046</v>
          </cell>
          <cell r="R54">
            <v>284378</v>
          </cell>
          <cell r="S54">
            <v>260389</v>
          </cell>
          <cell r="T54">
            <v>283507</v>
          </cell>
          <cell r="U54">
            <v>828274</v>
          </cell>
          <cell r="V54">
            <v>287172</v>
          </cell>
          <cell r="W54">
            <v>290306</v>
          </cell>
          <cell r="X54">
            <v>274545</v>
          </cell>
          <cell r="Y54">
            <v>852023</v>
          </cell>
          <cell r="Z54">
            <v>294150</v>
          </cell>
          <cell r="AA54">
            <v>289976</v>
          </cell>
          <cell r="AB54">
            <v>281263</v>
          </cell>
          <cell r="AC54">
            <v>865389</v>
          </cell>
          <cell r="AD54">
            <v>295687</v>
          </cell>
          <cell r="AE54">
            <v>281344</v>
          </cell>
          <cell r="AF54">
            <v>300855</v>
          </cell>
          <cell r="AG54">
            <v>877886</v>
          </cell>
          <cell r="AH54">
            <v>299690</v>
          </cell>
          <cell r="AI54">
            <v>272756</v>
          </cell>
          <cell r="AJ54">
            <v>297228</v>
          </cell>
          <cell r="AK54">
            <v>869674</v>
          </cell>
          <cell r="AL54">
            <v>288250</v>
          </cell>
          <cell r="AM54">
            <v>294472</v>
          </cell>
          <cell r="AN54">
            <v>284386</v>
          </cell>
          <cell r="AO54">
            <v>867108</v>
          </cell>
          <cell r="AP54">
            <v>291888</v>
          </cell>
          <cell r="AQ54">
            <v>287020</v>
          </cell>
          <cell r="AR54">
            <v>289507</v>
          </cell>
          <cell r="AS54">
            <v>868415</v>
          </cell>
          <cell r="AT54">
            <v>305926</v>
          </cell>
          <cell r="AU54">
            <v>284744</v>
          </cell>
          <cell r="AV54">
            <v>317376</v>
          </cell>
          <cell r="AW54">
            <v>908046</v>
          </cell>
          <cell r="AX54">
            <v>313604</v>
          </cell>
          <cell r="AY54">
            <v>292080</v>
          </cell>
          <cell r="AZ54">
            <v>324763</v>
          </cell>
          <cell r="BA54">
            <v>930447</v>
          </cell>
          <cell r="BB54">
            <v>308641</v>
          </cell>
          <cell r="BC54">
            <v>300436</v>
          </cell>
          <cell r="BD54">
            <v>314585</v>
          </cell>
          <cell r="BE54">
            <v>923662</v>
          </cell>
          <cell r="BF54">
            <v>313252</v>
          </cell>
          <cell r="BG54">
            <v>312507</v>
          </cell>
          <cell r="BH54">
            <v>305353</v>
          </cell>
          <cell r="BI54">
            <v>931112</v>
          </cell>
        </row>
        <row r="55">
          <cell r="A55" t="str">
            <v xml:space="preserve">  % Change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-0.28170141826953432</v>
          </cell>
          <cell r="S55">
            <v>-0.27417902667867133</v>
          </cell>
          <cell r="T55">
            <v>-0.28457728014858219</v>
          </cell>
          <cell r="U55">
            <v>-0.28034684843192703</v>
          </cell>
          <cell r="V55">
            <v>-0.20463307630949212</v>
          </cell>
          <cell r="W55">
            <v>-0.16015945936563403</v>
          </cell>
          <cell r="X55">
            <v>-0.14091664345905086</v>
          </cell>
          <cell r="Y55">
            <v>-0.16981339818747487</v>
          </cell>
          <cell r="Z55">
            <v>-7.8026855229999637E-2</v>
          </cell>
          <cell r="AA55">
            <v>-3.6486939994750056E-2</v>
          </cell>
          <cell r="AB55">
            <v>5.5312714570334043E-2</v>
          </cell>
          <cell r="AC55">
            <v>-2.3838099900510112E-2</v>
          </cell>
          <cell r="AD55">
            <v>3.2214034120066071E-2</v>
          </cell>
          <cell r="AE55">
            <v>4.1528768056388499E-2</v>
          </cell>
          <cell r="AF55">
            <v>0.10017516208892685</v>
          </cell>
          <cell r="AG55">
            <v>5.7635359968001731E-2</v>
          </cell>
          <cell r="AH55">
            <v>5.3843827581599113E-2</v>
          </cell>
          <cell r="AI55">
            <v>4.7494325797172721E-2</v>
          </cell>
          <cell r="AJ55">
            <v>4.8397394067871247E-2</v>
          </cell>
          <cell r="AK55">
            <v>4.9983459579800993E-2</v>
          </cell>
          <cell r="AL55">
            <v>3.753847868176674E-3</v>
          </cell>
          <cell r="AM55">
            <v>1.4350375121423564E-2</v>
          </cell>
          <cell r="AN55">
            <v>3.5844761332386232E-2</v>
          </cell>
          <cell r="AO55">
            <v>1.7704921111284522E-2</v>
          </cell>
          <cell r="AP55">
            <v>-7.6899541050484688E-3</v>
          </cell>
          <cell r="AQ55">
            <v>-1.0193947085275989E-2</v>
          </cell>
          <cell r="AR55">
            <v>2.9310645196844343E-2</v>
          </cell>
          <cell r="AS55">
            <v>3.4966933945312917E-3</v>
          </cell>
          <cell r="AT55">
            <v>3.4627832809694059E-2</v>
          </cell>
          <cell r="AU55">
            <v>1.2084849863512215E-2</v>
          </cell>
          <cell r="AV55">
            <v>5.491349653487565E-2</v>
          </cell>
          <cell r="AW55">
            <v>3.4355257971991904E-2</v>
          </cell>
          <cell r="AX55">
            <v>4.6427975574760527E-2</v>
          </cell>
          <cell r="AY55">
            <v>7.084720409450207E-2</v>
          </cell>
          <cell r="AZ55">
            <v>9.2639320656196622E-2</v>
          </cell>
          <cell r="BA55">
            <v>6.9880207985981047E-2</v>
          </cell>
          <cell r="BB55">
            <v>7.0740676496097166E-2</v>
          </cell>
          <cell r="BC55">
            <v>2.0253198945910045E-2</v>
          </cell>
          <cell r="BD55">
            <v>0.10619017813816423</v>
          </cell>
          <cell r="BE55">
            <v>6.5221402639578985E-2</v>
          </cell>
          <cell r="BF55">
            <v>7.3192457380913289E-2</v>
          </cell>
          <cell r="BG55">
            <v>8.8798689986760548E-2</v>
          </cell>
          <cell r="BH55">
            <v>5.4734427837668909E-2</v>
          </cell>
          <cell r="BI55">
            <v>7.2197048646096551E-2</v>
          </cell>
        </row>
        <row r="56">
          <cell r="A56" t="str">
            <v>NRx</v>
          </cell>
          <cell r="B56">
            <v>147520</v>
          </cell>
          <cell r="C56">
            <v>129124</v>
          </cell>
          <cell r="D56">
            <v>137740</v>
          </cell>
          <cell r="E56">
            <v>414384</v>
          </cell>
          <cell r="F56">
            <v>118314</v>
          </cell>
          <cell r="G56">
            <v>110254</v>
          </cell>
          <cell r="H56">
            <v>100977</v>
          </cell>
          <cell r="I56">
            <v>329545</v>
          </cell>
          <cell r="J56">
            <v>99037</v>
          </cell>
          <cell r="K56">
            <v>92348</v>
          </cell>
          <cell r="L56">
            <v>81358</v>
          </cell>
          <cell r="M56">
            <v>272743</v>
          </cell>
          <cell r="N56">
            <v>89962</v>
          </cell>
          <cell r="O56">
            <v>83285</v>
          </cell>
          <cell r="P56">
            <v>83580</v>
          </cell>
          <cell r="Q56">
            <v>256827</v>
          </cell>
          <cell r="R56">
            <v>94846</v>
          </cell>
          <cell r="S56">
            <v>87336</v>
          </cell>
          <cell r="T56">
            <v>91814</v>
          </cell>
          <cell r="U56">
            <v>273996</v>
          </cell>
          <cell r="V56">
            <v>90479</v>
          </cell>
          <cell r="W56">
            <v>88960</v>
          </cell>
          <cell r="X56">
            <v>83343</v>
          </cell>
          <cell r="Y56">
            <v>262782</v>
          </cell>
          <cell r="Z56">
            <v>87661</v>
          </cell>
          <cell r="AA56">
            <v>86214</v>
          </cell>
          <cell r="AB56">
            <v>84829</v>
          </cell>
          <cell r="AC56">
            <v>258704</v>
          </cell>
          <cell r="AD56">
            <v>89459</v>
          </cell>
          <cell r="AE56">
            <v>83941</v>
          </cell>
          <cell r="AF56">
            <v>89179</v>
          </cell>
          <cell r="AG56">
            <v>262579</v>
          </cell>
          <cell r="AH56">
            <v>94997</v>
          </cell>
          <cell r="AI56">
            <v>85245</v>
          </cell>
          <cell r="AJ56">
            <v>91012</v>
          </cell>
          <cell r="AK56">
            <v>271254</v>
          </cell>
          <cell r="AL56">
            <v>86706</v>
          </cell>
          <cell r="AM56">
            <v>88393</v>
          </cell>
          <cell r="AN56">
            <v>83798</v>
          </cell>
          <cell r="AO56">
            <v>258897</v>
          </cell>
          <cell r="AP56">
            <v>85206</v>
          </cell>
          <cell r="AQ56">
            <v>82749</v>
          </cell>
          <cell r="AR56">
            <v>84888</v>
          </cell>
          <cell r="AS56">
            <v>252843</v>
          </cell>
          <cell r="AT56">
            <v>92342</v>
          </cell>
          <cell r="AU56">
            <v>81816</v>
          </cell>
          <cell r="AV56">
            <v>91510</v>
          </cell>
          <cell r="AW56">
            <v>265668</v>
          </cell>
          <cell r="AX56">
            <v>95140</v>
          </cell>
          <cell r="AY56">
            <v>90600</v>
          </cell>
          <cell r="AZ56">
            <v>99880</v>
          </cell>
          <cell r="BA56">
            <v>285620</v>
          </cell>
          <cell r="BB56">
            <v>92904</v>
          </cell>
          <cell r="BC56">
            <v>88458</v>
          </cell>
          <cell r="BD56">
            <v>92464</v>
          </cell>
          <cell r="BE56">
            <v>273826</v>
          </cell>
          <cell r="BF56">
            <v>90775</v>
          </cell>
          <cell r="BG56">
            <v>90761</v>
          </cell>
          <cell r="BH56">
            <v>88967</v>
          </cell>
          <cell r="BI56">
            <v>270503</v>
          </cell>
        </row>
        <row r="57">
          <cell r="A57" t="str">
            <v xml:space="preserve">  % Change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-0.35706344902386122</v>
          </cell>
          <cell r="S57">
            <v>-0.32362690127319471</v>
          </cell>
          <cell r="T57">
            <v>-0.33342529403223464</v>
          </cell>
          <cell r="U57">
            <v>-0.33878721186146188</v>
          </cell>
          <cell r="V57">
            <v>-0.23526378957688865</v>
          </cell>
          <cell r="W57">
            <v>-0.19313584994648725</v>
          </cell>
          <cell r="X57">
            <v>-0.17463382750527345</v>
          </cell>
          <cell r="Y57">
            <v>-0.20259145185027838</v>
          </cell>
          <cell r="Z57">
            <v>-0.11486616113169823</v>
          </cell>
          <cell r="AA57">
            <v>-6.6422662104214547E-2</v>
          </cell>
          <cell r="AB57">
            <v>4.2663290641362872E-2</v>
          </cell>
          <cell r="AC57">
            <v>-5.147336503594957E-2</v>
          </cell>
          <cell r="AD57">
            <v>-5.5912496387363619E-3</v>
          </cell>
          <cell r="AE57">
            <v>7.8765684096775423E-3</v>
          </cell>
          <cell r="AF57">
            <v>6.6989710457047158E-2</v>
          </cell>
          <cell r="AG57">
            <v>2.239639913249003E-2</v>
          </cell>
          <cell r="AH57">
            <v>1.5920544883285537E-3</v>
          </cell>
          <cell r="AI57">
            <v>-2.3942017037647756E-2</v>
          </cell>
          <cell r="AJ57">
            <v>-8.7350512993661367E-3</v>
          </cell>
          <cell r="AK57">
            <v>-1.0007445364165868E-2</v>
          </cell>
          <cell r="AL57">
            <v>-4.170028404381132E-2</v>
          </cell>
          <cell r="AM57">
            <v>-6.3736510791366774E-3</v>
          </cell>
          <cell r="AN57">
            <v>5.4593667134612556E-3</v>
          </cell>
          <cell r="AO57">
            <v>-1.4784117633627858E-2</v>
          </cell>
          <cell r="AP57">
            <v>-2.8005612530087487E-2</v>
          </cell>
          <cell r="AQ57">
            <v>-4.0190688287285115E-2</v>
          </cell>
          <cell r="AR57">
            <v>6.955168633369091E-4</v>
          </cell>
          <cell r="AS57">
            <v>-2.265523532686009E-2</v>
          </cell>
          <cell r="AT57">
            <v>3.2227053734112943E-2</v>
          </cell>
          <cell r="AU57">
            <v>-2.5315400102452923E-2</v>
          </cell>
          <cell r="AV57">
            <v>2.6138440664281948E-2</v>
          </cell>
          <cell r="AW57">
            <v>1.1764078620148499E-2</v>
          </cell>
          <cell r="AX57">
            <v>1.505310694021933E-3</v>
          </cell>
          <cell r="AY57">
            <v>6.281893366179836E-2</v>
          </cell>
          <cell r="AZ57">
            <v>9.7437700523008042E-2</v>
          </cell>
          <cell r="BA57">
            <v>5.2961430983506252E-2</v>
          </cell>
          <cell r="BB57">
            <v>7.1482942356930312E-2</v>
          </cell>
          <cell r="BC57">
            <v>7.3535234690536022E-4</v>
          </cell>
          <cell r="BD57">
            <v>0.103415355975083</v>
          </cell>
          <cell r="BE57">
            <v>5.766385860013834E-2</v>
          </cell>
          <cell r="BF57">
            <v>6.5359247001384846E-2</v>
          </cell>
          <cell r="BG57">
            <v>9.6822922331387673E-2</v>
          </cell>
          <cell r="BH57">
            <v>4.8051550278013444E-2</v>
          </cell>
          <cell r="BI57">
            <v>6.984571453431565E-2</v>
          </cell>
        </row>
        <row r="58">
          <cell r="A58" t="str">
            <v>Sales (IMS)</v>
          </cell>
          <cell r="B58">
            <v>15.922145</v>
          </cell>
          <cell r="C58">
            <v>15.675553000000001</v>
          </cell>
          <cell r="D58">
            <v>19.675729</v>
          </cell>
          <cell r="E58">
            <v>51.273426999999998</v>
          </cell>
          <cell r="F58">
            <v>14.423871</v>
          </cell>
          <cell r="G58">
            <v>14.603579999999999</v>
          </cell>
          <cell r="H58">
            <v>16.771152000000001</v>
          </cell>
          <cell r="I58">
            <v>45.798603</v>
          </cell>
          <cell r="J58">
            <v>15.052562</v>
          </cell>
          <cell r="K58">
            <v>13.34136</v>
          </cell>
          <cell r="L58">
            <v>16.829574999999998</v>
          </cell>
          <cell r="M58">
            <v>45.223496999999995</v>
          </cell>
          <cell r="N58">
            <v>13.623436999999999</v>
          </cell>
          <cell r="O58">
            <v>16.058890000000002</v>
          </cell>
          <cell r="P58">
            <v>16.289147</v>
          </cell>
          <cell r="Q58">
            <v>45.971474000000001</v>
          </cell>
          <cell r="R58">
            <v>13.512504</v>
          </cell>
          <cell r="S58">
            <v>12.875707999999999</v>
          </cell>
          <cell r="T58">
            <v>17.146132999999999</v>
          </cell>
          <cell r="U58">
            <v>43.534345000000002</v>
          </cell>
          <cell r="V58">
            <v>13.536797999999999</v>
          </cell>
          <cell r="W58">
            <v>13.290217999999999</v>
          </cell>
          <cell r="X58">
            <v>16.801259999999999</v>
          </cell>
          <cell r="Y58">
            <v>43.628276</v>
          </cell>
          <cell r="Z58">
            <v>13.376951999999999</v>
          </cell>
          <cell r="AA58">
            <v>13.71481</v>
          </cell>
          <cell r="AB58">
            <v>17.480263999999998</v>
          </cell>
          <cell r="AC58">
            <v>44.572025999999994</v>
          </cell>
          <cell r="AD58">
            <v>13.652231</v>
          </cell>
          <cell r="AE58">
            <v>13.395486</v>
          </cell>
          <cell r="AF58">
            <v>17.194607999999999</v>
          </cell>
          <cell r="AG58">
            <v>44.242324999999994</v>
          </cell>
          <cell r="AH58">
            <v>14.048640000000001</v>
          </cell>
          <cell r="AI58">
            <v>13.776083</v>
          </cell>
          <cell r="AJ58">
            <v>17.339494999999999</v>
          </cell>
          <cell r="AK58">
            <v>45.164217999999998</v>
          </cell>
          <cell r="AL58">
            <v>13.102392999999999</v>
          </cell>
          <cell r="AM58">
            <v>13.145764</v>
          </cell>
          <cell r="AN58">
            <v>17.756080000000001</v>
          </cell>
          <cell r="AO58">
            <v>44.004237000000003</v>
          </cell>
          <cell r="AP58">
            <v>14.119256</v>
          </cell>
          <cell r="AQ58">
            <v>14.796896</v>
          </cell>
          <cell r="AR58">
            <v>17.822831999999998</v>
          </cell>
          <cell r="AS58">
            <v>46.738984000000002</v>
          </cell>
          <cell r="AT58">
            <v>14.590702</v>
          </cell>
          <cell r="AU58">
            <v>14.392276000000001</v>
          </cell>
          <cell r="AV58">
            <v>17.928394999999998</v>
          </cell>
          <cell r="AW58">
            <v>46.911372999999998</v>
          </cell>
          <cell r="AX58">
            <v>15.078721</v>
          </cell>
          <cell r="AY58">
            <v>14.990147</v>
          </cell>
          <cell r="AZ58">
            <v>19.031948</v>
          </cell>
          <cell r="BA58">
            <v>49.100816000000002</v>
          </cell>
          <cell r="BB58">
            <v>14.945643</v>
          </cell>
          <cell r="BC58">
            <v>15.095993999999999</v>
          </cell>
          <cell r="BD58">
            <v>18.891323</v>
          </cell>
          <cell r="BE58">
            <v>48.932960000000001</v>
          </cell>
          <cell r="BF58">
            <v>14.596811000000001</v>
          </cell>
          <cell r="BG58">
            <v>14.813965</v>
          </cell>
        </row>
        <row r="59">
          <cell r="A59" t="str">
            <v xml:space="preserve">  % Change</v>
          </cell>
          <cell r="R59">
            <v>-0.15133896846184991</v>
          </cell>
          <cell r="S59">
            <v>-0.17861219951857532</v>
          </cell>
          <cell r="T59">
            <v>-0.12856428343773196</v>
          </cell>
          <cell r="U59">
            <v>-0.15093748268474416</v>
          </cell>
          <cell r="V59">
            <v>-6.1500342037168809E-2</v>
          </cell>
          <cell r="W59">
            <v>-8.9934248999217981E-2</v>
          </cell>
          <cell r="X59">
            <v>1.7952255158142361E-3</v>
          </cell>
          <cell r="Y59">
            <v>-4.7388497854399581E-2</v>
          </cell>
          <cell r="Z59">
            <v>-0.11131726280217291</v>
          </cell>
          <cell r="AA59">
            <v>2.7991898876876142E-2</v>
          </cell>
          <cell r="AB59">
            <v>3.8663424358606813E-2</v>
          </cell>
          <cell r="AC59">
            <v>-1.4405586547188043E-2</v>
          </cell>
          <cell r="AD59">
            <v>2.1135635596216673E-3</v>
          </cell>
          <cell r="AE59">
            <v>-0.16585230984208754</v>
          </cell>
          <cell r="AF59">
            <v>5.5586765838628649E-2</v>
          </cell>
          <cell r="AG59">
            <v>-3.7613520941269019E-2</v>
          </cell>
          <cell r="AH59">
            <v>3.9677028032702122E-2</v>
          </cell>
          <cell r="AI59">
            <v>6.992819346322543E-2</v>
          </cell>
          <cell r="AJ59">
            <v>1.1277295002902532E-2</v>
          </cell>
          <cell r="AK59">
            <v>3.7438785400354613E-2</v>
          </cell>
          <cell r="AL59">
            <v>-3.209067609637084E-2</v>
          </cell>
          <cell r="AM59">
            <v>-1.0869197179459333E-2</v>
          </cell>
          <cell r="AN59">
            <v>5.6830261539908333E-2</v>
          </cell>
          <cell r="AO59">
            <v>8.617370074398556E-3</v>
          </cell>
          <cell r="AP59">
            <v>5.5491265872823714E-2</v>
          </cell>
          <cell r="AQ59">
            <v>7.8899087920284661E-2</v>
          </cell>
          <cell r="AR59">
            <v>1.9597415691204656E-2</v>
          </cell>
          <cell r="AS59">
            <v>4.8616995781165739E-2</v>
          </cell>
          <cell r="AT59">
            <v>6.8741218926049452E-2</v>
          </cell>
          <cell r="AU59">
            <v>7.4412380409340839E-2</v>
          </cell>
          <cell r="AV59">
            <v>4.2675413129511286E-2</v>
          </cell>
          <cell r="AW59">
            <v>6.032793258491731E-2</v>
          </cell>
          <cell r="AX59">
            <v>7.3322471071932904E-2</v>
          </cell>
          <cell r="AY59">
            <v>8.8128388889643139E-2</v>
          </cell>
          <cell r="AZ59">
            <v>9.7606821882644246E-2</v>
          </cell>
          <cell r="BA59">
            <v>8.7161876687425588E-2</v>
          </cell>
          <cell r="BB59">
            <v>0.14068040853300623</v>
          </cell>
          <cell r="BC59">
            <v>0.14835425312671058</v>
          </cell>
          <cell r="BD59">
            <v>6.3935451969128199E-2</v>
          </cell>
          <cell r="BE59">
            <v>0.11200564618357078</v>
          </cell>
          <cell r="BF59">
            <v>3.3822957810241583E-2</v>
          </cell>
          <cell r="BG59">
            <v>1.1535527451163041E-3</v>
          </cell>
        </row>
        <row r="61">
          <cell r="A61" t="str">
            <v>CARBIDOPA/LEVODOPA</v>
          </cell>
        </row>
        <row r="62">
          <cell r="A62" t="str">
            <v>TRx</v>
          </cell>
          <cell r="B62">
            <v>82538</v>
          </cell>
          <cell r="C62">
            <v>77115</v>
          </cell>
          <cell r="D62">
            <v>86195</v>
          </cell>
          <cell r="E62">
            <v>245848</v>
          </cell>
          <cell r="F62">
            <v>85544</v>
          </cell>
          <cell r="G62">
            <v>89959</v>
          </cell>
          <cell r="H62">
            <v>87396</v>
          </cell>
          <cell r="I62">
            <v>262899</v>
          </cell>
          <cell r="J62">
            <v>91601</v>
          </cell>
          <cell r="K62">
            <v>94304</v>
          </cell>
          <cell r="L62">
            <v>90435</v>
          </cell>
          <cell r="M62">
            <v>276340</v>
          </cell>
          <cell r="N62">
            <v>99106</v>
          </cell>
          <cell r="O62">
            <v>96203</v>
          </cell>
          <cell r="P62">
            <v>98394</v>
          </cell>
          <cell r="Q62">
            <v>293703</v>
          </cell>
          <cell r="R62">
            <v>101985</v>
          </cell>
          <cell r="S62">
            <v>92038</v>
          </cell>
          <cell r="T62">
            <v>99536</v>
          </cell>
          <cell r="U62">
            <v>293559</v>
          </cell>
          <cell r="V62">
            <v>102140</v>
          </cell>
          <cell r="W62">
            <v>104011</v>
          </cell>
          <cell r="X62">
            <v>97891</v>
          </cell>
          <cell r="Y62">
            <v>304042</v>
          </cell>
          <cell r="Z62">
            <v>105834</v>
          </cell>
          <cell r="AA62">
            <v>103838</v>
          </cell>
          <cell r="AB62">
            <v>99981</v>
          </cell>
          <cell r="AC62">
            <v>309653</v>
          </cell>
          <cell r="AD62">
            <v>104249</v>
          </cell>
          <cell r="AE62">
            <v>100416</v>
          </cell>
          <cell r="AF62">
            <v>107298</v>
          </cell>
          <cell r="AG62">
            <v>311963</v>
          </cell>
          <cell r="AH62">
            <v>106323</v>
          </cell>
          <cell r="AI62">
            <v>97815</v>
          </cell>
          <cell r="AJ62">
            <v>107666</v>
          </cell>
          <cell r="AK62">
            <v>311804</v>
          </cell>
          <cell r="AL62">
            <v>109061</v>
          </cell>
          <cell r="AM62">
            <v>114142</v>
          </cell>
          <cell r="AN62">
            <v>112275</v>
          </cell>
          <cell r="AO62">
            <v>335478</v>
          </cell>
          <cell r="AP62">
            <v>115380</v>
          </cell>
          <cell r="AQ62">
            <v>111187</v>
          </cell>
          <cell r="AR62">
            <v>112100</v>
          </cell>
          <cell r="AS62">
            <v>338667</v>
          </cell>
          <cell r="AT62">
            <v>116470</v>
          </cell>
          <cell r="AU62">
            <v>106650</v>
          </cell>
          <cell r="AV62">
            <v>116839</v>
          </cell>
          <cell r="AW62">
            <v>339959</v>
          </cell>
          <cell r="AX62">
            <v>111563</v>
          </cell>
          <cell r="AY62">
            <v>103174</v>
          </cell>
          <cell r="AZ62">
            <v>114196</v>
          </cell>
          <cell r="BA62">
            <v>328933</v>
          </cell>
          <cell r="BB62">
            <v>107623</v>
          </cell>
          <cell r="BC62">
            <v>104626</v>
          </cell>
          <cell r="BD62">
            <v>108425</v>
          </cell>
          <cell r="BE62">
            <v>320674</v>
          </cell>
          <cell r="BF62">
            <v>103121</v>
          </cell>
          <cell r="BG62">
            <v>101879</v>
          </cell>
          <cell r="BH62">
            <v>95830</v>
          </cell>
          <cell r="BI62">
            <v>300830</v>
          </cell>
        </row>
        <row r="63">
          <cell r="A63" t="str">
            <v xml:space="preserve">  % Change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0.2356126874893989</v>
          </cell>
          <cell r="S63">
            <v>0.19351617713804048</v>
          </cell>
          <cell r="T63">
            <v>0.15477695922037249</v>
          </cell>
          <cell r="U63">
            <v>0.1940670658292929</v>
          </cell>
          <cell r="V63">
            <v>0.19400542410923038</v>
          </cell>
          <cell r="W63">
            <v>0.15620449315799423</v>
          </cell>
          <cell r="X63">
            <v>0.12008558744107289</v>
          </cell>
          <cell r="Y63">
            <v>0.15649736210483867</v>
          </cell>
          <cell r="Z63">
            <v>0.1553803997772949</v>
          </cell>
          <cell r="AA63">
            <v>0.10109857482185269</v>
          </cell>
          <cell r="AB63">
            <v>0.10555647702769955</v>
          </cell>
          <cell r="AC63">
            <v>0.12055077078960696</v>
          </cell>
          <cell r="AD63">
            <v>5.1893931749843691E-2</v>
          </cell>
          <cell r="AE63">
            <v>4.3792813113936235E-2</v>
          </cell>
          <cell r="AF63">
            <v>9.0493322763583128E-2</v>
          </cell>
          <cell r="AG63">
            <v>6.2171649591594269E-2</v>
          </cell>
          <cell r="AH63">
            <v>4.253566700985445E-2</v>
          </cell>
          <cell r="AI63">
            <v>6.2767552532649651E-2</v>
          </cell>
          <cell r="AJ63">
            <v>8.1678990515994254E-2</v>
          </cell>
          <cell r="AK63">
            <v>6.2151049703807359E-2</v>
          </cell>
          <cell r="AL63">
            <v>6.7759937340904575E-2</v>
          </cell>
          <cell r="AM63">
            <v>9.740315928122989E-2</v>
          </cell>
          <cell r="AN63">
            <v>0.14693894229295856</v>
          </cell>
          <cell r="AO63">
            <v>0.10339361009334236</v>
          </cell>
          <cell r="AP63">
            <v>9.0197857021373062E-2</v>
          </cell>
          <cell r="AQ63">
            <v>7.0773705194629999E-2</v>
          </cell>
          <cell r="AR63">
            <v>0.12121303047579035</v>
          </cell>
          <cell r="AS63">
            <v>9.3698430178296377E-2</v>
          </cell>
          <cell r="AT63">
            <v>0.11722894224405023</v>
          </cell>
          <cell r="AU63">
            <v>6.208173996175903E-2</v>
          </cell>
          <cell r="AV63">
            <v>8.8920576338794799E-2</v>
          </cell>
          <cell r="AW63">
            <v>8.974141164176519E-2</v>
          </cell>
          <cell r="AX63">
            <v>4.9283786198658808E-2</v>
          </cell>
          <cell r="AY63">
            <v>5.478709809333937E-2</v>
          </cell>
          <cell r="AZ63">
            <v>6.0650530343841158E-2</v>
          </cell>
          <cell r="BA63">
            <v>5.4935151569575735E-2</v>
          </cell>
          <cell r="BB63">
            <v>-1.3185281631380552E-2</v>
          </cell>
          <cell r="BC63">
            <v>-8.3369837570745231E-2</v>
          </cell>
          <cell r="BD63">
            <v>-3.4290803829882033E-2</v>
          </cell>
          <cell r="BE63">
            <v>-4.4128079933706488E-2</v>
          </cell>
          <cell r="BF63">
            <v>-0.10624891662333158</v>
          </cell>
          <cell r="BG63">
            <v>-8.3714822776043918E-2</v>
          </cell>
          <cell r="BH63">
            <v>-0.14513826940231933</v>
          </cell>
          <cell r="BI63">
            <v>-0.11172331523295742</v>
          </cell>
        </row>
        <row r="64">
          <cell r="A64" t="str">
            <v>NRx</v>
          </cell>
          <cell r="B64">
            <v>26754</v>
          </cell>
          <cell r="C64">
            <v>24623</v>
          </cell>
          <cell r="D64">
            <v>27482</v>
          </cell>
          <cell r="E64">
            <v>78859</v>
          </cell>
          <cell r="F64">
            <v>26347</v>
          </cell>
          <cell r="G64">
            <v>27596</v>
          </cell>
          <cell r="H64">
            <v>27085</v>
          </cell>
          <cell r="I64">
            <v>81028</v>
          </cell>
          <cell r="J64">
            <v>28006</v>
          </cell>
          <cell r="K64">
            <v>28648</v>
          </cell>
          <cell r="L64">
            <v>26736</v>
          </cell>
          <cell r="M64">
            <v>83390</v>
          </cell>
          <cell r="N64">
            <v>30171</v>
          </cell>
          <cell r="O64">
            <v>28273</v>
          </cell>
          <cell r="P64">
            <v>27963</v>
          </cell>
          <cell r="Q64">
            <v>86407</v>
          </cell>
          <cell r="R64">
            <v>31029</v>
          </cell>
          <cell r="S64">
            <v>27210</v>
          </cell>
          <cell r="T64">
            <v>29112</v>
          </cell>
          <cell r="U64">
            <v>87351</v>
          </cell>
          <cell r="V64">
            <v>29706</v>
          </cell>
          <cell r="W64">
            <v>29798</v>
          </cell>
          <cell r="X64">
            <v>28057</v>
          </cell>
          <cell r="Y64">
            <v>87561</v>
          </cell>
          <cell r="Z64">
            <v>30440</v>
          </cell>
          <cell r="AA64">
            <v>29714</v>
          </cell>
          <cell r="AB64">
            <v>28246</v>
          </cell>
          <cell r="AC64">
            <v>88400</v>
          </cell>
          <cell r="AD64">
            <v>29615</v>
          </cell>
          <cell r="AE64">
            <v>28478</v>
          </cell>
          <cell r="AF64">
            <v>29407</v>
          </cell>
          <cell r="AG64">
            <v>87500</v>
          </cell>
          <cell r="AH64">
            <v>31250</v>
          </cell>
          <cell r="AI64">
            <v>28770</v>
          </cell>
          <cell r="AJ64">
            <v>31494</v>
          </cell>
          <cell r="AK64">
            <v>91514</v>
          </cell>
          <cell r="AL64">
            <v>31711</v>
          </cell>
          <cell r="AM64">
            <v>33287</v>
          </cell>
          <cell r="AN64">
            <v>32391</v>
          </cell>
          <cell r="AO64">
            <v>97389</v>
          </cell>
          <cell r="AP64">
            <v>32597</v>
          </cell>
          <cell r="AQ64">
            <v>30235</v>
          </cell>
          <cell r="AR64">
            <v>31064</v>
          </cell>
          <cell r="AS64">
            <v>93896</v>
          </cell>
          <cell r="AT64">
            <v>32485</v>
          </cell>
          <cell r="AU64">
            <v>29018</v>
          </cell>
          <cell r="AV64">
            <v>30911</v>
          </cell>
          <cell r="AW64">
            <v>92414</v>
          </cell>
          <cell r="AX64">
            <v>30605</v>
          </cell>
          <cell r="AY64">
            <v>29199</v>
          </cell>
          <cell r="AZ64">
            <v>31993</v>
          </cell>
          <cell r="BA64">
            <v>91797</v>
          </cell>
          <cell r="BB64">
            <v>29872</v>
          </cell>
          <cell r="BC64">
            <v>29157</v>
          </cell>
          <cell r="BD64">
            <v>30153</v>
          </cell>
          <cell r="BE64">
            <v>89182</v>
          </cell>
          <cell r="BF64">
            <v>28486</v>
          </cell>
          <cell r="BG64">
            <v>27562</v>
          </cell>
          <cell r="BH64">
            <v>25974</v>
          </cell>
          <cell r="BI64">
            <v>82022</v>
          </cell>
        </row>
        <row r="65">
          <cell r="A65" t="str">
            <v xml:space="preserve">  % Change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0.15978919040143524</v>
          </cell>
          <cell r="S65">
            <v>0.10506437071031161</v>
          </cell>
          <cell r="T65">
            <v>5.9311549377774497E-2</v>
          </cell>
          <cell r="U65">
            <v>0.10768586971683636</v>
          </cell>
          <cell r="V65">
            <v>0.12749079591604362</v>
          </cell>
          <cell r="W65">
            <v>7.9794173068560736E-2</v>
          </cell>
          <cell r="X65">
            <v>3.5887022337086849E-2</v>
          </cell>
          <cell r="Y65">
            <v>8.0626450116009218E-2</v>
          </cell>
          <cell r="Z65">
            <v>8.6909947868313964E-2</v>
          </cell>
          <cell r="AA65">
            <v>3.7210276459089586E-2</v>
          </cell>
          <cell r="AB65">
            <v>5.6478156792339806E-2</v>
          </cell>
          <cell r="AC65">
            <v>6.0079146180597176E-2</v>
          </cell>
          <cell r="AD65">
            <v>-1.8428292068542684E-2</v>
          </cell>
          <cell r="AE65">
            <v>7.2507339157499295E-3</v>
          </cell>
          <cell r="AF65">
            <v>5.1639666702428144E-2</v>
          </cell>
          <cell r="AG65">
            <v>1.2649438124226142E-2</v>
          </cell>
          <cell r="AH65">
            <v>7.1223693963711199E-3</v>
          </cell>
          <cell r="AI65">
            <v>5.7331863285556839E-2</v>
          </cell>
          <cell r="AJ65">
            <v>8.1821929101401514E-2</v>
          </cell>
          <cell r="AK65">
            <v>4.7658298130530907E-2</v>
          </cell>
          <cell r="AL65">
            <v>6.7494782198882275E-2</v>
          </cell>
          <cell r="AM65">
            <v>0.11708839519430825</v>
          </cell>
          <cell r="AN65">
            <v>0.15447125494529002</v>
          </cell>
          <cell r="AO65">
            <v>0.11224175146469317</v>
          </cell>
          <cell r="AP65">
            <v>7.0860709592641236E-2</v>
          </cell>
          <cell r="AQ65">
            <v>1.7533822440600311E-2</v>
          </cell>
          <cell r="AR65">
            <v>9.9766338596615434E-2</v>
          </cell>
          <cell r="AS65">
            <v>6.2171945701357423E-2</v>
          </cell>
          <cell r="AT65">
            <v>9.6910349485058278E-2</v>
          </cell>
          <cell r="AU65">
            <v>1.8962005758831335E-2</v>
          </cell>
          <cell r="AV65">
            <v>5.1144285374230547E-2</v>
          </cell>
          <cell r="AW65">
            <v>5.6159999999999988E-2</v>
          </cell>
          <cell r="AX65">
            <v>-2.0639999999999992E-2</v>
          </cell>
          <cell r="AY65">
            <v>1.4911366006256532E-2</v>
          </cell>
          <cell r="AZ65">
            <v>1.5844287800850898E-2</v>
          </cell>
          <cell r="BA65">
            <v>3.0924230172433287E-3</v>
          </cell>
          <cell r="BB65">
            <v>-5.7992494717921228E-2</v>
          </cell>
          <cell r="BC65">
            <v>-0.12407246072040135</v>
          </cell>
          <cell r="BD65">
            <v>-6.909326664814297E-2</v>
          </cell>
          <cell r="BE65">
            <v>-8.4270297466859656E-2</v>
          </cell>
          <cell r="BF65">
            <v>-0.1261159002362181</v>
          </cell>
          <cell r="BG65">
            <v>-8.8407474780883066E-2</v>
          </cell>
          <cell r="BH65">
            <v>-0.16385526654648463</v>
          </cell>
          <cell r="BI65">
            <v>-0.12645906108886429</v>
          </cell>
        </row>
        <row r="66">
          <cell r="A66" t="str">
            <v>Sales (IMS)</v>
          </cell>
          <cell r="B66">
            <v>5.839499</v>
          </cell>
          <cell r="C66">
            <v>5.8235239999999999</v>
          </cell>
          <cell r="D66">
            <v>7.3566099999999999</v>
          </cell>
          <cell r="E66">
            <v>19.019632999999999</v>
          </cell>
          <cell r="F66">
            <v>5.9482759999999999</v>
          </cell>
          <cell r="G66">
            <v>6.3421310000000002</v>
          </cell>
          <cell r="H66">
            <v>7.932525</v>
          </cell>
          <cell r="I66">
            <v>20.222932</v>
          </cell>
          <cell r="J66">
            <v>6.7748239999999997</v>
          </cell>
          <cell r="K66">
            <v>6.9531270000000003</v>
          </cell>
          <cell r="L66">
            <v>8.6289210000000001</v>
          </cell>
          <cell r="M66">
            <v>22.356872000000003</v>
          </cell>
          <cell r="N66">
            <v>7.0830640000000002</v>
          </cell>
          <cell r="O66">
            <v>8.7395600000000009</v>
          </cell>
          <cell r="P66">
            <v>8.9318659999999994</v>
          </cell>
          <cell r="Q66">
            <v>24.754490000000001</v>
          </cell>
          <cell r="R66">
            <v>7.1768869999999998</v>
          </cell>
          <cell r="S66">
            <v>6.8660059999999996</v>
          </cell>
          <cell r="T66">
            <v>8.8533670000000004</v>
          </cell>
          <cell r="U66">
            <v>22.896259999999998</v>
          </cell>
          <cell r="V66">
            <v>7.0772950000000003</v>
          </cell>
          <cell r="W66">
            <v>7.2003409999999999</v>
          </cell>
          <cell r="X66">
            <v>9.3924950000000003</v>
          </cell>
          <cell r="Y66">
            <v>23.670131000000001</v>
          </cell>
          <cell r="Z66">
            <v>7.6141719999999999</v>
          </cell>
          <cell r="AA66">
            <v>7.7278339999999996</v>
          </cell>
          <cell r="AB66">
            <v>9.7570910000000008</v>
          </cell>
          <cell r="AC66">
            <v>25.099097</v>
          </cell>
          <cell r="AD66">
            <v>7.887308</v>
          </cell>
          <cell r="AE66">
            <v>7.885389</v>
          </cell>
          <cell r="AF66">
            <v>10.20294</v>
          </cell>
          <cell r="AG66">
            <v>25.975636999999999</v>
          </cell>
          <cell r="AH66">
            <v>8.2938899999999993</v>
          </cell>
          <cell r="AI66">
            <v>8.5235780000000005</v>
          </cell>
          <cell r="AJ66">
            <v>10.894632</v>
          </cell>
          <cell r="AK66">
            <v>27.7121</v>
          </cell>
          <cell r="AL66">
            <v>8.7255490000000009</v>
          </cell>
          <cell r="AM66">
            <v>9.4715299999999996</v>
          </cell>
          <cell r="AN66">
            <v>11.397757</v>
          </cell>
          <cell r="AO66">
            <v>29.594836000000001</v>
          </cell>
          <cell r="AP66">
            <v>8.5706729999999993</v>
          </cell>
          <cell r="AQ66">
            <v>9.1151029999999995</v>
          </cell>
          <cell r="AR66">
            <v>10.40822</v>
          </cell>
          <cell r="AS66">
            <v>28.093995999999997</v>
          </cell>
          <cell r="AT66">
            <v>8.3345719999999996</v>
          </cell>
          <cell r="AU66">
            <v>8.0373800000000006</v>
          </cell>
          <cell r="AV66">
            <v>9.5728810000000006</v>
          </cell>
          <cell r="AW66">
            <v>25.944833000000003</v>
          </cell>
          <cell r="AX66">
            <v>7.8482260000000004</v>
          </cell>
          <cell r="AY66">
            <v>7.5569220000000001</v>
          </cell>
          <cell r="AZ66">
            <v>9.4296290000000003</v>
          </cell>
          <cell r="BA66">
            <v>24.834777000000003</v>
          </cell>
          <cell r="BB66">
            <v>7.5443069999999999</v>
          </cell>
          <cell r="BC66">
            <v>7.6386010000000004</v>
          </cell>
          <cell r="BD66">
            <v>9.0155080000000005</v>
          </cell>
          <cell r="BE66">
            <v>24.198416000000002</v>
          </cell>
          <cell r="BF66">
            <v>6.095364</v>
          </cell>
          <cell r="BG66">
            <v>5.4955780000000001</v>
          </cell>
        </row>
        <row r="67">
          <cell r="A67" t="str">
            <v xml:space="preserve">  % Change</v>
          </cell>
          <cell r="R67">
            <v>0.2290244419940819</v>
          </cell>
          <cell r="S67">
            <v>0.17901222696085739</v>
          </cell>
          <cell r="T67">
            <v>0.20345743487829315</v>
          </cell>
          <cell r="U67">
            <v>0.20382238710915179</v>
          </cell>
          <cell r="V67">
            <v>0.18980608835232271</v>
          </cell>
          <cell r="W67">
            <v>0.13531886995080988</v>
          </cell>
          <cell r="X67">
            <v>0.18404858478227304</v>
          </cell>
          <cell r="Y67">
            <v>0.1704599016601549</v>
          </cell>
          <cell r="Z67">
            <v>0.12389222214481155</v>
          </cell>
          <cell r="AA67">
            <v>0.11141850278299237</v>
          </cell>
          <cell r="AB67">
            <v>0.13074288198953266</v>
          </cell>
          <cell r="AC67">
            <v>0.12265691730041661</v>
          </cell>
          <cell r="AD67">
            <v>0.113544646779981</v>
          </cell>
          <cell r="AE67">
            <v>-9.7736156053622958E-2</v>
          </cell>
          <cell r="AF67">
            <v>0.14230777756853952</v>
          </cell>
          <cell r="AG67">
            <v>4.9330323508987695E-2</v>
          </cell>
          <cell r="AH67">
            <v>0.15563892813137503</v>
          </cell>
          <cell r="AI67">
            <v>0.2414172081993522</v>
          </cell>
          <cell r="AJ67">
            <v>0.23056369401607313</v>
          </cell>
          <cell r="AK67">
            <v>0.21033304129145991</v>
          </cell>
          <cell r="AL67">
            <v>0.23289321697060816</v>
          </cell>
          <cell r="AM67">
            <v>0.31542797764716979</v>
          </cell>
          <cell r="AN67">
            <v>0.21349620095618893</v>
          </cell>
          <cell r="AO67">
            <v>0.25030300846243736</v>
          </cell>
          <cell r="AP67">
            <v>0.12562114436080507</v>
          </cell>
          <cell r="AQ67">
            <v>0.17951589022227954</v>
          </cell>
          <cell r="AR67">
            <v>6.673392715103299E-2</v>
          </cell>
          <cell r="AS67">
            <v>0.11932297803383118</v>
          </cell>
          <cell r="AT67">
            <v>5.6706800343031993E-2</v>
          </cell>
          <cell r="AU67">
            <v>1.927501610890725E-2</v>
          </cell>
          <cell r="AV67">
            <v>-6.1752690891056838E-2</v>
          </cell>
          <cell r="AW67">
            <v>-1.1858804463581452E-3</v>
          </cell>
          <cell r="AX67">
            <v>-5.3734013834280336E-2</v>
          </cell>
          <cell r="AY67">
            <v>-0.11340965026659</v>
          </cell>
          <cell r="AZ67">
            <v>-0.13447016842790094</v>
          </cell>
          <cell r="BA67">
            <v>-0.10382912157505197</v>
          </cell>
          <cell r="BB67">
            <v>-0.13537738427690926</v>
          </cell>
          <cell r="BC67">
            <v>-0.1935198431510009</v>
          </cell>
          <cell r="BD67">
            <v>-0.20901033422628679</v>
          </cell>
          <cell r="BE67">
            <v>-0.18234329799969151</v>
          </cell>
          <cell r="BF67">
            <v>-0.2888115087344949</v>
          </cell>
          <cell r="BG67">
            <v>-0.39709095991564769</v>
          </cell>
        </row>
        <row r="69">
          <cell r="A69" t="str">
            <v>LISINOPRIL</v>
          </cell>
        </row>
        <row r="70">
          <cell r="A70" t="str">
            <v>TRx</v>
          </cell>
          <cell r="X70">
            <v>2</v>
          </cell>
          <cell r="Y70">
            <v>2</v>
          </cell>
          <cell r="Z70">
            <v>205556</v>
          </cell>
          <cell r="AA70">
            <v>410122</v>
          </cell>
          <cell r="AB70">
            <v>455130</v>
          </cell>
          <cell r="AC70">
            <v>1070808</v>
          </cell>
          <cell r="AD70">
            <v>529355</v>
          </cell>
          <cell r="AE70">
            <v>544195</v>
          </cell>
          <cell r="AF70">
            <v>583630</v>
          </cell>
          <cell r="AG70">
            <v>1657180</v>
          </cell>
          <cell r="AH70">
            <v>598009</v>
          </cell>
          <cell r="AI70">
            <v>535101</v>
          </cell>
          <cell r="AJ70">
            <v>593102</v>
          </cell>
          <cell r="AK70">
            <v>1726212</v>
          </cell>
          <cell r="AL70">
            <v>584439</v>
          </cell>
          <cell r="AM70">
            <v>595283</v>
          </cell>
          <cell r="AN70">
            <v>581010</v>
          </cell>
          <cell r="AO70">
            <v>1760732</v>
          </cell>
          <cell r="AP70">
            <v>599376</v>
          </cell>
          <cell r="AQ70">
            <v>575358</v>
          </cell>
          <cell r="AR70">
            <v>567956</v>
          </cell>
          <cell r="AS70">
            <v>1742690</v>
          </cell>
          <cell r="AT70">
            <v>592966</v>
          </cell>
          <cell r="AU70">
            <v>561406</v>
          </cell>
          <cell r="AV70">
            <v>629981</v>
          </cell>
          <cell r="AW70">
            <v>1784353</v>
          </cell>
          <cell r="AX70">
            <v>618457</v>
          </cell>
          <cell r="AY70">
            <v>544747</v>
          </cell>
          <cell r="AZ70">
            <v>495581</v>
          </cell>
          <cell r="BA70">
            <v>1658785</v>
          </cell>
          <cell r="BB70">
            <v>440539</v>
          </cell>
          <cell r="BC70">
            <v>415287</v>
          </cell>
          <cell r="BD70">
            <v>412266</v>
          </cell>
          <cell r="BE70">
            <v>1268092</v>
          </cell>
          <cell r="BF70">
            <v>395652</v>
          </cell>
          <cell r="BG70">
            <v>400134</v>
          </cell>
          <cell r="BH70">
            <v>390966</v>
          </cell>
          <cell r="BI70">
            <v>1186752</v>
          </cell>
        </row>
        <row r="71">
          <cell r="A71" t="str">
            <v xml:space="preserve">  % Change</v>
          </cell>
          <cell r="AO71">
            <v>0</v>
          </cell>
          <cell r="AP71">
            <v>1.9158769386444572</v>
          </cell>
          <cell r="AQ71">
            <v>0.40289474839194184</v>
          </cell>
          <cell r="AR71">
            <v>0.24789840265418661</v>
          </cell>
          <cell r="AS71">
            <v>0.62745328761085095</v>
          </cell>
          <cell r="AT71">
            <v>0.12016699568342615</v>
          </cell>
          <cell r="AU71">
            <v>3.1626530931008201E-2</v>
          </cell>
          <cell r="AV71">
            <v>7.9418467179548591E-2</v>
          </cell>
          <cell r="AW71">
            <v>7.6740607538106964E-2</v>
          </cell>
          <cell r="AX71">
            <v>3.4193465315739413E-2</v>
          </cell>
          <cell r="AY71">
            <v>1.8026503407767791E-2</v>
          </cell>
          <cell r="AZ71">
            <v>-0.16442534336421055</v>
          </cell>
          <cell r="BA71">
            <v>-3.9060671574522754E-2</v>
          </cell>
          <cell r="BB71">
            <v>-0.24621902371333881</v>
          </cell>
          <cell r="BC71">
            <v>-0.30237046917180566</v>
          </cell>
          <cell r="BD71">
            <v>-0.29043217844787528</v>
          </cell>
          <cell r="BE71">
            <v>-0.27979272257220289</v>
          </cell>
          <cell r="BF71">
            <v>-0.33989348922879792</v>
          </cell>
          <cell r="BG71">
            <v>-0.30454777721001536</v>
          </cell>
          <cell r="BH71">
            <v>-0.31162625273788813</v>
          </cell>
          <cell r="BI71">
            <v>-0.31901141338964478</v>
          </cell>
        </row>
        <row r="72">
          <cell r="A72" t="str">
            <v>NRx</v>
          </cell>
          <cell r="X72">
            <v>2</v>
          </cell>
          <cell r="Y72">
            <v>2</v>
          </cell>
          <cell r="Z72">
            <v>112318</v>
          </cell>
          <cell r="AA72">
            <v>166036</v>
          </cell>
          <cell r="AB72">
            <v>150237</v>
          </cell>
          <cell r="AC72">
            <v>428591</v>
          </cell>
          <cell r="AD72">
            <v>164248</v>
          </cell>
          <cell r="AE72">
            <v>165021</v>
          </cell>
          <cell r="AF72">
            <v>169182</v>
          </cell>
          <cell r="AG72">
            <v>498451</v>
          </cell>
          <cell r="AH72">
            <v>185944</v>
          </cell>
          <cell r="AI72">
            <v>166274</v>
          </cell>
          <cell r="AJ72">
            <v>176171</v>
          </cell>
          <cell r="AK72">
            <v>528389</v>
          </cell>
          <cell r="AL72">
            <v>168615</v>
          </cell>
          <cell r="AM72">
            <v>169347</v>
          </cell>
          <cell r="AN72">
            <v>160935</v>
          </cell>
          <cell r="AO72">
            <v>498897</v>
          </cell>
          <cell r="AP72">
            <v>164303</v>
          </cell>
          <cell r="AQ72">
            <v>154933</v>
          </cell>
          <cell r="AR72">
            <v>156660</v>
          </cell>
          <cell r="AS72">
            <v>475896</v>
          </cell>
          <cell r="AT72">
            <v>170174</v>
          </cell>
          <cell r="AU72">
            <v>157307</v>
          </cell>
          <cell r="AV72">
            <v>175018</v>
          </cell>
          <cell r="AW72">
            <v>502499</v>
          </cell>
          <cell r="AX72">
            <v>182710</v>
          </cell>
          <cell r="AY72">
            <v>160603</v>
          </cell>
          <cell r="AZ72">
            <v>143739</v>
          </cell>
          <cell r="BA72">
            <v>487052</v>
          </cell>
          <cell r="BB72">
            <v>125284</v>
          </cell>
          <cell r="BC72">
            <v>114179</v>
          </cell>
          <cell r="BD72">
            <v>115769</v>
          </cell>
          <cell r="BE72">
            <v>355232</v>
          </cell>
          <cell r="BF72">
            <v>109311</v>
          </cell>
          <cell r="BG72">
            <v>110724</v>
          </cell>
          <cell r="BH72">
            <v>112363</v>
          </cell>
          <cell r="BI72">
            <v>332398</v>
          </cell>
        </row>
        <row r="73">
          <cell r="A73" t="str">
            <v xml:space="preserve">  % Change</v>
          </cell>
          <cell r="AO73">
            <v>0</v>
          </cell>
          <cell r="AP73">
            <v>0.46283765736569382</v>
          </cell>
          <cell r="AQ73">
            <v>-6.6871040015418326E-2</v>
          </cell>
          <cell r="AR73">
            <v>4.2752451127219038E-2</v>
          </cell>
          <cell r="AS73">
            <v>0.11037329295295506</v>
          </cell>
          <cell r="AT73">
            <v>3.6079586966051291E-2</v>
          </cell>
          <cell r="AU73">
            <v>-4.6745565715878623E-2</v>
          </cell>
          <cell r="AV73">
            <v>3.4495395491246139E-2</v>
          </cell>
          <cell r="AW73">
            <v>8.1211593516714586E-3</v>
          </cell>
          <cell r="AX73">
            <v>-1.7392333175579755E-2</v>
          </cell>
          <cell r="AY73">
            <v>-3.4106354571370123E-2</v>
          </cell>
          <cell r="AZ73">
            <v>-0.18409386334867828</v>
          </cell>
          <cell r="BA73">
            <v>-7.823213579389432E-2</v>
          </cell>
          <cell r="BB73">
            <v>-0.25698188180173764</v>
          </cell>
          <cell r="BC73">
            <v>-0.32576898321198489</v>
          </cell>
          <cell r="BD73">
            <v>-0.28064746636840965</v>
          </cell>
          <cell r="BE73">
            <v>-0.28796525134446593</v>
          </cell>
          <cell r="BF73">
            <v>-0.33469869691971543</v>
          </cell>
          <cell r="BG73">
            <v>-0.28534269652043143</v>
          </cell>
          <cell r="BH73">
            <v>-0.28275884080173619</v>
          </cell>
          <cell r="BI73">
            <v>-0.30153226755425555</v>
          </cell>
        </row>
        <row r="74">
          <cell r="A74" t="str">
            <v>Sales (IMS)</v>
          </cell>
          <cell r="X74">
            <v>4.0419999999999996E-3</v>
          </cell>
          <cell r="Y74">
            <v>4.0419999999999996E-3</v>
          </cell>
          <cell r="Z74">
            <v>3.4109919999999998</v>
          </cell>
          <cell r="AA74">
            <v>5.0058639999999999</v>
          </cell>
          <cell r="AB74">
            <v>5.3463469999999997</v>
          </cell>
          <cell r="AC74">
            <v>13.763202999999999</v>
          </cell>
          <cell r="AD74">
            <v>4.7326940000000004</v>
          </cell>
          <cell r="AE74">
            <v>4.9262220000000001</v>
          </cell>
          <cell r="AF74">
            <v>6.8800020000000002</v>
          </cell>
          <cell r="AG74">
            <v>16.538918000000002</v>
          </cell>
          <cell r="AH74">
            <v>5.731554</v>
          </cell>
          <cell r="AI74">
            <v>5.1660729999999999</v>
          </cell>
          <cell r="AJ74">
            <v>6.196669</v>
          </cell>
          <cell r="AK74">
            <v>17.094296</v>
          </cell>
          <cell r="AL74">
            <v>5.5479510000000003</v>
          </cell>
          <cell r="AM74">
            <v>5.7059759999999997</v>
          </cell>
          <cell r="AN74">
            <v>7.1481329999999996</v>
          </cell>
          <cell r="AO74">
            <v>18.402059999999999</v>
          </cell>
          <cell r="AP74">
            <v>6.3045419999999996</v>
          </cell>
          <cell r="AQ74">
            <v>5.8888720000000001</v>
          </cell>
          <cell r="AR74">
            <v>6.1019160000000001</v>
          </cell>
          <cell r="AS74">
            <v>18.29533</v>
          </cell>
          <cell r="AT74">
            <v>3.825879</v>
          </cell>
          <cell r="AU74">
            <v>4.2749879999999996</v>
          </cell>
          <cell r="AV74">
            <v>4.9922069999999996</v>
          </cell>
          <cell r="AW74">
            <v>13.093073999999998</v>
          </cell>
          <cell r="AX74">
            <v>4.3477550000000003</v>
          </cell>
          <cell r="AY74">
            <v>3.5610309999999998</v>
          </cell>
          <cell r="AZ74">
            <v>3.9843190000000002</v>
          </cell>
          <cell r="BA74">
            <v>11.893105</v>
          </cell>
          <cell r="BB74">
            <v>2.9931199999999998</v>
          </cell>
          <cell r="BC74">
            <v>2.758238</v>
          </cell>
          <cell r="BD74">
            <v>3.2657150000000001</v>
          </cell>
          <cell r="BE74">
            <v>9.0170729999999999</v>
          </cell>
          <cell r="BF74">
            <v>2.5359530000000001</v>
          </cell>
          <cell r="BG74">
            <v>2.4053979999999999</v>
          </cell>
        </row>
        <row r="75">
          <cell r="A75" t="str">
            <v xml:space="preserve">  % Change</v>
          </cell>
          <cell r="AO75">
            <v>0</v>
          </cell>
          <cell r="AP75">
            <v>0.84830160844704405</v>
          </cell>
          <cell r="AQ75">
            <v>0.17639472426737934</v>
          </cell>
          <cell r="AR75">
            <v>0.14132434725991416</v>
          </cell>
          <cell r="AS75">
            <v>0.32929304319641295</v>
          </cell>
          <cell r="AT75">
            <v>-0.19160651417564711</v>
          </cell>
          <cell r="AU75">
            <v>-0.13219745273355532</v>
          </cell>
          <cell r="AV75">
            <v>-0.27438872837536976</v>
          </cell>
          <cell r="AW75">
            <v>-0.20834760774556138</v>
          </cell>
          <cell r="AX75">
            <v>-0.24143521983741234</v>
          </cell>
          <cell r="AY75">
            <v>-0.31068898948969559</v>
          </cell>
          <cell r="AZ75">
            <v>-0.35702245835625557</v>
          </cell>
          <cell r="BA75">
            <v>-0.30426470911700598</v>
          </cell>
          <cell r="BB75">
            <v>-0.46049992150255115</v>
          </cell>
          <cell r="BC75">
            <v>-0.51660539756914503</v>
          </cell>
          <cell r="BD75">
            <v>-0.54313734789209989</v>
          </cell>
          <cell r="BE75">
            <v>-0.50999654386519766</v>
          </cell>
          <cell r="BF75">
            <v>-0.59775777526741825</v>
          </cell>
          <cell r="BG75">
            <v>-0.59153501723250224</v>
          </cell>
        </row>
        <row r="77">
          <cell r="A77" t="str">
            <v>NITROFURANTOIN MACRO</v>
          </cell>
        </row>
        <row r="78">
          <cell r="A78" t="str">
            <v>TRx</v>
          </cell>
          <cell r="AZ78">
            <v>10213</v>
          </cell>
          <cell r="BA78">
            <v>10213</v>
          </cell>
          <cell r="BB78">
            <v>199017</v>
          </cell>
          <cell r="BC78">
            <v>229585</v>
          </cell>
          <cell r="BD78">
            <v>257747</v>
          </cell>
          <cell r="BE78">
            <v>686349</v>
          </cell>
          <cell r="BF78">
            <v>270088</v>
          </cell>
          <cell r="BG78">
            <v>280288</v>
          </cell>
          <cell r="BH78">
            <v>275027</v>
          </cell>
          <cell r="BI78">
            <v>825403</v>
          </cell>
        </row>
        <row r="79">
          <cell r="A79" t="str">
            <v xml:space="preserve">  % Change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</row>
        <row r="80">
          <cell r="A80" t="str">
            <v>NRx</v>
          </cell>
          <cell r="AZ80">
            <v>10016</v>
          </cell>
          <cell r="BA80">
            <v>10016</v>
          </cell>
          <cell r="BB80">
            <v>188764</v>
          </cell>
          <cell r="BC80">
            <v>214416</v>
          </cell>
          <cell r="BD80">
            <v>238857</v>
          </cell>
          <cell r="BE80">
            <v>642037</v>
          </cell>
          <cell r="BF80">
            <v>249735</v>
          </cell>
          <cell r="BG80">
            <v>258076</v>
          </cell>
          <cell r="BH80">
            <v>252853</v>
          </cell>
          <cell r="BI80">
            <v>760664</v>
          </cell>
        </row>
        <row r="81">
          <cell r="A81" t="str">
            <v xml:space="preserve">  % Change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</row>
        <row r="82">
          <cell r="A82" t="str">
            <v>Sales (IMS)</v>
          </cell>
          <cell r="AZ82">
            <v>2.1060210000000001</v>
          </cell>
          <cell r="BA82">
            <v>2.1060210000000001</v>
          </cell>
          <cell r="BB82">
            <v>1.9159790000000001</v>
          </cell>
          <cell r="BC82">
            <v>2.0330409999999999</v>
          </cell>
          <cell r="BD82">
            <v>2.551288</v>
          </cell>
          <cell r="BE82">
            <v>6.5003080000000004</v>
          </cell>
          <cell r="BF82">
            <v>2.14968</v>
          </cell>
          <cell r="BG82">
            <v>2.2679279999999999</v>
          </cell>
        </row>
        <row r="84">
          <cell r="A84" t="str">
            <v>Product</v>
          </cell>
          <cell r="B84">
            <v>36892</v>
          </cell>
          <cell r="C84">
            <v>36923</v>
          </cell>
          <cell r="D84">
            <v>36951</v>
          </cell>
          <cell r="E84" t="str">
            <v>Q1:01</v>
          </cell>
          <cell r="F84">
            <v>36982</v>
          </cell>
          <cell r="G84">
            <v>37012</v>
          </cell>
          <cell r="H84">
            <v>37043</v>
          </cell>
          <cell r="I84" t="str">
            <v>Q2:01</v>
          </cell>
          <cell r="J84">
            <v>37073</v>
          </cell>
          <cell r="K84">
            <v>37104</v>
          </cell>
          <cell r="L84">
            <v>37135</v>
          </cell>
          <cell r="M84" t="str">
            <v>Q3:01</v>
          </cell>
          <cell r="N84">
            <v>37165</v>
          </cell>
          <cell r="O84">
            <v>37196</v>
          </cell>
          <cell r="P84">
            <v>37226</v>
          </cell>
          <cell r="Q84" t="str">
            <v>Q4:01</v>
          </cell>
          <cell r="R84">
            <v>37257</v>
          </cell>
          <cell r="S84">
            <v>37288</v>
          </cell>
          <cell r="T84">
            <v>37316</v>
          </cell>
          <cell r="U84" t="str">
            <v>Q1:02</v>
          </cell>
          <cell r="V84">
            <v>37347</v>
          </cell>
          <cell r="W84">
            <v>37377</v>
          </cell>
          <cell r="X84">
            <v>37408</v>
          </cell>
          <cell r="Y84" t="str">
            <v>Q2:02</v>
          </cell>
          <cell r="Z84">
            <v>37438</v>
          </cell>
          <cell r="AA84">
            <v>37469</v>
          </cell>
          <cell r="AB84">
            <v>37500</v>
          </cell>
          <cell r="AC84" t="str">
            <v>Q3:02</v>
          </cell>
          <cell r="AD84">
            <v>37530</v>
          </cell>
          <cell r="AE84">
            <v>37561</v>
          </cell>
          <cell r="AF84">
            <v>37591</v>
          </cell>
          <cell r="AG84" t="str">
            <v>Q4:02</v>
          </cell>
          <cell r="AH84">
            <v>37622</v>
          </cell>
          <cell r="AI84">
            <v>37653</v>
          </cell>
          <cell r="AJ84">
            <v>37681</v>
          </cell>
          <cell r="AK84" t="str">
            <v>Q1:03</v>
          </cell>
          <cell r="AL84" t="str">
            <v>Apr-03</v>
          </cell>
          <cell r="AM84">
            <v>37744</v>
          </cell>
          <cell r="AN84">
            <v>37775</v>
          </cell>
          <cell r="AO84" t="str">
            <v>Q1:F04</v>
          </cell>
          <cell r="AP84">
            <v>37805</v>
          </cell>
          <cell r="AQ84">
            <v>37836</v>
          </cell>
          <cell r="AR84">
            <v>37867</v>
          </cell>
          <cell r="AS84" t="str">
            <v>Q2:F04</v>
          </cell>
          <cell r="AT84">
            <v>37897</v>
          </cell>
          <cell r="AU84">
            <v>37928</v>
          </cell>
          <cell r="AV84">
            <v>37958</v>
          </cell>
          <cell r="AW84" t="str">
            <v>Q3:F04</v>
          </cell>
          <cell r="AX84">
            <v>37987</v>
          </cell>
          <cell r="AY84">
            <v>38018</v>
          </cell>
          <cell r="AZ84">
            <v>38047</v>
          </cell>
          <cell r="BA84" t="str">
            <v>Q4:F04</v>
          </cell>
          <cell r="BB84">
            <v>38078</v>
          </cell>
          <cell r="BC84">
            <v>38108</v>
          </cell>
          <cell r="BD84">
            <v>38139</v>
          </cell>
          <cell r="BE84" t="str">
            <v>Q1:F05</v>
          </cell>
          <cell r="BF84">
            <v>38169</v>
          </cell>
          <cell r="BG84">
            <v>38200</v>
          </cell>
          <cell r="BH84">
            <v>38231</v>
          </cell>
          <cell r="BI84" t="str">
            <v>Q2:F05E</v>
          </cell>
        </row>
        <row r="85">
          <cell r="A85" t="str">
            <v>PHENYTOIN</v>
          </cell>
        </row>
        <row r="86">
          <cell r="A86" t="str">
            <v>TRx</v>
          </cell>
          <cell r="N86">
            <v>226073</v>
          </cell>
          <cell r="O86">
            <v>220595</v>
          </cell>
          <cell r="P86">
            <v>234625</v>
          </cell>
          <cell r="Q86">
            <v>681293</v>
          </cell>
          <cell r="R86">
            <v>253040</v>
          </cell>
          <cell r="S86">
            <v>234675</v>
          </cell>
          <cell r="T86">
            <v>254965</v>
          </cell>
          <cell r="U86">
            <v>742680</v>
          </cell>
          <cell r="V86">
            <v>261431</v>
          </cell>
          <cell r="W86">
            <v>268700</v>
          </cell>
          <cell r="X86">
            <v>254406</v>
          </cell>
          <cell r="Y86">
            <v>784537</v>
          </cell>
          <cell r="Z86">
            <v>278066</v>
          </cell>
          <cell r="AA86">
            <v>279149</v>
          </cell>
          <cell r="AB86">
            <v>267941</v>
          </cell>
          <cell r="AC86">
            <v>825156</v>
          </cell>
          <cell r="AD86">
            <v>284015</v>
          </cell>
          <cell r="AE86">
            <v>275224</v>
          </cell>
          <cell r="AF86">
            <v>294331</v>
          </cell>
          <cell r="AG86">
            <v>853570</v>
          </cell>
          <cell r="AH86">
            <v>295785</v>
          </cell>
          <cell r="AI86">
            <v>272208</v>
          </cell>
          <cell r="AJ86">
            <v>298184</v>
          </cell>
          <cell r="AK86">
            <v>866177</v>
          </cell>
          <cell r="AL86">
            <v>292757</v>
          </cell>
          <cell r="AM86">
            <v>303899</v>
          </cell>
          <cell r="AN86">
            <v>293462</v>
          </cell>
          <cell r="AO86">
            <v>890118</v>
          </cell>
          <cell r="AP86">
            <v>306635</v>
          </cell>
          <cell r="AQ86">
            <v>299370</v>
          </cell>
          <cell r="AR86">
            <v>300026</v>
          </cell>
          <cell r="AS86">
            <v>906031</v>
          </cell>
          <cell r="AT86">
            <v>314574</v>
          </cell>
          <cell r="AU86">
            <v>292288</v>
          </cell>
          <cell r="AV86">
            <v>323934</v>
          </cell>
          <cell r="AW86">
            <v>930796</v>
          </cell>
          <cell r="AX86">
            <v>320563</v>
          </cell>
          <cell r="AY86">
            <v>297895</v>
          </cell>
          <cell r="AZ86">
            <v>330634</v>
          </cell>
          <cell r="BA86">
            <v>949092</v>
          </cell>
          <cell r="BB86">
            <v>320254</v>
          </cell>
          <cell r="BC86">
            <v>316503</v>
          </cell>
          <cell r="BD86">
            <v>330307</v>
          </cell>
          <cell r="BE86">
            <v>967064</v>
          </cell>
          <cell r="BF86">
            <v>333554</v>
          </cell>
          <cell r="BG86">
            <v>336925</v>
          </cell>
          <cell r="BH86">
            <v>331009</v>
          </cell>
          <cell r="BI86">
            <v>1001488</v>
          </cell>
        </row>
        <row r="87">
          <cell r="A87" t="str">
            <v xml:space="preserve">  % Change</v>
          </cell>
          <cell r="AD87">
            <v>0.25629774453384524</v>
          </cell>
          <cell r="AE87">
            <v>0.24764387225458417</v>
          </cell>
          <cell r="AF87">
            <v>0.25447416089504538</v>
          </cell>
          <cell r="AG87">
            <v>0.25286770890057575</v>
          </cell>
          <cell r="AH87">
            <v>0.16892586152386979</v>
          </cell>
          <cell r="AI87">
            <v>0.15993608181527641</v>
          </cell>
          <cell r="AJ87">
            <v>0.16950954052517009</v>
          </cell>
          <cell r="AK87">
            <v>0.1662856142618625</v>
          </cell>
          <cell r="AL87">
            <v>0.1198251163787003</v>
          </cell>
          <cell r="AM87">
            <v>0.13099739486416073</v>
          </cell>
          <cell r="AN87">
            <v>0.15351839186182725</v>
          </cell>
          <cell r="AO87">
            <v>0.13457746416039007</v>
          </cell>
          <cell r="AP87">
            <v>0.10274179511339043</v>
          </cell>
          <cell r="AQ87">
            <v>7.243801697301433E-2</v>
          </cell>
          <cell r="AR87">
            <v>0.11974651135884384</v>
          </cell>
          <cell r="AS87">
            <v>9.8011769895631762E-2</v>
          </cell>
          <cell r="AT87">
            <v>0.10759642976603345</v>
          </cell>
          <cell r="AU87">
            <v>6.2000406941255193E-2</v>
          </cell>
          <cell r="AV87">
            <v>0.10057724126918344</v>
          </cell>
          <cell r="AW87">
            <v>9.0474126316529402E-2</v>
          </cell>
          <cell r="AX87">
            <v>8.3770306134523409E-2</v>
          </cell>
          <cell r="AY87">
            <v>9.4365338270734123E-2</v>
          </cell>
          <cell r="AZ87">
            <v>0.10882542322861055</v>
          </cell>
          <cell r="BA87">
            <v>9.5725238605966156E-2</v>
          </cell>
          <cell r="BB87">
            <v>9.3924312655205622E-2</v>
          </cell>
          <cell r="BC87">
            <v>4.1474305608113271E-2</v>
          </cell>
          <cell r="BD87">
            <v>0.1255528824856369</v>
          </cell>
          <cell r="BE87">
            <v>8.6444718565403589E-2</v>
          </cell>
          <cell r="BF87">
            <v>8.7788412933944349E-2</v>
          </cell>
          <cell r="BG87">
            <v>0.12544677155359585</v>
          </cell>
          <cell r="BH87">
            <v>0.1032677167978775</v>
          </cell>
          <cell r="BI87">
            <v>0.1053573222108295</v>
          </cell>
        </row>
        <row r="88">
          <cell r="A88" t="str">
            <v>NRx</v>
          </cell>
          <cell r="N88">
            <v>85273</v>
          </cell>
          <cell r="O88">
            <v>82382</v>
          </cell>
          <cell r="P88">
            <v>87661</v>
          </cell>
          <cell r="Q88">
            <v>255316</v>
          </cell>
          <cell r="R88">
            <v>99618</v>
          </cell>
          <cell r="S88">
            <v>90750</v>
          </cell>
          <cell r="T88">
            <v>96454</v>
          </cell>
          <cell r="U88">
            <v>286822</v>
          </cell>
          <cell r="V88">
            <v>97045</v>
          </cell>
          <cell r="W88">
            <v>99337</v>
          </cell>
          <cell r="X88">
            <v>92908</v>
          </cell>
          <cell r="Y88">
            <v>289290</v>
          </cell>
          <cell r="Z88">
            <v>102598</v>
          </cell>
          <cell r="AA88">
            <v>103785</v>
          </cell>
          <cell r="AB88">
            <v>97845</v>
          </cell>
          <cell r="AC88">
            <v>304228</v>
          </cell>
          <cell r="AD88">
            <v>104103</v>
          </cell>
          <cell r="AE88">
            <v>99839</v>
          </cell>
          <cell r="AF88">
            <v>105326</v>
          </cell>
          <cell r="AG88">
            <v>309268</v>
          </cell>
          <cell r="AH88">
            <v>110208</v>
          </cell>
          <cell r="AI88">
            <v>100599</v>
          </cell>
          <cell r="AJ88">
            <v>108413</v>
          </cell>
          <cell r="AK88">
            <v>319220</v>
          </cell>
          <cell r="AL88">
            <v>106050</v>
          </cell>
          <cell r="AM88">
            <v>109143</v>
          </cell>
          <cell r="AN88">
            <v>104261</v>
          </cell>
          <cell r="AO88">
            <v>319454</v>
          </cell>
          <cell r="AP88">
            <v>109985</v>
          </cell>
          <cell r="AQ88">
            <v>107623</v>
          </cell>
          <cell r="AR88">
            <v>107112</v>
          </cell>
          <cell r="AS88">
            <v>324720</v>
          </cell>
          <cell r="AT88">
            <v>113823</v>
          </cell>
          <cell r="AU88">
            <v>102788</v>
          </cell>
          <cell r="AV88">
            <v>114496</v>
          </cell>
          <cell r="AW88">
            <v>331107</v>
          </cell>
          <cell r="AX88">
            <v>115878</v>
          </cell>
          <cell r="AY88">
            <v>107801</v>
          </cell>
          <cell r="AZ88">
            <v>120741</v>
          </cell>
          <cell r="BA88">
            <v>344420</v>
          </cell>
          <cell r="BB88">
            <v>115939</v>
          </cell>
          <cell r="BC88">
            <v>112388</v>
          </cell>
          <cell r="BD88">
            <v>118008</v>
          </cell>
          <cell r="BE88">
            <v>346335</v>
          </cell>
          <cell r="BF88">
            <v>117720</v>
          </cell>
          <cell r="BG88">
            <v>119517</v>
          </cell>
          <cell r="BH88">
            <v>119030</v>
          </cell>
          <cell r="BI88">
            <v>356267</v>
          </cell>
        </row>
        <row r="89">
          <cell r="A89" t="str">
            <v xml:space="preserve">  % Change</v>
          </cell>
          <cell r="AD89">
            <v>0.22082018927444791</v>
          </cell>
          <cell r="AE89">
            <v>0.21190308562550064</v>
          </cell>
          <cell r="AF89">
            <v>0.20151492682036487</v>
          </cell>
          <cell r="AG89">
            <v>0.21131460621347653</v>
          </cell>
          <cell r="AH89">
            <v>0.10630608926097684</v>
          </cell>
          <cell r="AI89">
            <v>0.10852892561983474</v>
          </cell>
          <cell r="AJ89">
            <v>0.12398656354324333</v>
          </cell>
          <cell r="AK89">
            <v>0.11295507318127629</v>
          </cell>
          <cell r="AL89">
            <v>9.2792003709619264E-2</v>
          </cell>
          <cell r="AM89">
            <v>9.8714476982393329E-2</v>
          </cell>
          <cell r="AN89">
            <v>0.12219615103112758</v>
          </cell>
          <cell r="AO89">
            <v>0.10426907255694973</v>
          </cell>
          <cell r="AP89">
            <v>7.1999454180393441E-2</v>
          </cell>
          <cell r="AQ89">
            <v>3.6980295803825225E-2</v>
          </cell>
          <cell r="AR89">
            <v>9.4711022535643119E-2</v>
          </cell>
          <cell r="AS89">
            <v>6.7357376704313854E-2</v>
          </cell>
          <cell r="AT89">
            <v>9.3369067173856735E-2</v>
          </cell>
          <cell r="AU89">
            <v>2.9537555464297593E-2</v>
          </cell>
          <cell r="AV89">
            <v>8.7063023375045123E-2</v>
          </cell>
          <cell r="AW89">
            <v>7.061512991968133E-2</v>
          </cell>
          <cell r="AX89">
            <v>5.1448170731707377E-2</v>
          </cell>
          <cell r="AY89">
            <v>7.1591168898299085E-2</v>
          </cell>
          <cell r="AZ89">
            <v>0.11371330006549041</v>
          </cell>
          <cell r="BA89">
            <v>7.8942422154000269E-2</v>
          </cell>
          <cell r="BB89">
            <v>9.3248467703913152E-2</v>
          </cell>
          <cell r="BC89">
            <v>2.9731636476915568E-2</v>
          </cell>
          <cell r="BD89">
            <v>0.13185179501443489</v>
          </cell>
          <cell r="BE89">
            <v>8.4146700307399458E-2</v>
          </cell>
          <cell r="BF89">
            <v>7.0327771968904829E-2</v>
          </cell>
          <cell r="BG89">
            <v>0.11051541027475542</v>
          </cell>
          <cell r="BH89">
            <v>0.11126671147957268</v>
          </cell>
          <cell r="BI89">
            <v>9.7151391968465228E-2</v>
          </cell>
        </row>
        <row r="90">
          <cell r="A90" t="str">
            <v>Sales (IMS)</v>
          </cell>
          <cell r="N90">
            <v>3.4518309999999999</v>
          </cell>
          <cell r="O90">
            <v>3.417103</v>
          </cell>
          <cell r="P90">
            <v>4.4722350000000004</v>
          </cell>
          <cell r="Q90">
            <v>11.341169000000001</v>
          </cell>
          <cell r="R90">
            <v>3.8504119999999999</v>
          </cell>
          <cell r="S90">
            <v>3.82117</v>
          </cell>
          <cell r="T90">
            <v>5.0555500000000002</v>
          </cell>
          <cell r="U90">
            <v>12.727132000000001</v>
          </cell>
          <cell r="V90">
            <v>3.8820579999999998</v>
          </cell>
          <cell r="W90">
            <v>3.9268510000000001</v>
          </cell>
          <cell r="X90">
            <v>5.3074950000000003</v>
          </cell>
          <cell r="Y90">
            <v>13.116403999999999</v>
          </cell>
          <cell r="Z90">
            <v>4.2231930000000002</v>
          </cell>
          <cell r="AA90">
            <v>4.1608280000000004</v>
          </cell>
          <cell r="AB90">
            <v>5.3691500000000003</v>
          </cell>
          <cell r="AC90">
            <v>13.753171000000002</v>
          </cell>
          <cell r="AD90">
            <v>4.258591</v>
          </cell>
          <cell r="AE90">
            <v>4.2648659999999996</v>
          </cell>
          <cell r="AF90">
            <v>5.5450460000000001</v>
          </cell>
          <cell r="AG90">
            <v>14.068503</v>
          </cell>
          <cell r="AH90">
            <v>4.6005940000000001</v>
          </cell>
          <cell r="AI90">
            <v>4.8433650000000004</v>
          </cell>
          <cell r="AJ90">
            <v>6.067736</v>
          </cell>
          <cell r="AK90">
            <v>15.511695</v>
          </cell>
          <cell r="AL90">
            <v>4.7698700000000001</v>
          </cell>
          <cell r="AM90">
            <v>4.9045509999999997</v>
          </cell>
          <cell r="AN90">
            <v>6.7668299999999997</v>
          </cell>
          <cell r="AO90">
            <v>16.441250999999998</v>
          </cell>
          <cell r="AP90">
            <v>4.8873930000000003</v>
          </cell>
          <cell r="AQ90">
            <v>5.3090140000000003</v>
          </cell>
          <cell r="AR90">
            <v>6.3561740000000002</v>
          </cell>
          <cell r="AS90">
            <v>16.552581</v>
          </cell>
          <cell r="AT90">
            <v>5.173991</v>
          </cell>
          <cell r="AU90">
            <v>5.6597460000000002</v>
          </cell>
          <cell r="AV90">
            <v>6.5316479999999997</v>
          </cell>
          <cell r="AW90">
            <v>17.365385</v>
          </cell>
          <cell r="AX90">
            <v>5.390358</v>
          </cell>
          <cell r="AY90">
            <v>6.1549250000000004</v>
          </cell>
          <cell r="AZ90">
            <v>6.5571429999999999</v>
          </cell>
          <cell r="BA90">
            <v>18.102426000000001</v>
          </cell>
          <cell r="BB90">
            <v>5.4774890000000003</v>
          </cell>
          <cell r="BC90">
            <v>5.7089829999999999</v>
          </cell>
          <cell r="BD90">
            <v>7.3719539999999997</v>
          </cell>
          <cell r="BE90">
            <v>18.558426000000001</v>
          </cell>
          <cell r="BF90">
            <v>5.4832219999999996</v>
          </cell>
          <cell r="BG90">
            <v>5.8206439999999997</v>
          </cell>
        </row>
        <row r="91">
          <cell r="A91" t="str">
            <v xml:space="preserve">  % Change</v>
          </cell>
          <cell r="AD91">
            <v>0.23371943759703195</v>
          </cell>
          <cell r="AE91">
            <v>0.24809407266915851</v>
          </cell>
          <cell r="AF91">
            <v>0.2398825195903167</v>
          </cell>
          <cell r="AG91">
            <v>0.2404808534287779</v>
          </cell>
          <cell r="AH91">
            <v>0.19483161801905879</v>
          </cell>
          <cell r="AI91">
            <v>0.267508380940916</v>
          </cell>
          <cell r="AJ91">
            <v>0.20021283539872026</v>
          </cell>
          <cell r="AK91">
            <v>0.21878951204403307</v>
          </cell>
          <cell r="AL91">
            <v>0.22869622246756749</v>
          </cell>
          <cell r="AM91">
            <v>0.24897812522043727</v>
          </cell>
          <cell r="AN91">
            <v>0.27495739515534146</v>
          </cell>
          <cell r="AO91">
            <v>0.25348769373069002</v>
          </cell>
          <cell r="AP91">
            <v>0.15727436562809238</v>
          </cell>
          <cell r="AQ91">
            <v>0.27595132507279807</v>
          </cell>
          <cell r="AR91">
            <v>0.18383245020161465</v>
          </cell>
          <cell r="AS91">
            <v>0.20354651301870663</v>
          </cell>
          <cell r="AT91">
            <v>0.21495372530491896</v>
          </cell>
          <cell r="AU91">
            <v>0.32706303081972576</v>
          </cell>
          <cell r="AV91">
            <v>0.17792494417539539</v>
          </cell>
          <cell r="AW91">
            <v>0.2343449050691464</v>
          </cell>
          <cell r="AX91">
            <v>0.17166565882579499</v>
          </cell>
          <cell r="AY91">
            <v>0.2707952012701913</v>
          </cell>
          <cell r="AZ91">
            <v>8.0657266565321795E-2</v>
          </cell>
          <cell r="BA91">
            <v>0.16701791777107533</v>
          </cell>
          <cell r="BB91">
            <v>0.14835184187409722</v>
          </cell>
          <cell r="BC91">
            <v>0.16401746051779265</v>
          </cell>
          <cell r="BD91">
            <v>8.9425033582933189E-2</v>
          </cell>
          <cell r="BE91">
            <v>0.12877213540502508</v>
          </cell>
          <cell r="BF91">
            <v>0.12191141575887166</v>
          </cell>
          <cell r="BG91">
            <v>9.6370060429299853E-2</v>
          </cell>
        </row>
        <row r="93">
          <cell r="A93" t="str">
            <v>VERAPAML SR</v>
          </cell>
        </row>
        <row r="94">
          <cell r="A94" t="str">
            <v>TRx</v>
          </cell>
          <cell r="N94">
            <v>482603</v>
          </cell>
          <cell r="O94">
            <v>461524</v>
          </cell>
          <cell r="P94">
            <v>474598</v>
          </cell>
          <cell r="Q94">
            <v>1418725</v>
          </cell>
          <cell r="R94">
            <v>484162</v>
          </cell>
          <cell r="S94">
            <v>444153</v>
          </cell>
          <cell r="T94">
            <v>482090</v>
          </cell>
          <cell r="U94">
            <v>1410405</v>
          </cell>
          <cell r="V94">
            <v>505442</v>
          </cell>
          <cell r="W94">
            <v>514838</v>
          </cell>
          <cell r="X94">
            <v>488317</v>
          </cell>
          <cell r="Y94">
            <v>1508597</v>
          </cell>
          <cell r="Z94">
            <v>525630</v>
          </cell>
          <cell r="AA94">
            <v>537935</v>
          </cell>
          <cell r="AB94">
            <v>548184</v>
          </cell>
          <cell r="AC94">
            <v>1611749</v>
          </cell>
          <cell r="AD94">
            <v>587511</v>
          </cell>
          <cell r="AE94">
            <v>559615</v>
          </cell>
          <cell r="AF94">
            <v>598001</v>
          </cell>
          <cell r="AG94">
            <v>1745127</v>
          </cell>
          <cell r="AH94">
            <v>584184</v>
          </cell>
          <cell r="AI94">
            <v>533599</v>
          </cell>
          <cell r="AJ94">
            <v>585894</v>
          </cell>
          <cell r="AK94">
            <v>1703677</v>
          </cell>
          <cell r="AL94">
            <v>569933</v>
          </cell>
          <cell r="AM94">
            <v>586787</v>
          </cell>
          <cell r="AN94">
            <v>565283</v>
          </cell>
          <cell r="AO94">
            <v>1722003</v>
          </cell>
          <cell r="AP94">
            <v>568050</v>
          </cell>
          <cell r="AQ94">
            <v>535188</v>
          </cell>
          <cell r="AR94">
            <v>518577</v>
          </cell>
          <cell r="AS94">
            <v>1621815</v>
          </cell>
          <cell r="AT94">
            <v>535028</v>
          </cell>
          <cell r="AU94">
            <v>500060</v>
          </cell>
          <cell r="AV94">
            <v>544748</v>
          </cell>
          <cell r="AW94">
            <v>1579836</v>
          </cell>
          <cell r="AX94">
            <v>526154</v>
          </cell>
          <cell r="AY94">
            <v>489482</v>
          </cell>
          <cell r="AZ94">
            <v>539468</v>
          </cell>
          <cell r="BA94">
            <v>1555104</v>
          </cell>
          <cell r="BB94">
            <v>511385</v>
          </cell>
          <cell r="BC94">
            <v>504386</v>
          </cell>
          <cell r="BD94">
            <v>516162</v>
          </cell>
          <cell r="BE94">
            <v>1531933</v>
          </cell>
          <cell r="BF94">
            <v>510200</v>
          </cell>
          <cell r="BG94">
            <v>518618</v>
          </cell>
          <cell r="BH94">
            <v>502243</v>
          </cell>
          <cell r="BI94">
            <v>1531061</v>
          </cell>
        </row>
        <row r="95">
          <cell r="A95" t="str">
            <v xml:space="preserve">  % Change</v>
          </cell>
          <cell r="AD95">
            <v>0.2173795024067402</v>
          </cell>
          <cell r="AE95">
            <v>0.21253715949766416</v>
          </cell>
          <cell r="AF95">
            <v>0.26001584498881147</v>
          </cell>
          <cell r="AG95">
            <v>0.23006713774692056</v>
          </cell>
          <cell r="AH95">
            <v>0.20658787761121267</v>
          </cell>
          <cell r="AI95">
            <v>0.20138555858003881</v>
          </cell>
          <cell r="AJ95">
            <v>0.21532079072372379</v>
          </cell>
          <cell r="AK95">
            <v>0.20793460034529088</v>
          </cell>
          <cell r="AL95">
            <v>0.12759327479710825</v>
          </cell>
          <cell r="AM95">
            <v>0.13975075654866198</v>
          </cell>
          <cell r="AN95">
            <v>0.15761482807274785</v>
          </cell>
          <cell r="AO95">
            <v>0.14145991275337289</v>
          </cell>
          <cell r="AP95">
            <v>8.0703156212544869E-2</v>
          </cell>
          <cell r="AQ95">
            <v>-5.1065649195535245E-3</v>
          </cell>
          <cell r="AR95">
            <v>-5.4009237774177987E-2</v>
          </cell>
          <cell r="AS95">
            <v>6.2453893255092208E-3</v>
          </cell>
          <cell r="AT95">
            <v>-8.9331093375273007E-2</v>
          </cell>
          <cell r="AU95">
            <v>-0.10642137898376558</v>
          </cell>
          <cell r="AV95">
            <v>-8.9051690549012408E-2</v>
          </cell>
          <cell r="AW95">
            <v>-9.4715742751100618E-2</v>
          </cell>
          <cell r="AX95">
            <v>-9.9335140982978021E-2</v>
          </cell>
          <cell r="AY95">
            <v>-8.2678190926144923E-2</v>
          </cell>
          <cell r="AZ95">
            <v>-7.9239589413784728E-2</v>
          </cell>
          <cell r="BA95">
            <v>-8.7207258183329306E-2</v>
          </cell>
          <cell r="BB95">
            <v>-0.10272786450337146</v>
          </cell>
          <cell r="BC95">
            <v>-0.14042744641582039</v>
          </cell>
          <cell r="BD95">
            <v>-8.6896297960490587E-2</v>
          </cell>
          <cell r="BE95">
            <v>-0.11037727576548939</v>
          </cell>
          <cell r="BF95">
            <v>-0.10183962679341607</v>
          </cell>
          <cell r="BG95">
            <v>-3.096108283444321E-2</v>
          </cell>
          <cell r="BH95">
            <v>-3.1497733219946089E-2</v>
          </cell>
          <cell r="BI95">
            <v>-5.5958293640150036E-2</v>
          </cell>
        </row>
        <row r="96">
          <cell r="A96" t="str">
            <v>NRx</v>
          </cell>
          <cell r="N96">
            <v>145392</v>
          </cell>
          <cell r="O96">
            <v>136538</v>
          </cell>
          <cell r="P96">
            <v>135906</v>
          </cell>
          <cell r="Q96">
            <v>417836</v>
          </cell>
          <cell r="R96">
            <v>154001</v>
          </cell>
          <cell r="S96">
            <v>138788</v>
          </cell>
          <cell r="T96">
            <v>147192</v>
          </cell>
          <cell r="U96">
            <v>439981</v>
          </cell>
          <cell r="V96">
            <v>154966</v>
          </cell>
          <cell r="W96">
            <v>153811</v>
          </cell>
          <cell r="X96">
            <v>142409</v>
          </cell>
          <cell r="Y96">
            <v>451186</v>
          </cell>
          <cell r="Z96">
            <v>154569</v>
          </cell>
          <cell r="AA96">
            <v>158446</v>
          </cell>
          <cell r="AB96">
            <v>159442</v>
          </cell>
          <cell r="AC96">
            <v>472457</v>
          </cell>
          <cell r="AD96">
            <v>172878</v>
          </cell>
          <cell r="AE96">
            <v>161586</v>
          </cell>
          <cell r="AF96">
            <v>170145</v>
          </cell>
          <cell r="AG96">
            <v>504609</v>
          </cell>
          <cell r="AH96">
            <v>177341</v>
          </cell>
          <cell r="AI96">
            <v>161897</v>
          </cell>
          <cell r="AJ96">
            <v>173315</v>
          </cell>
          <cell r="AK96">
            <v>512553</v>
          </cell>
          <cell r="AL96">
            <v>165924</v>
          </cell>
          <cell r="AM96">
            <v>170028</v>
          </cell>
          <cell r="AN96">
            <v>162890</v>
          </cell>
          <cell r="AO96">
            <v>498842</v>
          </cell>
          <cell r="AP96">
            <v>163372</v>
          </cell>
          <cell r="AQ96">
            <v>152028</v>
          </cell>
          <cell r="AR96">
            <v>153495</v>
          </cell>
          <cell r="AS96">
            <v>468895</v>
          </cell>
          <cell r="AT96">
            <v>162379</v>
          </cell>
          <cell r="AU96">
            <v>145327</v>
          </cell>
          <cell r="AV96">
            <v>160637</v>
          </cell>
          <cell r="AW96">
            <v>468343</v>
          </cell>
          <cell r="AX96">
            <v>158135</v>
          </cell>
          <cell r="AY96">
            <v>148469</v>
          </cell>
          <cell r="AZ96">
            <v>163386</v>
          </cell>
          <cell r="BA96">
            <v>469990</v>
          </cell>
          <cell r="BB96">
            <v>149048</v>
          </cell>
          <cell r="BC96">
            <v>142958</v>
          </cell>
          <cell r="BD96">
            <v>146610</v>
          </cell>
          <cell r="BE96">
            <v>438616</v>
          </cell>
          <cell r="BF96">
            <v>143533</v>
          </cell>
          <cell r="BG96">
            <v>148024</v>
          </cell>
          <cell r="BH96">
            <v>145513</v>
          </cell>
          <cell r="BI96">
            <v>437070</v>
          </cell>
        </row>
        <row r="97">
          <cell r="A97" t="str">
            <v xml:space="preserve">  % Change</v>
          </cell>
          <cell r="AD97">
            <v>0.18904754044239014</v>
          </cell>
          <cell r="AE97">
            <v>0.18345076096031865</v>
          </cell>
          <cell r="AF97">
            <v>0.25193148205377236</v>
          </cell>
          <cell r="AG97">
            <v>0.20767238820972822</v>
          </cell>
          <cell r="AH97">
            <v>0.15155745741910764</v>
          </cell>
          <cell r="AI97">
            <v>0.16650574977663779</v>
          </cell>
          <cell r="AJ97">
            <v>0.17747567802597963</v>
          </cell>
          <cell r="AK97">
            <v>0.16494348619599486</v>
          </cell>
          <cell r="AL97">
            <v>7.0712285275479791E-2</v>
          </cell>
          <cell r="AM97">
            <v>0.10543459180422721</v>
          </cell>
          <cell r="AN97">
            <v>0.14381815756026661</v>
          </cell>
          <cell r="AO97">
            <v>0.10562384471149366</v>
          </cell>
          <cell r="AP97">
            <v>5.6951911444079961E-2</v>
          </cell>
          <cell r="AQ97">
            <v>-4.0505913686681883E-2</v>
          </cell>
          <cell r="AR97">
            <v>-3.7298829668468758E-2</v>
          </cell>
          <cell r="AS97">
            <v>-7.5393104557663904E-3</v>
          </cell>
          <cell r="AT97">
            <v>-6.073068869376097E-2</v>
          </cell>
          <cell r="AU97">
            <v>-0.10062134095775621</v>
          </cell>
          <cell r="AV97">
            <v>-5.5881747920890956E-2</v>
          </cell>
          <cell r="AW97">
            <v>-7.1869506885529177E-2</v>
          </cell>
          <cell r="AX97">
            <v>-0.10829982914272507</v>
          </cell>
          <cell r="AY97">
            <v>-8.2941623377826623E-2</v>
          </cell>
          <cell r="AZ97">
            <v>-5.7288751694890783E-2</v>
          </cell>
          <cell r="BA97">
            <v>-8.3041168425509126E-2</v>
          </cell>
          <cell r="BB97">
            <v>-0.10170921626768881</v>
          </cell>
          <cell r="BC97">
            <v>-0.15920907144705576</v>
          </cell>
          <cell r="BD97">
            <v>-9.9944747989440752E-2</v>
          </cell>
          <cell r="BE97">
            <v>-0.12073161441899438</v>
          </cell>
          <cell r="BF97">
            <v>-0.12143451754278578</v>
          </cell>
          <cell r="BG97">
            <v>-2.6337253663798799E-2</v>
          </cell>
          <cell r="BH97">
            <v>-5.2001693866249754E-2</v>
          </cell>
          <cell r="BI97">
            <v>-6.7872338156730216E-2</v>
          </cell>
        </row>
        <row r="98">
          <cell r="A98" t="str">
            <v>Sales (IMS)</v>
          </cell>
          <cell r="N98">
            <v>4.3024979999999999</v>
          </cell>
          <cell r="O98">
            <v>4.1807939999999997</v>
          </cell>
          <cell r="P98">
            <v>5.0524310000000003</v>
          </cell>
          <cell r="Q98">
            <v>13.535722999999999</v>
          </cell>
          <cell r="R98">
            <v>4.0908829999999998</v>
          </cell>
          <cell r="S98">
            <v>4.0069249999999998</v>
          </cell>
          <cell r="T98">
            <v>5.2564250000000001</v>
          </cell>
          <cell r="U98">
            <v>13.354233000000001</v>
          </cell>
          <cell r="V98">
            <v>4.0632000000000001</v>
          </cell>
          <cell r="W98">
            <v>4.0698109999999996</v>
          </cell>
          <cell r="X98">
            <v>5.3266939999999998</v>
          </cell>
          <cell r="Y98">
            <v>13.459705</v>
          </cell>
          <cell r="Z98">
            <v>4.251811</v>
          </cell>
          <cell r="AA98">
            <v>4.6988409999999998</v>
          </cell>
          <cell r="AB98">
            <v>6.2231820000000004</v>
          </cell>
          <cell r="AC98">
            <v>15.173833999999999</v>
          </cell>
          <cell r="AD98">
            <v>4.6184370000000001</v>
          </cell>
          <cell r="AE98">
            <v>4.734254</v>
          </cell>
          <cell r="AF98">
            <v>6.0353490000000001</v>
          </cell>
          <cell r="AG98">
            <v>15.38804</v>
          </cell>
          <cell r="AH98">
            <v>4.8026410000000004</v>
          </cell>
          <cell r="AI98">
            <v>4.803064</v>
          </cell>
          <cell r="AJ98">
            <v>6.503126</v>
          </cell>
          <cell r="AK98">
            <v>16.108831000000002</v>
          </cell>
          <cell r="AL98">
            <v>4.688485</v>
          </cell>
          <cell r="AM98">
            <v>4.8736649999999999</v>
          </cell>
          <cell r="AN98">
            <v>6.3788749999999999</v>
          </cell>
          <cell r="AO98">
            <v>15.941025</v>
          </cell>
          <cell r="AP98">
            <v>4.6943260000000002</v>
          </cell>
          <cell r="AQ98">
            <v>4.8436000000000003</v>
          </cell>
          <cell r="AR98">
            <v>5.5597890000000003</v>
          </cell>
          <cell r="AS98">
            <v>15.097715000000001</v>
          </cell>
          <cell r="AT98">
            <v>4.5309759999999999</v>
          </cell>
          <cell r="AU98">
            <v>4.9568130000000004</v>
          </cell>
          <cell r="AV98">
            <v>5.9416969999999996</v>
          </cell>
          <cell r="AW98">
            <v>15.429485999999999</v>
          </cell>
          <cell r="AX98">
            <v>4.5846140000000002</v>
          </cell>
          <cell r="AY98">
            <v>5.0199680000000004</v>
          </cell>
          <cell r="AZ98">
            <v>6.188034</v>
          </cell>
          <cell r="BA98">
            <v>15.792616000000001</v>
          </cell>
          <cell r="BB98">
            <v>4.939241</v>
          </cell>
          <cell r="BC98">
            <v>4.8138540000000001</v>
          </cell>
          <cell r="BD98">
            <v>5.83378</v>
          </cell>
          <cell r="BE98">
            <v>15.586874999999999</v>
          </cell>
          <cell r="BF98">
            <v>4.5981519999999998</v>
          </cell>
          <cell r="BG98">
            <v>4.6452049999999998</v>
          </cell>
        </row>
        <row r="99">
          <cell r="A99" t="str">
            <v xml:space="preserve">  % Change</v>
          </cell>
          <cell r="AD99">
            <v>7.3431527452191725E-2</v>
          </cell>
          <cell r="AE99">
            <v>0.13238155240368221</v>
          </cell>
          <cell r="AF99">
            <v>0.19454357714137993</v>
          </cell>
          <cell r="AG99">
            <v>0.1368465504206906</v>
          </cell>
          <cell r="AH99">
            <v>0.17398639853547526</v>
          </cell>
          <cell r="AI99">
            <v>0.19869076661030594</v>
          </cell>
          <cell r="AJ99">
            <v>0.23717659816320014</v>
          </cell>
          <cell r="AK99">
            <v>0.20627152454206854</v>
          </cell>
          <cell r="AL99">
            <v>0.15388979129749947</v>
          </cell>
          <cell r="AM99">
            <v>0.19751629743985655</v>
          </cell>
          <cell r="AN99">
            <v>0.19752983745640362</v>
          </cell>
          <cell r="AO99">
            <v>0.18435173727804588</v>
          </cell>
          <cell r="AP99">
            <v>0.1040768274977415</v>
          </cell>
          <cell r="AQ99">
            <v>3.0807384203892063E-2</v>
          </cell>
          <cell r="AR99">
            <v>-0.10660028904827146</v>
          </cell>
          <cell r="AS99">
            <v>-5.0164645270271979E-3</v>
          </cell>
          <cell r="AT99">
            <v>-1.8937359110885454E-2</v>
          </cell>
          <cell r="AU99">
            <v>4.7010363195553184E-2</v>
          </cell>
          <cell r="AV99">
            <v>-1.5517246807102758E-2</v>
          </cell>
          <cell r="AW99">
            <v>2.6933904512853601E-3</v>
          </cell>
          <cell r="AX99">
            <v>-4.539731368636557E-2</v>
          </cell>
          <cell r="AY99">
            <v>4.5159506515008108E-2</v>
          </cell>
          <cell r="AZ99">
            <v>-4.8452390435000048E-2</v>
          </cell>
          <cell r="BA99">
            <v>-1.9629916037979478E-2</v>
          </cell>
          <cell r="BB99">
            <v>5.3483374693531038E-2</v>
          </cell>
          <cell r="BC99">
            <v>-1.2272283794639072E-2</v>
          </cell>
          <cell r="BD99">
            <v>-8.5453155924829938E-2</v>
          </cell>
          <cell r="BE99">
            <v>-2.2216262756002192E-2</v>
          </cell>
          <cell r="BF99">
            <v>-2.0487286140758121E-2</v>
          </cell>
          <cell r="BG99">
            <v>-4.096023618795952E-2</v>
          </cell>
        </row>
        <row r="101">
          <cell r="A101" t="str">
            <v>OMEPRAZOLE</v>
          </cell>
        </row>
        <row r="102">
          <cell r="A102" t="str">
            <v>TRx</v>
          </cell>
          <cell r="AQ102">
            <v>27027</v>
          </cell>
          <cell r="AR102">
            <v>156076</v>
          </cell>
          <cell r="AS102">
            <v>183103</v>
          </cell>
          <cell r="AT102">
            <v>237701</v>
          </cell>
          <cell r="AU102">
            <v>234017</v>
          </cell>
          <cell r="AV102">
            <v>259301</v>
          </cell>
          <cell r="AW102">
            <v>731019</v>
          </cell>
          <cell r="AX102">
            <v>241015</v>
          </cell>
          <cell r="AY102">
            <v>220214</v>
          </cell>
          <cell r="AZ102">
            <v>241439</v>
          </cell>
          <cell r="BA102">
            <v>702668</v>
          </cell>
          <cell r="BB102">
            <v>229359</v>
          </cell>
          <cell r="BC102">
            <v>225914</v>
          </cell>
          <cell r="BD102">
            <v>257600</v>
          </cell>
          <cell r="BE102">
            <v>712873</v>
          </cell>
          <cell r="BF102">
            <v>306537</v>
          </cell>
          <cell r="BG102">
            <v>330497</v>
          </cell>
          <cell r="BH102">
            <v>333573</v>
          </cell>
          <cell r="BI102">
            <v>970607</v>
          </cell>
        </row>
        <row r="103">
          <cell r="A103" t="str">
            <v xml:space="preserve">  % Change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</row>
        <row r="104">
          <cell r="A104" t="str">
            <v>NRx</v>
          </cell>
          <cell r="AQ104">
            <v>11192</v>
          </cell>
          <cell r="AR104">
            <v>63140</v>
          </cell>
          <cell r="AS104">
            <v>74332</v>
          </cell>
          <cell r="AT104">
            <v>79401</v>
          </cell>
          <cell r="AU104">
            <v>66954</v>
          </cell>
          <cell r="AV104">
            <v>73239</v>
          </cell>
          <cell r="AW104">
            <v>219594</v>
          </cell>
          <cell r="AX104">
            <v>73436</v>
          </cell>
          <cell r="AY104">
            <v>67205</v>
          </cell>
          <cell r="AZ104">
            <v>74362</v>
          </cell>
          <cell r="BA104">
            <v>215003</v>
          </cell>
          <cell r="BB104">
            <v>69092</v>
          </cell>
          <cell r="BC104">
            <v>67700</v>
          </cell>
          <cell r="BD104">
            <v>94696</v>
          </cell>
          <cell r="BE104">
            <v>231488</v>
          </cell>
          <cell r="BF104">
            <v>133254</v>
          </cell>
          <cell r="BG104">
            <v>132548</v>
          </cell>
          <cell r="BH104">
            <v>130008</v>
          </cell>
          <cell r="BI104">
            <v>395810</v>
          </cell>
        </row>
        <row r="105">
          <cell r="A105" t="str">
            <v xml:space="preserve">  % Change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</row>
        <row r="106">
          <cell r="A106" t="str">
            <v>Sales (IMS)</v>
          </cell>
          <cell r="AQ106">
            <v>4.0496470000000002</v>
          </cell>
          <cell r="AR106">
            <v>28.216584999999998</v>
          </cell>
          <cell r="AS106">
            <v>32.266232000000002</v>
          </cell>
          <cell r="AT106">
            <v>28.216584999999998</v>
          </cell>
          <cell r="AU106">
            <v>21.396194000000001</v>
          </cell>
          <cell r="AV106">
            <v>25.098452000000002</v>
          </cell>
          <cell r="AW106">
            <v>74.711230999999998</v>
          </cell>
          <cell r="AX106">
            <v>21.803965999999999</v>
          </cell>
          <cell r="AY106">
            <v>21.501643000000001</v>
          </cell>
          <cell r="AZ106">
            <v>28.555911999999999</v>
          </cell>
          <cell r="BA106">
            <v>71.86152100000001</v>
          </cell>
          <cell r="BB106">
            <v>21.369375000000002</v>
          </cell>
          <cell r="BC106">
            <v>19.991112999999999</v>
          </cell>
          <cell r="BD106">
            <v>18.321287000000002</v>
          </cell>
          <cell r="BE106">
            <v>59.681775000000002</v>
          </cell>
          <cell r="BF106">
            <v>13.000859999999999</v>
          </cell>
          <cell r="BG106">
            <v>13.694023</v>
          </cell>
        </row>
        <row r="107">
          <cell r="A107" t="str">
            <v xml:space="preserve">  % Change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</row>
        <row r="109">
          <cell r="A109" t="str">
            <v>LOVASTATIN</v>
          </cell>
        </row>
        <row r="110">
          <cell r="A110" t="str">
            <v>TRx</v>
          </cell>
          <cell r="P110">
            <v>2910</v>
          </cell>
          <cell r="Q110">
            <v>2910</v>
          </cell>
          <cell r="R110">
            <v>22131</v>
          </cell>
          <cell r="S110">
            <v>28412</v>
          </cell>
          <cell r="T110">
            <v>37759</v>
          </cell>
          <cell r="U110">
            <v>88302</v>
          </cell>
          <cell r="V110">
            <v>46021</v>
          </cell>
          <cell r="W110">
            <v>51740</v>
          </cell>
          <cell r="X110">
            <v>51434</v>
          </cell>
          <cell r="Y110">
            <v>149195</v>
          </cell>
          <cell r="Z110">
            <v>57854</v>
          </cell>
          <cell r="AA110">
            <v>59604</v>
          </cell>
          <cell r="AB110">
            <v>60684</v>
          </cell>
          <cell r="AC110">
            <v>178142</v>
          </cell>
          <cell r="AD110">
            <v>66584</v>
          </cell>
          <cell r="AE110">
            <v>69454</v>
          </cell>
          <cell r="AF110">
            <v>80591</v>
          </cell>
          <cell r="AG110">
            <v>216629</v>
          </cell>
          <cell r="AH110">
            <v>91336</v>
          </cell>
          <cell r="AI110">
            <v>92866</v>
          </cell>
          <cell r="AJ110">
            <v>108654</v>
          </cell>
          <cell r="AK110">
            <v>292856</v>
          </cell>
          <cell r="AL110">
            <v>113312</v>
          </cell>
          <cell r="AM110">
            <v>118192</v>
          </cell>
          <cell r="AN110">
            <v>113634</v>
          </cell>
          <cell r="AO110">
            <v>345138</v>
          </cell>
          <cell r="AP110">
            <v>122404</v>
          </cell>
          <cell r="AQ110">
            <v>126127</v>
          </cell>
          <cell r="AR110">
            <v>134685</v>
          </cell>
          <cell r="AS110">
            <v>383216</v>
          </cell>
          <cell r="AT110">
            <v>146919</v>
          </cell>
          <cell r="AU110">
            <v>131887</v>
          </cell>
          <cell r="AV110">
            <v>138521</v>
          </cell>
          <cell r="AW110">
            <v>417327</v>
          </cell>
          <cell r="AX110">
            <v>136005</v>
          </cell>
          <cell r="AY110">
            <v>131266</v>
          </cell>
          <cell r="AZ110">
            <v>149546</v>
          </cell>
          <cell r="BA110">
            <v>416817</v>
          </cell>
          <cell r="BB110">
            <v>146161</v>
          </cell>
          <cell r="BC110">
            <v>145430</v>
          </cell>
          <cell r="BD110">
            <v>154360</v>
          </cell>
          <cell r="BE110">
            <v>445951</v>
          </cell>
          <cell r="BF110">
            <v>158560</v>
          </cell>
          <cell r="BG110">
            <v>166554</v>
          </cell>
          <cell r="BH110">
            <v>168154</v>
          </cell>
          <cell r="BI110">
            <v>493268</v>
          </cell>
        </row>
        <row r="111">
          <cell r="A111" t="str">
            <v xml:space="preserve">  % Change</v>
          </cell>
          <cell r="AF111">
            <v>26.694501718213058</v>
          </cell>
          <cell r="AG111">
            <v>73.442955326460478</v>
          </cell>
          <cell r="AH111">
            <v>3.1270615878179928</v>
          </cell>
          <cell r="AI111">
            <v>2.2685485006335351</v>
          </cell>
          <cell r="AJ111">
            <v>1.8775656134961203</v>
          </cell>
          <cell r="AK111">
            <v>2.3165273719734549</v>
          </cell>
          <cell r="AL111">
            <v>1.4621803089893746</v>
          </cell>
          <cell r="AM111">
            <v>1.2843448009277156</v>
          </cell>
          <cell r="AN111">
            <v>1.2093167943383754</v>
          </cell>
          <cell r="AO111">
            <v>1.3133348972820804</v>
          </cell>
          <cell r="AP111">
            <v>1.1157396204238257</v>
          </cell>
          <cell r="AQ111">
            <v>1.1160828132340113</v>
          </cell>
          <cell r="AR111">
            <v>1.2194482894997032</v>
          </cell>
          <cell r="AS111">
            <v>1.1511827643116166</v>
          </cell>
          <cell r="AT111">
            <v>1.2065210861468221</v>
          </cell>
          <cell r="AU111">
            <v>0.89891150977625478</v>
          </cell>
          <cell r="AV111">
            <v>0.71881475599012301</v>
          </cell>
          <cell r="AW111">
            <v>0.92645952296322287</v>
          </cell>
          <cell r="AX111">
            <v>0.48906236314268203</v>
          </cell>
          <cell r="AY111">
            <v>0.41349902009346806</v>
          </cell>
          <cell r="AZ111">
            <v>0.37635061755664778</v>
          </cell>
          <cell r="BA111">
            <v>0.42328311525118156</v>
          </cell>
          <cell r="BB111">
            <v>0.28989868681163511</v>
          </cell>
          <cell r="BC111">
            <v>0.23045552998510899</v>
          </cell>
          <cell r="BD111">
            <v>0.35839625464209646</v>
          </cell>
          <cell r="BE111">
            <v>0.2920947563003784</v>
          </cell>
          <cell r="BF111">
            <v>0.29538250383974374</v>
          </cell>
          <cell r="BG111">
            <v>0.32052613635462679</v>
          </cell>
          <cell r="BH111">
            <v>0.24849834799717851</v>
          </cell>
          <cell r="BI111">
            <v>0.28718007598847639</v>
          </cell>
        </row>
        <row r="112">
          <cell r="A112" t="str">
            <v>NRx</v>
          </cell>
          <cell r="P112">
            <v>2031</v>
          </cell>
          <cell r="Q112">
            <v>2031</v>
          </cell>
          <cell r="R112">
            <v>16245</v>
          </cell>
          <cell r="S112">
            <v>15446</v>
          </cell>
          <cell r="T112">
            <v>17351</v>
          </cell>
          <cell r="U112">
            <v>49042</v>
          </cell>
          <cell r="V112">
            <v>18628</v>
          </cell>
          <cell r="W112">
            <v>19038</v>
          </cell>
          <cell r="X112">
            <v>18161</v>
          </cell>
          <cell r="Y112">
            <v>55827</v>
          </cell>
          <cell r="Z112">
            <v>19330</v>
          </cell>
          <cell r="AA112">
            <v>20072</v>
          </cell>
          <cell r="AB112">
            <v>20277</v>
          </cell>
          <cell r="AC112">
            <v>59679</v>
          </cell>
          <cell r="AD112">
            <v>22425</v>
          </cell>
          <cell r="AE112">
            <v>23584</v>
          </cell>
          <cell r="AF112">
            <v>26956</v>
          </cell>
          <cell r="AG112">
            <v>72965</v>
          </cell>
          <cell r="AH112">
            <v>35755</v>
          </cell>
          <cell r="AI112">
            <v>35467</v>
          </cell>
          <cell r="AJ112">
            <v>39773</v>
          </cell>
          <cell r="AK112">
            <v>110995</v>
          </cell>
          <cell r="AL112">
            <v>40103</v>
          </cell>
          <cell r="AM112">
            <v>41359</v>
          </cell>
          <cell r="AN112">
            <v>39970</v>
          </cell>
          <cell r="AO112">
            <v>121432</v>
          </cell>
          <cell r="AP112">
            <v>42415</v>
          </cell>
          <cell r="AQ112">
            <v>42615</v>
          </cell>
          <cell r="AR112">
            <v>45219</v>
          </cell>
          <cell r="AS112">
            <v>130249</v>
          </cell>
          <cell r="AT112">
            <v>49618</v>
          </cell>
          <cell r="AU112">
            <v>41166</v>
          </cell>
          <cell r="AV112">
            <v>41158</v>
          </cell>
          <cell r="AW112">
            <v>131942</v>
          </cell>
          <cell r="AX112">
            <v>43943</v>
          </cell>
          <cell r="AY112">
            <v>43360</v>
          </cell>
          <cell r="AZ112">
            <v>49204</v>
          </cell>
          <cell r="BA112">
            <v>136507</v>
          </cell>
          <cell r="BB112">
            <v>46363</v>
          </cell>
          <cell r="BC112">
            <v>44927</v>
          </cell>
          <cell r="BD112">
            <v>47678</v>
          </cell>
          <cell r="BE112">
            <v>138968</v>
          </cell>
          <cell r="BF112">
            <v>49017</v>
          </cell>
          <cell r="BG112">
            <v>51595</v>
          </cell>
          <cell r="BH112">
            <v>53486</v>
          </cell>
          <cell r="BI112">
            <v>154098</v>
          </cell>
        </row>
        <row r="113">
          <cell r="A113" t="str">
            <v xml:space="preserve">  % Change</v>
          </cell>
          <cell r="AF113">
            <v>12.272279665189561</v>
          </cell>
          <cell r="AG113">
            <v>34.925652387986212</v>
          </cell>
          <cell r="AH113">
            <v>1.2009849184364421</v>
          </cell>
          <cell r="AI113">
            <v>1.2961931891751908</v>
          </cell>
          <cell r="AJ113">
            <v>1.2922598121145756</v>
          </cell>
          <cell r="AK113">
            <v>1.2632641409404184</v>
          </cell>
          <cell r="AL113">
            <v>1.152834442774318</v>
          </cell>
          <cell r="AM113">
            <v>1.1724445845151803</v>
          </cell>
          <cell r="AN113">
            <v>1.2008699961455869</v>
          </cell>
          <cell r="AO113">
            <v>1.175148225768893</v>
          </cell>
          <cell r="AP113">
            <v>1.19425763062597</v>
          </cell>
          <cell r="AQ113">
            <v>1.1231068154643284</v>
          </cell>
          <cell r="AR113">
            <v>1.2300636188785323</v>
          </cell>
          <cell r="AS113">
            <v>1.1824930042393471</v>
          </cell>
          <cell r="AT113">
            <v>1.2126198439241915</v>
          </cell>
          <cell r="AU113">
            <v>0.74550542740841252</v>
          </cell>
          <cell r="AV113">
            <v>0.52685858435969735</v>
          </cell>
          <cell r="AW113">
            <v>0.80829164667991504</v>
          </cell>
          <cell r="AX113">
            <v>0.22900293665221638</v>
          </cell>
          <cell r="AY113">
            <v>0.22254490089378853</v>
          </cell>
          <cell r="AZ113">
            <v>0.23712065974404739</v>
          </cell>
          <cell r="BA113">
            <v>0.22984819135997125</v>
          </cell>
          <cell r="BB113">
            <v>0.15609804752761636</v>
          </cell>
          <cell r="BC113">
            <v>8.6269010372591159E-2</v>
          </cell>
          <cell r="BD113">
            <v>0.19284463347510639</v>
          </cell>
          <cell r="BE113">
            <v>0.14441004018710069</v>
          </cell>
          <cell r="BF113">
            <v>0.15565248143345523</v>
          </cell>
          <cell r="BG113">
            <v>0.21072392350111468</v>
          </cell>
          <cell r="BH113">
            <v>0.18282138039319751</v>
          </cell>
          <cell r="BI113">
            <v>0.18310313322942973</v>
          </cell>
        </row>
        <row r="114">
          <cell r="A114" t="str">
            <v>Sales (IMS)</v>
          </cell>
          <cell r="P114">
            <v>0.81411500000000003</v>
          </cell>
          <cell r="Q114">
            <v>0.81411500000000003</v>
          </cell>
          <cell r="R114">
            <v>1.1389320000000001</v>
          </cell>
          <cell r="S114">
            <v>1.1992339999999999</v>
          </cell>
          <cell r="T114">
            <v>1.8971690000000001</v>
          </cell>
          <cell r="U114">
            <v>4.2353350000000001</v>
          </cell>
          <cell r="V114">
            <v>1.597791</v>
          </cell>
          <cell r="W114">
            <v>1.554554</v>
          </cell>
          <cell r="X114">
            <v>2.0415930000000002</v>
          </cell>
          <cell r="Y114">
            <v>5.1939380000000002</v>
          </cell>
          <cell r="Z114">
            <v>1.664118</v>
          </cell>
          <cell r="AA114">
            <v>1.7825960000000001</v>
          </cell>
          <cell r="AB114">
            <v>2.323725</v>
          </cell>
          <cell r="AC114">
            <v>5.7704389999999997</v>
          </cell>
          <cell r="AD114">
            <v>1.9028640000000001</v>
          </cell>
          <cell r="AE114">
            <v>2.1388069999999999</v>
          </cell>
          <cell r="AF114">
            <v>2.729457</v>
          </cell>
          <cell r="AG114">
            <v>6.771128</v>
          </cell>
          <cell r="AH114">
            <v>3.167586</v>
          </cell>
          <cell r="AI114">
            <v>3.4050370000000001</v>
          </cell>
          <cell r="AJ114">
            <v>4.0094640000000004</v>
          </cell>
          <cell r="AK114">
            <v>10.582087000000001</v>
          </cell>
          <cell r="AL114">
            <v>2.410269</v>
          </cell>
          <cell r="AM114">
            <v>1.2699720000000001</v>
          </cell>
          <cell r="AN114">
            <v>3.1295329999999999</v>
          </cell>
          <cell r="AO114">
            <v>6.809774</v>
          </cell>
          <cell r="AP114">
            <v>2.7850630000000001</v>
          </cell>
          <cell r="AQ114">
            <v>3.8967100000000001</v>
          </cell>
          <cell r="AR114">
            <v>4.0250159999999999</v>
          </cell>
          <cell r="AS114">
            <v>10.706789000000001</v>
          </cell>
          <cell r="AT114">
            <v>3.2517299999999998</v>
          </cell>
          <cell r="AU114">
            <v>3.4878849999999999</v>
          </cell>
          <cell r="AV114">
            <v>3.546983</v>
          </cell>
          <cell r="AW114">
            <v>10.286598</v>
          </cell>
          <cell r="AX114">
            <v>2.698547</v>
          </cell>
          <cell r="AY114">
            <v>2.8516550000000001</v>
          </cell>
          <cell r="AZ114">
            <v>3.6788370000000001</v>
          </cell>
          <cell r="BA114">
            <v>9.2290390000000002</v>
          </cell>
          <cell r="BB114">
            <v>2.8860100000000002</v>
          </cell>
          <cell r="BC114">
            <v>2.889875</v>
          </cell>
          <cell r="BD114">
            <v>3.7483200000000001</v>
          </cell>
          <cell r="BE114">
            <v>9.5242050000000003</v>
          </cell>
          <cell r="BF114">
            <v>3.01275</v>
          </cell>
          <cell r="BG114">
            <v>3.2859780000000001</v>
          </cell>
        </row>
        <row r="115">
          <cell r="A115" t="str">
            <v xml:space="preserve">  % Change</v>
          </cell>
          <cell r="AF115">
            <v>2.3526676206678419</v>
          </cell>
          <cell r="AG115">
            <v>7.3171640370217972</v>
          </cell>
          <cell r="AH115">
            <v>1.7811897461832662</v>
          </cell>
          <cell r="AI115">
            <v>1.8393432807942407</v>
          </cell>
          <cell r="AJ115">
            <v>1.1133931663441685</v>
          </cell>
          <cell r="AK115">
            <v>1.4985242017455529</v>
          </cell>
          <cell r="AL115">
            <v>0.50850079891550282</v>
          </cell>
          <cell r="AM115">
            <v>-0.18306343813080783</v>
          </cell>
          <cell r="AN115">
            <v>0.53288779889037619</v>
          </cell>
          <cell r="AO115">
            <v>0.31110036353918735</v>
          </cell>
          <cell r="AP115">
            <v>0.67359706463123414</v>
          </cell>
          <cell r="AQ115">
            <v>1.1859748366988367</v>
          </cell>
          <cell r="AR115">
            <v>0.73213956040409256</v>
          </cell>
          <cell r="AS115">
            <v>0.8554548449433399</v>
          </cell>
          <cell r="AT115">
            <v>0.70886095905960689</v>
          </cell>
          <cell r="AU115">
            <v>0.63076191540424165</v>
          </cell>
          <cell r="AV115">
            <v>0.29951964804721221</v>
          </cell>
          <cell r="AW115">
            <v>0.51918528197960501</v>
          </cell>
          <cell r="AX115">
            <v>-0.14807459055571026</v>
          </cell>
          <cell r="AY115">
            <v>-0.162518645171844</v>
          </cell>
          <cell r="AZ115">
            <v>-8.2461645746164658E-2</v>
          </cell>
          <cell r="BA115">
            <v>-0.12786211264375369</v>
          </cell>
          <cell r="BB115">
            <v>0.19738087325522602</v>
          </cell>
          <cell r="BC115">
            <v>1.2755422954206863</v>
          </cell>
          <cell r="BD115">
            <v>0.19772502798340841</v>
          </cell>
          <cell r="BE115">
            <v>0.39860808890280364</v>
          </cell>
          <cell r="BF115">
            <v>8.1752908282505699E-2</v>
          </cell>
          <cell r="BG115">
            <v>-0.15673016467738166</v>
          </cell>
        </row>
        <row r="117">
          <cell r="A117" t="str">
            <v>NITROGLYCERIN</v>
          </cell>
        </row>
        <row r="118">
          <cell r="A118" t="str">
            <v>TRx</v>
          </cell>
          <cell r="N118">
            <v>195668</v>
          </cell>
          <cell r="O118">
            <v>185869</v>
          </cell>
          <cell r="P118">
            <v>188699</v>
          </cell>
          <cell r="Q118">
            <v>570236</v>
          </cell>
          <cell r="R118">
            <v>195195</v>
          </cell>
          <cell r="S118">
            <v>175915</v>
          </cell>
          <cell r="T118">
            <v>188539</v>
          </cell>
          <cell r="U118">
            <v>559649</v>
          </cell>
          <cell r="V118">
            <v>194880</v>
          </cell>
          <cell r="W118">
            <v>195776</v>
          </cell>
          <cell r="X118">
            <v>182413</v>
          </cell>
          <cell r="Y118">
            <v>573069</v>
          </cell>
          <cell r="Z118">
            <v>198025</v>
          </cell>
          <cell r="AA118">
            <v>192650</v>
          </cell>
          <cell r="AB118">
            <v>177733</v>
          </cell>
          <cell r="AC118">
            <v>568408</v>
          </cell>
          <cell r="AD118">
            <v>184209</v>
          </cell>
          <cell r="AE118">
            <v>171593</v>
          </cell>
          <cell r="AF118">
            <v>181171</v>
          </cell>
          <cell r="AG118">
            <v>536973</v>
          </cell>
          <cell r="AH118">
            <v>178457</v>
          </cell>
          <cell r="AI118">
            <v>161137</v>
          </cell>
          <cell r="AJ118">
            <v>172783</v>
          </cell>
          <cell r="AK118">
            <v>512377</v>
          </cell>
          <cell r="AL118">
            <v>168551</v>
          </cell>
          <cell r="AM118">
            <v>172826</v>
          </cell>
          <cell r="AN118">
            <v>167719</v>
          </cell>
          <cell r="AO118">
            <v>509096</v>
          </cell>
          <cell r="AP118">
            <v>175136</v>
          </cell>
          <cell r="AQ118">
            <v>166365</v>
          </cell>
          <cell r="AR118">
            <v>164395</v>
          </cell>
          <cell r="AS118">
            <v>505896</v>
          </cell>
          <cell r="AT118">
            <v>169764</v>
          </cell>
          <cell r="AU118">
            <v>155618</v>
          </cell>
          <cell r="AV118">
            <v>171454</v>
          </cell>
          <cell r="AW118">
            <v>496836</v>
          </cell>
          <cell r="AX118">
            <v>165072</v>
          </cell>
          <cell r="AY118">
            <v>154579</v>
          </cell>
          <cell r="AZ118">
            <v>170558</v>
          </cell>
          <cell r="BA118">
            <v>490209</v>
          </cell>
          <cell r="BB118">
            <v>159849</v>
          </cell>
          <cell r="BC118">
            <v>154579</v>
          </cell>
          <cell r="BD118">
            <v>162024</v>
          </cell>
          <cell r="BE118">
            <v>476452</v>
          </cell>
          <cell r="BF118">
            <v>160550</v>
          </cell>
          <cell r="BG118">
            <v>160661</v>
          </cell>
          <cell r="BH118">
            <v>157496</v>
          </cell>
          <cell r="BI118">
            <v>478707</v>
          </cell>
        </row>
        <row r="119">
          <cell r="A119" t="str">
            <v xml:space="preserve">  % Change</v>
          </cell>
          <cell r="AD119">
            <v>-5.8563485086984057E-2</v>
          </cell>
          <cell r="AE119">
            <v>-7.6806783272089452E-2</v>
          </cell>
          <cell r="AF119">
            <v>-3.9894223074844026E-2</v>
          </cell>
          <cell r="AG119">
            <v>-5.8331988860752415E-2</v>
          </cell>
          <cell r="AH119">
            <v>-8.5750147288608858E-2</v>
          </cell>
          <cell r="AI119">
            <v>-8.4006480402467054E-2</v>
          </cell>
          <cell r="AJ119">
            <v>-8.3568916775839441E-2</v>
          </cell>
          <cell r="AK119">
            <v>-8.4467228566476482E-2</v>
          </cell>
          <cell r="AL119">
            <v>-0.13510365353037768</v>
          </cell>
          <cell r="AM119">
            <v>-0.11722580908793723</v>
          </cell>
          <cell r="AN119">
            <v>-8.0553469325102878E-2</v>
          </cell>
          <cell r="AO119">
            <v>-0.11163228162751782</v>
          </cell>
          <cell r="AP119">
            <v>-0.1155864158565838</v>
          </cell>
          <cell r="AQ119">
            <v>-0.13643913833376586</v>
          </cell>
          <cell r="AR119">
            <v>-7.5045151997659376E-2</v>
          </cell>
          <cell r="AS119">
            <v>-0.10997734022040506</v>
          </cell>
          <cell r="AT119">
            <v>-7.8416364021301921E-2</v>
          </cell>
          <cell r="AU119">
            <v>-9.3098203306661742E-2</v>
          </cell>
          <cell r="AV119">
            <v>-5.3634411688404882E-2</v>
          </cell>
          <cell r="AW119">
            <v>-7.4746774977512809E-2</v>
          </cell>
          <cell r="AX119">
            <v>-7.5004062603316157E-2</v>
          </cell>
          <cell r="AY119">
            <v>-4.0698287792375387E-2</v>
          </cell>
          <cell r="AZ119">
            <v>-1.2877424283639027E-2</v>
          </cell>
          <cell r="BA119">
            <v>-4.3265017750601653E-2</v>
          </cell>
          <cell r="BB119">
            <v>-5.162829054707474E-2</v>
          </cell>
          <cell r="BC119">
            <v>-0.1055801789082661</v>
          </cell>
          <cell r="BD119">
            <v>-3.3955604314359178E-2</v>
          </cell>
          <cell r="BE119">
            <v>-6.4121501642126488E-2</v>
          </cell>
          <cell r="BF119">
            <v>-8.3283847980997638E-2</v>
          </cell>
          <cell r="BG119">
            <v>-3.4286057764553846E-2</v>
          </cell>
          <cell r="BH119">
            <v>-4.1965996532741245E-2</v>
          </cell>
          <cell r="BI119">
            <v>-5.3744247829593417E-2</v>
          </cell>
        </row>
        <row r="120">
          <cell r="A120" t="str">
            <v>NRx</v>
          </cell>
          <cell r="N120">
            <v>62546</v>
          </cell>
          <cell r="O120">
            <v>59131</v>
          </cell>
          <cell r="P120">
            <v>59037</v>
          </cell>
          <cell r="Q120">
            <v>180714</v>
          </cell>
          <cell r="R120">
            <v>65654</v>
          </cell>
          <cell r="S120">
            <v>58731</v>
          </cell>
          <cell r="T120">
            <v>62351</v>
          </cell>
          <cell r="U120">
            <v>186736</v>
          </cell>
          <cell r="V120">
            <v>63395</v>
          </cell>
          <cell r="W120">
            <v>62658</v>
          </cell>
          <cell r="X120">
            <v>57343</v>
          </cell>
          <cell r="Y120">
            <v>183396</v>
          </cell>
          <cell r="Z120">
            <v>62723</v>
          </cell>
          <cell r="AA120">
            <v>60806</v>
          </cell>
          <cell r="AB120">
            <v>54843</v>
          </cell>
          <cell r="AC120">
            <v>178372</v>
          </cell>
          <cell r="AD120">
            <v>57736</v>
          </cell>
          <cell r="AE120">
            <v>53386</v>
          </cell>
          <cell r="AF120">
            <v>55787</v>
          </cell>
          <cell r="AG120">
            <v>166909</v>
          </cell>
          <cell r="AH120">
            <v>58193</v>
          </cell>
          <cell r="AI120">
            <v>52194</v>
          </cell>
          <cell r="AJ120">
            <v>54809</v>
          </cell>
          <cell r="AK120">
            <v>165196</v>
          </cell>
          <cell r="AL120">
            <v>53748</v>
          </cell>
          <cell r="AM120">
            <v>54846</v>
          </cell>
          <cell r="AN120">
            <v>52936</v>
          </cell>
          <cell r="AO120">
            <v>161530</v>
          </cell>
          <cell r="AP120">
            <v>55728</v>
          </cell>
          <cell r="AQ120">
            <v>50941</v>
          </cell>
          <cell r="AR120">
            <v>50774</v>
          </cell>
          <cell r="AS120">
            <v>157443</v>
          </cell>
          <cell r="AT120">
            <v>53418</v>
          </cell>
          <cell r="AU120">
            <v>47526</v>
          </cell>
          <cell r="AV120">
            <v>51877</v>
          </cell>
          <cell r="AW120">
            <v>152821</v>
          </cell>
          <cell r="AX120">
            <v>51946</v>
          </cell>
          <cell r="AY120">
            <v>49629</v>
          </cell>
          <cell r="AZ120">
            <v>53950</v>
          </cell>
          <cell r="BA120">
            <v>155525</v>
          </cell>
          <cell r="BB120">
            <v>50882</v>
          </cell>
          <cell r="BC120">
            <v>51411</v>
          </cell>
          <cell r="BD120">
            <v>50001</v>
          </cell>
          <cell r="BE120">
            <v>152294</v>
          </cell>
          <cell r="BF120">
            <v>49714</v>
          </cell>
          <cell r="BG120">
            <v>48328</v>
          </cell>
          <cell r="BH120">
            <v>48987</v>
          </cell>
          <cell r="BI120">
            <v>147029</v>
          </cell>
        </row>
        <row r="121">
          <cell r="A121" t="str">
            <v xml:space="preserve">  % Change</v>
          </cell>
          <cell r="AD121">
            <v>-7.6903399098263714E-2</v>
          </cell>
          <cell r="AE121">
            <v>-9.7157159527151538E-2</v>
          </cell>
          <cell r="AF121">
            <v>-5.5050222741670485E-2</v>
          </cell>
          <cell r="AG121">
            <v>-7.6391425124782808E-2</v>
          </cell>
          <cell r="AH121">
            <v>-0.11364120997958993</v>
          </cell>
          <cell r="AI121">
            <v>-0.1113040813199162</v>
          </cell>
          <cell r="AJ121">
            <v>-0.12096036952093792</v>
          </cell>
          <cell r="AK121">
            <v>-0.11535001285236912</v>
          </cell>
          <cell r="AL121">
            <v>-0.15217288429686882</v>
          </cell>
          <cell r="AM121">
            <v>-0.12467681700660727</v>
          </cell>
          <cell r="AN121">
            <v>-7.6853321242348671E-2</v>
          </cell>
          <cell r="AO121">
            <v>-0.11922833649588871</v>
          </cell>
          <cell r="AP121">
            <v>-0.1115220891857851</v>
          </cell>
          <cell r="AQ121">
            <v>-0.16223727921586684</v>
          </cell>
          <cell r="AR121">
            <v>-7.4193607206024415E-2</v>
          </cell>
          <cell r="AS121">
            <v>-0.11733343798354001</v>
          </cell>
          <cell r="AT121">
            <v>-7.4788693362893177E-2</v>
          </cell>
          <cell r="AU121">
            <v>-0.10976660547709138</v>
          </cell>
          <cell r="AV121">
            <v>-7.0088013336440436E-2</v>
          </cell>
          <cell r="AW121">
            <v>-8.4405274730541824E-2</v>
          </cell>
          <cell r="AX121">
            <v>-0.10734968123313804</v>
          </cell>
          <cell r="AY121">
            <v>-4.9143579721807051E-2</v>
          </cell>
          <cell r="AZ121">
            <v>-1.5672608513200403E-2</v>
          </cell>
          <cell r="BA121">
            <v>-5.8542579723479982E-2</v>
          </cell>
          <cell r="BB121">
            <v>-5.3322914340998784E-2</v>
          </cell>
          <cell r="BC121">
            <v>-6.2629909200306311E-2</v>
          </cell>
          <cell r="BD121">
            <v>-5.5444310110321915E-2</v>
          </cell>
          <cell r="BE121">
            <v>-5.7178233145545709E-2</v>
          </cell>
          <cell r="BF121">
            <v>-0.10791702555268445</v>
          </cell>
          <cell r="BG121">
            <v>-5.1294634969867081E-2</v>
          </cell>
          <cell r="BH121">
            <v>-3.5195178634734314E-2</v>
          </cell>
          <cell r="BI121">
            <v>-6.6144572956562064E-2</v>
          </cell>
        </row>
        <row r="122">
          <cell r="A122" t="str">
            <v>Sales (IMS)</v>
          </cell>
          <cell r="N122">
            <v>3.8406859999999998</v>
          </cell>
          <cell r="O122">
            <v>3.715706</v>
          </cell>
          <cell r="P122">
            <v>4.6343189999999996</v>
          </cell>
          <cell r="Q122">
            <v>12.190711</v>
          </cell>
          <cell r="R122">
            <v>3.7766449999999998</v>
          </cell>
          <cell r="S122">
            <v>3.595637</v>
          </cell>
          <cell r="T122">
            <v>4.7545630000000001</v>
          </cell>
          <cell r="U122">
            <v>12.126844999999999</v>
          </cell>
          <cell r="V122">
            <v>3.6324230000000002</v>
          </cell>
          <cell r="W122">
            <v>3.5948959999999999</v>
          </cell>
          <cell r="X122">
            <v>4.8071929999999998</v>
          </cell>
          <cell r="Y122">
            <v>12.034511999999999</v>
          </cell>
          <cell r="Z122">
            <v>3.6788959999999999</v>
          </cell>
          <cell r="AA122">
            <v>3.605836</v>
          </cell>
          <cell r="AB122">
            <v>4.151243</v>
          </cell>
          <cell r="AC122">
            <v>11.435974999999999</v>
          </cell>
          <cell r="AD122">
            <v>3.3053810000000001</v>
          </cell>
          <cell r="AE122">
            <v>3.2251210000000001</v>
          </cell>
          <cell r="AF122">
            <v>4.0870259999999998</v>
          </cell>
          <cell r="AG122">
            <v>10.617528</v>
          </cell>
          <cell r="AH122">
            <v>3.3041239999999998</v>
          </cell>
          <cell r="AI122">
            <v>3.2645189999999999</v>
          </cell>
          <cell r="AJ122">
            <v>4.0712489999999999</v>
          </cell>
          <cell r="AK122">
            <v>10.639892</v>
          </cell>
          <cell r="AL122">
            <v>2.9433250000000002</v>
          </cell>
          <cell r="AM122">
            <v>2.9656400000000001</v>
          </cell>
          <cell r="AN122">
            <v>4.026135</v>
          </cell>
          <cell r="AO122">
            <v>9.9351000000000003</v>
          </cell>
          <cell r="AP122">
            <v>3.024076</v>
          </cell>
          <cell r="AQ122">
            <v>3.157708</v>
          </cell>
          <cell r="AR122">
            <v>3.682938</v>
          </cell>
          <cell r="AS122">
            <v>9.8647220000000004</v>
          </cell>
          <cell r="AT122">
            <v>2.9876119999999999</v>
          </cell>
          <cell r="AU122">
            <v>2.933996</v>
          </cell>
          <cell r="AV122">
            <v>3.5339230000000001</v>
          </cell>
          <cell r="AW122">
            <v>9.4555310000000006</v>
          </cell>
          <cell r="AX122">
            <v>2.8890129999999998</v>
          </cell>
          <cell r="AY122">
            <v>2.7895500000000002</v>
          </cell>
          <cell r="AZ122">
            <v>3.4243389999999998</v>
          </cell>
          <cell r="BA122">
            <v>9.1029020000000003</v>
          </cell>
          <cell r="BB122">
            <v>2.6629260000000001</v>
          </cell>
          <cell r="BC122">
            <v>2.6718860000000002</v>
          </cell>
          <cell r="BD122">
            <v>3.357812</v>
          </cell>
          <cell r="BE122">
            <v>8.6926240000000004</v>
          </cell>
          <cell r="BF122">
            <v>2.576422</v>
          </cell>
          <cell r="BG122">
            <v>2.6871939999999999</v>
          </cell>
          <cell r="BH122">
            <v>0</v>
          </cell>
        </row>
        <row r="123">
          <cell r="A123" t="str">
            <v xml:space="preserve">  % Change</v>
          </cell>
          <cell r="AD123">
            <v>-0.13937744455027035</v>
          </cell>
          <cell r="AE123">
            <v>-0.13203009064764537</v>
          </cell>
          <cell r="AF123">
            <v>-0.11809566842506958</v>
          </cell>
          <cell r="AG123">
            <v>-0.12904768228858843</v>
          </cell>
          <cell r="AH123">
            <v>-0.12511660481723863</v>
          </cell>
          <cell r="AI123">
            <v>-9.2088828766641373E-2</v>
          </cell>
          <cell r="AJ123">
            <v>-0.14371751935982346</v>
          </cell>
          <cell r="AK123">
            <v>-0.12261664101421266</v>
          </cell>
          <cell r="AL123">
            <v>-0.18970753130899121</v>
          </cell>
          <cell r="AM123">
            <v>-0.17504150328688228</v>
          </cell>
          <cell r="AN123">
            <v>-0.16247693820489417</v>
          </cell>
          <cell r="AO123">
            <v>-0.17444928385961966</v>
          </cell>
          <cell r="AP123">
            <v>-0.17799361547594716</v>
          </cell>
          <cell r="AQ123">
            <v>-0.12427853069302097</v>
          </cell>
          <cell r="AR123">
            <v>-0.11281078944306555</v>
          </cell>
          <cell r="AS123">
            <v>-0.13739563089286211</v>
          </cell>
          <cell r="AT123">
            <v>-9.6136874992625687E-2</v>
          </cell>
          <cell r="AU123">
            <v>-9.0267931032665172E-2</v>
          </cell>
          <cell r="AV123">
            <v>-0.1353314121319511</v>
          </cell>
          <cell r="AW123">
            <v>-0.1094413878635403</v>
          </cell>
          <cell r="AX123">
            <v>-0.125634207432893</v>
          </cell>
          <cell r="AY123">
            <v>-0.14549432856724065</v>
          </cell>
          <cell r="AZ123">
            <v>-0.15889718364069605</v>
          </cell>
          <cell r="BA123">
            <v>-0.144455413645176</v>
          </cell>
          <cell r="BB123">
            <v>-9.5266068137225823E-2</v>
          </cell>
          <cell r="BC123">
            <v>-9.9052481083341193E-2</v>
          </cell>
          <cell r="BD123">
            <v>-0.16599617250787668</v>
          </cell>
          <cell r="BE123">
            <v>-0.12505923443146016</v>
          </cell>
          <cell r="BF123">
            <v>-0.14803000982779535</v>
          </cell>
          <cell r="BG123">
            <v>-0.14900491115707981</v>
          </cell>
          <cell r="BH123">
            <v>-1</v>
          </cell>
        </row>
        <row r="125">
          <cell r="A125" t="str">
            <v>CLONIDINE</v>
          </cell>
        </row>
        <row r="126">
          <cell r="A126" t="str">
            <v>TRx</v>
          </cell>
          <cell r="N126">
            <v>427454</v>
          </cell>
          <cell r="O126">
            <v>462698</v>
          </cell>
          <cell r="P126">
            <v>499240</v>
          </cell>
          <cell r="Q126">
            <v>1389392</v>
          </cell>
          <cell r="R126">
            <v>532599</v>
          </cell>
          <cell r="S126">
            <v>502668</v>
          </cell>
          <cell r="T126">
            <v>554776</v>
          </cell>
          <cell r="U126">
            <v>1590043</v>
          </cell>
          <cell r="V126">
            <v>569953</v>
          </cell>
          <cell r="W126">
            <v>581722</v>
          </cell>
          <cell r="X126">
            <v>549370</v>
          </cell>
          <cell r="Y126">
            <v>1701045</v>
          </cell>
          <cell r="Z126">
            <v>588590</v>
          </cell>
          <cell r="AA126">
            <v>591322</v>
          </cell>
          <cell r="AB126">
            <v>571625</v>
          </cell>
          <cell r="AC126">
            <v>1751537</v>
          </cell>
          <cell r="AD126">
            <v>606474</v>
          </cell>
          <cell r="AE126">
            <v>586779</v>
          </cell>
          <cell r="AF126">
            <v>624499</v>
          </cell>
          <cell r="AG126">
            <v>1817752</v>
          </cell>
          <cell r="AH126">
            <v>630172</v>
          </cell>
          <cell r="AI126">
            <v>581481</v>
          </cell>
          <cell r="AJ126">
            <v>651536</v>
          </cell>
          <cell r="AK126">
            <v>1863189</v>
          </cell>
          <cell r="AL126">
            <v>638350</v>
          </cell>
          <cell r="AM126">
            <v>653983</v>
          </cell>
          <cell r="AN126">
            <v>630945</v>
          </cell>
          <cell r="AO126">
            <v>1923278</v>
          </cell>
          <cell r="AP126">
            <v>644874</v>
          </cell>
          <cell r="AQ126">
            <v>638164</v>
          </cell>
          <cell r="AR126">
            <v>640869</v>
          </cell>
          <cell r="AS126">
            <v>1923907</v>
          </cell>
          <cell r="AT126">
            <v>672780</v>
          </cell>
          <cell r="AU126">
            <v>630797</v>
          </cell>
          <cell r="AV126">
            <v>693071</v>
          </cell>
          <cell r="AW126">
            <v>1996648</v>
          </cell>
          <cell r="AX126">
            <v>684804</v>
          </cell>
          <cell r="AY126">
            <v>645061</v>
          </cell>
          <cell r="AZ126">
            <v>716591</v>
          </cell>
          <cell r="BA126">
            <v>2046456</v>
          </cell>
          <cell r="BB126">
            <v>683842</v>
          </cell>
          <cell r="BC126">
            <v>669804</v>
          </cell>
          <cell r="BD126">
            <v>690804</v>
          </cell>
          <cell r="BE126">
            <v>2044450</v>
          </cell>
          <cell r="BF126">
            <v>691763</v>
          </cell>
          <cell r="BG126">
            <v>705769</v>
          </cell>
          <cell r="BH126">
            <v>695891</v>
          </cell>
          <cell r="BI126">
            <v>2093423</v>
          </cell>
        </row>
        <row r="127">
          <cell r="A127" t="str">
            <v xml:space="preserve">  % Change</v>
          </cell>
          <cell r="AD127">
            <v>0.41880529834789249</v>
          </cell>
          <cell r="AE127">
            <v>0.26816843816052804</v>
          </cell>
          <cell r="AF127">
            <v>0.25089936703789761</v>
          </cell>
          <cell r="AG127">
            <v>0.30830751868443174</v>
          </cell>
          <cell r="AH127">
            <v>0.18320162073154478</v>
          </cell>
          <cell r="AI127">
            <v>0.15678937191148035</v>
          </cell>
          <cell r="AJ127">
            <v>0.17441273595108653</v>
          </cell>
          <cell r="AK127">
            <v>0.17178529134117748</v>
          </cell>
          <cell r="AL127">
            <v>0.12000463196088096</v>
          </cell>
          <cell r="AM127">
            <v>0.12421912872471741</v>
          </cell>
          <cell r="AN127">
            <v>0.14848826838014451</v>
          </cell>
          <cell r="AO127">
            <v>0.130644985876329</v>
          </cell>
          <cell r="AP127">
            <v>9.562513804176076E-2</v>
          </cell>
          <cell r="AQ127">
            <v>7.9215723412962902E-2</v>
          </cell>
          <cell r="AR127">
            <v>0.12113535972009615</v>
          </cell>
          <cell r="AS127">
            <v>9.841071013629743E-2</v>
          </cell>
          <cell r="AT127">
            <v>0.10933032578478219</v>
          </cell>
          <cell r="AU127">
            <v>7.5016317898220608E-2</v>
          </cell>
          <cell r="AV127">
            <v>0.10980321825975703</v>
          </cell>
          <cell r="AW127">
            <v>9.8416065557897836E-2</v>
          </cell>
          <cell r="AX127">
            <v>8.6693791536278875E-2</v>
          </cell>
          <cell r="AY127">
            <v>0.10934149181142638</v>
          </cell>
          <cell r="AZ127">
            <v>9.9848665307826323E-2</v>
          </cell>
          <cell r="BA127">
            <v>9.8362001922510212E-2</v>
          </cell>
          <cell r="BB127">
            <v>7.1264980026631175E-2</v>
          </cell>
          <cell r="BC127">
            <v>2.419176033627779E-2</v>
          </cell>
          <cell r="BD127">
            <v>9.4871977747664316E-2</v>
          </cell>
          <cell r="BE127">
            <v>6.3002852421750744E-2</v>
          </cell>
          <cell r="BF127">
            <v>7.2710327909017991E-2</v>
          </cell>
          <cell r="BG127">
            <v>0.10593671846108532</v>
          </cell>
          <cell r="BH127">
            <v>8.585529960101046E-2</v>
          </cell>
          <cell r="BI127">
            <v>8.8110288075255117E-2</v>
          </cell>
        </row>
        <row r="128">
          <cell r="A128" t="str">
            <v>NRx</v>
          </cell>
          <cell r="N128">
            <v>178387</v>
          </cell>
          <cell r="O128">
            <v>188935</v>
          </cell>
          <cell r="P128">
            <v>197533</v>
          </cell>
          <cell r="Q128">
            <v>564855</v>
          </cell>
          <cell r="R128">
            <v>223236</v>
          </cell>
          <cell r="S128">
            <v>210385</v>
          </cell>
          <cell r="T128">
            <v>227732</v>
          </cell>
          <cell r="U128">
            <v>661353</v>
          </cell>
          <cell r="V128">
            <v>232086</v>
          </cell>
          <cell r="W128">
            <v>232249</v>
          </cell>
          <cell r="X128">
            <v>215651</v>
          </cell>
          <cell r="Y128">
            <v>679986</v>
          </cell>
          <cell r="Z128">
            <v>228998</v>
          </cell>
          <cell r="AA128">
            <v>234794</v>
          </cell>
          <cell r="AB128">
            <v>228225</v>
          </cell>
          <cell r="AC128">
            <v>692017</v>
          </cell>
          <cell r="AD128">
            <v>244903</v>
          </cell>
          <cell r="AE128">
            <v>232032</v>
          </cell>
          <cell r="AF128">
            <v>242457</v>
          </cell>
          <cell r="AG128">
            <v>719392</v>
          </cell>
          <cell r="AH128">
            <v>259229</v>
          </cell>
          <cell r="AI128">
            <v>238441</v>
          </cell>
          <cell r="AJ128">
            <v>265173</v>
          </cell>
          <cell r="AK128">
            <v>762843</v>
          </cell>
          <cell r="AL128">
            <v>254944</v>
          </cell>
          <cell r="AM128">
            <v>257632</v>
          </cell>
          <cell r="AN128">
            <v>245128</v>
          </cell>
          <cell r="AO128">
            <v>757704</v>
          </cell>
          <cell r="AP128">
            <v>249479</v>
          </cell>
          <cell r="AQ128">
            <v>248869</v>
          </cell>
          <cell r="AR128">
            <v>253798</v>
          </cell>
          <cell r="AS128">
            <v>752146</v>
          </cell>
          <cell r="AT128">
            <v>268085</v>
          </cell>
          <cell r="AU128">
            <v>242619</v>
          </cell>
          <cell r="AV128">
            <v>266413</v>
          </cell>
          <cell r="AW128">
            <v>777117</v>
          </cell>
          <cell r="AX128">
            <v>272013</v>
          </cell>
          <cell r="AY128">
            <v>261175</v>
          </cell>
          <cell r="AZ128">
            <v>288092</v>
          </cell>
          <cell r="BA128">
            <v>821280</v>
          </cell>
          <cell r="BB128">
            <v>270499</v>
          </cell>
          <cell r="BC128">
            <v>260007</v>
          </cell>
          <cell r="BD128">
            <v>269203</v>
          </cell>
          <cell r="BE128">
            <v>799709</v>
          </cell>
          <cell r="BF128">
            <v>267411</v>
          </cell>
          <cell r="BG128">
            <v>277211</v>
          </cell>
          <cell r="BH128">
            <v>277328</v>
          </cell>
          <cell r="BI128">
            <v>821950</v>
          </cell>
        </row>
        <row r="129">
          <cell r="A129" t="str">
            <v xml:space="preserve">  % Change</v>
          </cell>
          <cell r="AD129">
            <v>0.37287470499531916</v>
          </cell>
          <cell r="AE129">
            <v>0.22810490380289528</v>
          </cell>
          <cell r="AF129">
            <v>0.22742529096404152</v>
          </cell>
          <cell r="AG129">
            <v>0.27358702675907987</v>
          </cell>
          <cell r="AH129">
            <v>0.16123295525811243</v>
          </cell>
          <cell r="AI129">
            <v>0.13335551488936948</v>
          </cell>
          <cell r="AJ129">
            <v>0.1644081639822248</v>
          </cell>
          <cell r="AK129">
            <v>0.15345813808964359</v>
          </cell>
          <cell r="AL129">
            <v>9.8489353084632469E-2</v>
          </cell>
          <cell r="AM129">
            <v>0.10929218209766245</v>
          </cell>
          <cell r="AN129">
            <v>0.13668844568307126</v>
          </cell>
          <cell r="AO129">
            <v>0.1142935295726677</v>
          </cell>
          <cell r="AP129">
            <v>8.9437462335915541E-2</v>
          </cell>
          <cell r="AQ129">
            <v>5.99461655749296E-2</v>
          </cell>
          <cell r="AR129">
            <v>0.11205170336290937</v>
          </cell>
          <cell r="AS129">
            <v>8.6889483928862976E-2</v>
          </cell>
          <cell r="AT129">
            <v>9.4657884958534666E-2</v>
          </cell>
          <cell r="AU129">
            <v>4.5627327265204798E-2</v>
          </cell>
          <cell r="AV129">
            <v>9.8805148954247635E-2</v>
          </cell>
          <cell r="AW129">
            <v>8.0241370490636621E-2</v>
          </cell>
          <cell r="AX129">
            <v>4.9315470105582238E-2</v>
          </cell>
          <cell r="AY129">
            <v>9.5344340948075201E-2</v>
          </cell>
          <cell r="AZ129">
            <v>8.6430368099316368E-2</v>
          </cell>
          <cell r="BA129">
            <v>7.6604229179529693E-2</v>
          </cell>
          <cell r="BB129">
            <v>6.1013399020961367E-2</v>
          </cell>
          <cell r="BC129">
            <v>9.2185753322568953E-3</v>
          </cell>
          <cell r="BD129">
            <v>9.8213994321334264E-2</v>
          </cell>
          <cell r="BE129">
            <v>5.5437215588145294E-2</v>
          </cell>
          <cell r="BF129">
            <v>7.1877793321281525E-2</v>
          </cell>
          <cell r="BG129">
            <v>0.11388320763132409</v>
          </cell>
          <cell r="BH129">
            <v>9.2711526489570373E-2</v>
          </cell>
          <cell r="BI129">
            <v>9.2806449811605685E-2</v>
          </cell>
        </row>
        <row r="130">
          <cell r="A130" t="str">
            <v>Sales (IMS)</v>
          </cell>
          <cell r="N130">
            <v>1.783569</v>
          </cell>
          <cell r="O130">
            <v>1.899691</v>
          </cell>
          <cell r="P130">
            <v>2.5416349999999999</v>
          </cell>
          <cell r="Q130">
            <v>6.2248950000000001</v>
          </cell>
          <cell r="R130">
            <v>2.2612230000000002</v>
          </cell>
          <cell r="S130">
            <v>2.2089219999999998</v>
          </cell>
          <cell r="T130">
            <v>2.7971460000000001</v>
          </cell>
          <cell r="U130">
            <v>7.2672910000000002</v>
          </cell>
          <cell r="V130">
            <v>2.2651240000000001</v>
          </cell>
          <cell r="W130">
            <v>2.2698450000000001</v>
          </cell>
          <cell r="X130">
            <v>3.0298319999999999</v>
          </cell>
          <cell r="Y130">
            <v>7.5648010000000001</v>
          </cell>
          <cell r="Z130">
            <v>2.540527</v>
          </cell>
          <cell r="AA130">
            <v>2.5386660000000001</v>
          </cell>
          <cell r="AB130">
            <v>3.2591329999999998</v>
          </cell>
          <cell r="AC130">
            <v>8.3383260000000003</v>
          </cell>
          <cell r="AD130">
            <v>2.6484519999999998</v>
          </cell>
          <cell r="AE130">
            <v>2.5478360000000002</v>
          </cell>
          <cell r="AF130">
            <v>3.2656390000000002</v>
          </cell>
          <cell r="AG130">
            <v>8.4619269999999993</v>
          </cell>
          <cell r="AH130">
            <v>2.8479169999999998</v>
          </cell>
          <cell r="AI130">
            <v>3.1032839999999999</v>
          </cell>
          <cell r="AJ130">
            <v>3.8244159999999998</v>
          </cell>
          <cell r="AK130">
            <v>9.7756169999999987</v>
          </cell>
          <cell r="AL130">
            <v>2.655065</v>
          </cell>
          <cell r="AM130">
            <v>2.7564120000000001</v>
          </cell>
          <cell r="AN130">
            <v>3.7541739999999999</v>
          </cell>
          <cell r="AO130">
            <v>9.1656510000000004</v>
          </cell>
          <cell r="AP130">
            <v>2.7481819999999999</v>
          </cell>
          <cell r="AQ130">
            <v>2.9459789999999999</v>
          </cell>
          <cell r="AR130">
            <v>3.3897740000000001</v>
          </cell>
          <cell r="AS130">
            <v>9.0839350000000003</v>
          </cell>
          <cell r="AT130">
            <v>2.8317009999999998</v>
          </cell>
          <cell r="AU130">
            <v>2.8631760000000002</v>
          </cell>
          <cell r="AV130">
            <v>3.363645</v>
          </cell>
          <cell r="AW130">
            <v>9.058522</v>
          </cell>
          <cell r="AX130">
            <v>2.8463750000000001</v>
          </cell>
          <cell r="AY130">
            <v>2.895127</v>
          </cell>
          <cell r="AZ130">
            <v>3.764958</v>
          </cell>
          <cell r="BA130">
            <v>9.5064600000000006</v>
          </cell>
          <cell r="BB130">
            <v>2.8165610000000001</v>
          </cell>
          <cell r="BC130">
            <v>2.8596910000000002</v>
          </cell>
          <cell r="BD130">
            <v>3.550246</v>
          </cell>
          <cell r="BE130">
            <v>9.2264979999999994</v>
          </cell>
          <cell r="BF130">
            <v>2.5967579999999999</v>
          </cell>
          <cell r="BG130">
            <v>2.8942160000000001</v>
          </cell>
        </row>
        <row r="131">
          <cell r="A131" t="str">
            <v xml:space="preserve">  % Change</v>
          </cell>
          <cell r="AD131">
            <v>0.48491703993509638</v>
          </cell>
          <cell r="AE131">
            <v>0.34118443473175386</v>
          </cell>
          <cell r="AF131">
            <v>0.28485758183216725</v>
          </cell>
          <cell r="AG131">
            <v>0.35936863192069901</v>
          </cell>
          <cell r="AH131">
            <v>0.25945870884914912</v>
          </cell>
          <cell r="AI131">
            <v>0.40488618430166401</v>
          </cell>
          <cell r="AJ131">
            <v>0.36725648214286988</v>
          </cell>
          <cell r="AK131">
            <v>0.34515282242034862</v>
          </cell>
          <cell r="AL131">
            <v>0.17214995735332805</v>
          </cell>
          <cell r="AM131">
            <v>0.21436133304256466</v>
          </cell>
          <cell r="AN131">
            <v>0.23907002104407105</v>
          </cell>
          <cell r="AO131">
            <v>0.21161825671289969</v>
          </cell>
          <cell r="AP131">
            <v>8.1736978193894361E-2</v>
          </cell>
          <cell r="AQ131">
            <v>0.16044371335181551</v>
          </cell>
          <cell r="AR131">
            <v>4.0084586913145426E-2</v>
          </cell>
          <cell r="AS131">
            <v>8.941950698497525E-2</v>
          </cell>
          <cell r="AT131">
            <v>6.9190984016323398E-2</v>
          </cell>
          <cell r="AU131">
            <v>0.12376777783185422</v>
          </cell>
          <cell r="AV131">
            <v>3.0011278037774369E-2</v>
          </cell>
          <cell r="AW131">
            <v>7.0503444428201778E-2</v>
          </cell>
          <cell r="AX131">
            <v>-5.4144836383918094E-4</v>
          </cell>
          <cell r="AY131">
            <v>-6.7076361686522978E-2</v>
          </cell>
          <cell r="AZ131">
            <v>-1.5546948867487198E-2</v>
          </cell>
          <cell r="BA131">
            <v>-2.7533505046279716E-2</v>
          </cell>
          <cell r="BB131">
            <v>6.0825629504362544E-2</v>
          </cell>
          <cell r="BC131">
            <v>3.7468636764025121E-2</v>
          </cell>
          <cell r="BD131">
            <v>-5.4320337842625244E-2</v>
          </cell>
          <cell r="BE131">
            <v>6.6385901012375736E-3</v>
          </cell>
          <cell r="BF131">
            <v>-5.5099698637135375E-2</v>
          </cell>
          <cell r="BG131">
            <v>-1.7570729458695977E-2</v>
          </cell>
        </row>
        <row r="133">
          <cell r="A133" t="str">
            <v>FUROSEMIDE</v>
          </cell>
        </row>
        <row r="134">
          <cell r="A134" t="str">
            <v>TRx</v>
          </cell>
          <cell r="N134">
            <v>1945038</v>
          </cell>
          <cell r="O134">
            <v>1846599</v>
          </cell>
          <cell r="P134">
            <v>1902196</v>
          </cell>
          <cell r="Q134">
            <v>5693833</v>
          </cell>
          <cell r="R134">
            <v>1964617</v>
          </cell>
          <cell r="S134">
            <v>1803595</v>
          </cell>
          <cell r="T134">
            <v>1954296</v>
          </cell>
          <cell r="U134">
            <v>5722508</v>
          </cell>
          <cell r="V134">
            <v>2034966</v>
          </cell>
          <cell r="W134">
            <v>2053916</v>
          </cell>
          <cell r="X134">
            <v>1951177</v>
          </cell>
          <cell r="Y134">
            <v>6040059</v>
          </cell>
          <cell r="Z134">
            <v>2079088</v>
          </cell>
          <cell r="AA134">
            <v>1992048</v>
          </cell>
          <cell r="AB134">
            <v>1887914</v>
          </cell>
          <cell r="AC134">
            <v>5959050</v>
          </cell>
          <cell r="AD134">
            <v>1913913</v>
          </cell>
          <cell r="AE134">
            <v>1772773</v>
          </cell>
          <cell r="AF134">
            <v>1866519</v>
          </cell>
          <cell r="AG134">
            <v>5553205</v>
          </cell>
          <cell r="AH134">
            <v>1823394</v>
          </cell>
          <cell r="AI134">
            <v>1642704</v>
          </cell>
          <cell r="AJ134">
            <v>1817465</v>
          </cell>
          <cell r="AK134">
            <v>5283563</v>
          </cell>
          <cell r="AL134">
            <v>1783214</v>
          </cell>
          <cell r="AM134">
            <v>1831822</v>
          </cell>
          <cell r="AN134">
            <v>1777002</v>
          </cell>
          <cell r="AO134">
            <v>5392038</v>
          </cell>
          <cell r="AP134">
            <v>1839853</v>
          </cell>
          <cell r="AQ134">
            <v>1779172</v>
          </cell>
          <cell r="AR134">
            <v>1771727</v>
          </cell>
          <cell r="AS134">
            <v>5390752</v>
          </cell>
          <cell r="AT134">
            <v>1837544</v>
          </cell>
          <cell r="AU134">
            <v>1710142</v>
          </cell>
          <cell r="AV134">
            <v>1895519</v>
          </cell>
          <cell r="AW134">
            <v>5443205</v>
          </cell>
          <cell r="AX134">
            <v>1838087</v>
          </cell>
          <cell r="AY134">
            <v>1708665</v>
          </cell>
          <cell r="AZ134">
            <v>1902790</v>
          </cell>
          <cell r="BA134">
            <v>5449542</v>
          </cell>
          <cell r="BB134">
            <v>1832404</v>
          </cell>
          <cell r="BC134">
            <v>1818917</v>
          </cell>
          <cell r="BD134">
            <v>1869154</v>
          </cell>
          <cell r="BE134">
            <v>5520475</v>
          </cell>
          <cell r="BF134">
            <v>1858146</v>
          </cell>
          <cell r="BG134">
            <v>1857682</v>
          </cell>
          <cell r="BH134">
            <v>1793550</v>
          </cell>
          <cell r="BI134">
            <v>5509378</v>
          </cell>
        </row>
        <row r="135">
          <cell r="A135" t="str">
            <v xml:space="preserve">  % Change</v>
          </cell>
          <cell r="AD135">
            <v>-1.600225805357014E-2</v>
          </cell>
          <cell r="AE135">
            <v>-3.9979443290069971E-2</v>
          </cell>
          <cell r="AF135">
            <v>-1.875569079106465E-2</v>
          </cell>
          <cell r="AG135">
            <v>-2.469830077559354E-2</v>
          </cell>
          <cell r="AH135">
            <v>-7.1883222022409488E-2</v>
          </cell>
          <cell r="AI135">
            <v>-8.9205725232105904E-2</v>
          </cell>
          <cell r="AJ135">
            <v>-7.0015494070499007E-2</v>
          </cell>
          <cell r="AK135">
            <v>-7.6705004169500546E-2</v>
          </cell>
          <cell r="AL135">
            <v>-0.12371312346250507</v>
          </cell>
          <cell r="AM135">
            <v>-0.10813197813347775</v>
          </cell>
          <cell r="AN135">
            <v>-8.9266632396753365E-2</v>
          </cell>
          <cell r="AO135">
            <v>-0.10728719702903566</v>
          </cell>
          <cell r="AP135">
            <v>-0.11506727949947282</v>
          </cell>
          <cell r="AQ135">
            <v>-0.10686288683806811</v>
          </cell>
          <cell r="AR135">
            <v>-6.1542527890571241E-2</v>
          </cell>
          <cell r="AS135">
            <v>-9.5367214572792625E-2</v>
          </cell>
          <cell r="AT135">
            <v>-3.9902022714721097E-2</v>
          </cell>
          <cell r="AU135">
            <v>-3.5329396375057609E-2</v>
          </cell>
          <cell r="AV135">
            <v>1.5536943368912981E-2</v>
          </cell>
          <cell r="AW135">
            <v>-1.9808380925969815E-2</v>
          </cell>
          <cell r="AX135">
            <v>8.0580499880991141E-3</v>
          </cell>
          <cell r="AY135">
            <v>4.0153916956432889E-2</v>
          </cell>
          <cell r="AZ135">
            <v>4.6947258956843818E-2</v>
          </cell>
          <cell r="BA135">
            <v>3.1414218019166329E-2</v>
          </cell>
          <cell r="BB135">
            <v>2.7585023446428769E-2</v>
          </cell>
          <cell r="BC135">
            <v>-7.0448984672091264E-3</v>
          </cell>
          <cell r="BD135">
            <v>5.1858129591300317E-2</v>
          </cell>
          <cell r="BE135">
            <v>2.3819750528464301E-2</v>
          </cell>
          <cell r="BF135">
            <v>9.9426421567374579E-3</v>
          </cell>
          <cell r="BG135">
            <v>4.4127268189922075E-2</v>
          </cell>
          <cell r="BH135">
            <v>1.2317360405976752E-2</v>
          </cell>
          <cell r="BI135">
            <v>2.2005464172716538E-2</v>
          </cell>
        </row>
        <row r="136">
          <cell r="A136" t="str">
            <v>NRx</v>
          </cell>
          <cell r="N136">
            <v>643414</v>
          </cell>
          <cell r="O136">
            <v>607774</v>
          </cell>
          <cell r="P136">
            <v>610741</v>
          </cell>
          <cell r="Q136">
            <v>1861929</v>
          </cell>
          <cell r="R136">
            <v>681296</v>
          </cell>
          <cell r="S136">
            <v>621284</v>
          </cell>
          <cell r="T136">
            <v>671698</v>
          </cell>
          <cell r="U136">
            <v>1974278</v>
          </cell>
          <cell r="V136">
            <v>720753</v>
          </cell>
          <cell r="W136">
            <v>713690</v>
          </cell>
          <cell r="X136">
            <v>676507</v>
          </cell>
          <cell r="Y136">
            <v>2110950</v>
          </cell>
          <cell r="Z136">
            <v>708761</v>
          </cell>
          <cell r="AA136">
            <v>667961</v>
          </cell>
          <cell r="AB136">
            <v>617603</v>
          </cell>
          <cell r="AC136">
            <v>1994325</v>
          </cell>
          <cell r="AD136">
            <v>626775</v>
          </cell>
          <cell r="AE136">
            <v>575457</v>
          </cell>
          <cell r="AF136">
            <v>605120</v>
          </cell>
          <cell r="AG136">
            <v>1807352</v>
          </cell>
          <cell r="AH136">
            <v>620917</v>
          </cell>
          <cell r="AI136">
            <v>559493</v>
          </cell>
          <cell r="AJ136">
            <v>621634</v>
          </cell>
          <cell r="AK136">
            <v>1802044</v>
          </cell>
          <cell r="AL136">
            <v>611440</v>
          </cell>
          <cell r="AM136">
            <v>625804</v>
          </cell>
          <cell r="AN136">
            <v>608575</v>
          </cell>
          <cell r="AO136">
            <v>1845819</v>
          </cell>
          <cell r="AP136">
            <v>625097</v>
          </cell>
          <cell r="AQ136">
            <v>588344</v>
          </cell>
          <cell r="AR136">
            <v>578521</v>
          </cell>
          <cell r="AS136">
            <v>1791962</v>
          </cell>
          <cell r="AT136">
            <v>603491</v>
          </cell>
          <cell r="AU136">
            <v>545750</v>
          </cell>
          <cell r="AV136">
            <v>608640</v>
          </cell>
          <cell r="AW136">
            <v>1757881</v>
          </cell>
          <cell r="AX136">
            <v>606385</v>
          </cell>
          <cell r="AY136">
            <v>570412</v>
          </cell>
          <cell r="AZ136">
            <v>650121</v>
          </cell>
          <cell r="BA136">
            <v>1826918</v>
          </cell>
          <cell r="BB136">
            <v>622538</v>
          </cell>
          <cell r="BC136">
            <v>612121</v>
          </cell>
          <cell r="BD136">
            <v>630442</v>
          </cell>
          <cell r="BE136">
            <v>1865101</v>
          </cell>
          <cell r="BF136">
            <v>616541</v>
          </cell>
          <cell r="BG136">
            <v>605634</v>
          </cell>
          <cell r="BH136">
            <v>583373</v>
          </cell>
          <cell r="BI136">
            <v>1805548</v>
          </cell>
        </row>
        <row r="137">
          <cell r="A137" t="str">
            <v xml:space="preserve">  % Change</v>
          </cell>
          <cell r="AD137">
            <v>-2.5860487959540879E-2</v>
          </cell>
          <cell r="AE137">
            <v>-5.3172725388055397E-2</v>
          </cell>
          <cell r="AF137">
            <v>-9.2035740191014348E-3</v>
          </cell>
          <cell r="AG137">
            <v>-2.9312073661240556E-2</v>
          </cell>
          <cell r="AH137">
            <v>-8.8623740635494719E-2</v>
          </cell>
          <cell r="AI137">
            <v>-9.9456931129724868E-2</v>
          </cell>
          <cell r="AJ137">
            <v>-7.4533495707892583E-2</v>
          </cell>
          <cell r="AK137">
            <v>-8.7238980528578036E-2</v>
          </cell>
          <cell r="AL137">
            <v>-0.15166499480404516</v>
          </cell>
          <cell r="AM137">
            <v>-0.12314310134652295</v>
          </cell>
          <cell r="AN137">
            <v>-0.10041581240105424</v>
          </cell>
          <cell r="AO137">
            <v>-0.12559795352803238</v>
          </cell>
          <cell r="AP137">
            <v>-0.11804261238979008</v>
          </cell>
          <cell r="AQ137">
            <v>-0.11919408468458492</v>
          </cell>
          <cell r="AR137">
            <v>-6.3280133030441887E-2</v>
          </cell>
          <cell r="AS137">
            <v>-0.10146941947776822</v>
          </cell>
          <cell r="AT137">
            <v>-3.7148897132144754E-2</v>
          </cell>
          <cell r="AU137">
            <v>-5.162331851033175E-2</v>
          </cell>
          <cell r="AV137">
            <v>5.8170280274987274E-3</v>
          </cell>
          <cell r="AW137">
            <v>-2.7372089111584286E-2</v>
          </cell>
          <cell r="AX137">
            <v>-2.3404094267027609E-2</v>
          </cell>
          <cell r="AY137">
            <v>1.9515883129905154E-2</v>
          </cell>
          <cell r="AZ137">
            <v>4.5826000508337739E-2</v>
          </cell>
          <cell r="BA137">
            <v>1.3803214571897149E-2</v>
          </cell>
          <cell r="BB137">
            <v>1.8150595315975293E-2</v>
          </cell>
          <cell r="BC137">
            <v>-2.1864673284287095E-2</v>
          </cell>
          <cell r="BD137">
            <v>3.5931479275356448E-2</v>
          </cell>
          <cell r="BE137">
            <v>1.0446311366390848E-2</v>
          </cell>
          <cell r="BF137">
            <v>-1.3687475703770824E-2</v>
          </cell>
          <cell r="BG137">
            <v>2.9387569177216077E-2</v>
          </cell>
          <cell r="BH137">
            <v>8.3869038461870105E-3</v>
          </cell>
          <cell r="BI137">
            <v>7.5816339855421244E-3</v>
          </cell>
        </row>
        <row r="138">
          <cell r="A138" t="str">
            <v>Sales (IMS)</v>
          </cell>
          <cell r="N138">
            <v>1.7660279999999999</v>
          </cell>
          <cell r="O138">
            <v>1.7964290000000001</v>
          </cell>
          <cell r="P138">
            <v>2.4713669999999999</v>
          </cell>
          <cell r="Q138">
            <v>6.0338240000000001</v>
          </cell>
          <cell r="R138">
            <v>1.8619939999999999</v>
          </cell>
          <cell r="S138">
            <v>1.9107400000000001</v>
          </cell>
          <cell r="T138">
            <v>2.7245659999999998</v>
          </cell>
          <cell r="U138">
            <v>6.4972999999999992</v>
          </cell>
          <cell r="V138">
            <v>2.289682</v>
          </cell>
          <cell r="W138">
            <v>2.4055780000000002</v>
          </cell>
          <cell r="X138">
            <v>3.5803150000000001</v>
          </cell>
          <cell r="Y138">
            <v>8.2755749999999999</v>
          </cell>
          <cell r="Z138">
            <v>2.9181059999999999</v>
          </cell>
          <cell r="AA138">
            <v>3.0622940000000001</v>
          </cell>
          <cell r="AB138">
            <v>3.7559079999999998</v>
          </cell>
          <cell r="AC138">
            <v>9.7363079999999993</v>
          </cell>
          <cell r="AD138">
            <v>2.9284150000000002</v>
          </cell>
          <cell r="AE138">
            <v>2.4975049999999999</v>
          </cell>
          <cell r="AF138">
            <v>3.1347330000000002</v>
          </cell>
          <cell r="AG138">
            <v>8.5606530000000003</v>
          </cell>
          <cell r="AH138">
            <v>2.6820430000000002</v>
          </cell>
          <cell r="AI138">
            <v>2.6264630000000002</v>
          </cell>
          <cell r="AJ138">
            <v>3.2946559999999998</v>
          </cell>
          <cell r="AK138">
            <v>8.6031620000000011</v>
          </cell>
          <cell r="AL138">
            <v>2.245533</v>
          </cell>
          <cell r="AM138">
            <v>2.3999700000000002</v>
          </cell>
          <cell r="AN138">
            <v>3.2561399999999998</v>
          </cell>
          <cell r="AO138">
            <v>7.901643</v>
          </cell>
          <cell r="AP138">
            <v>2.1376979999999999</v>
          </cell>
          <cell r="AQ138">
            <v>2.5139779999999998</v>
          </cell>
          <cell r="AR138">
            <v>2.7351190000000001</v>
          </cell>
          <cell r="AS138">
            <v>7.3867950000000002</v>
          </cell>
          <cell r="AT138">
            <v>2.1878259999999998</v>
          </cell>
          <cell r="AU138">
            <v>1.9877069999999999</v>
          </cell>
          <cell r="AV138">
            <v>2.4743080000000002</v>
          </cell>
          <cell r="AW138">
            <v>6.6498410000000003</v>
          </cell>
          <cell r="AX138">
            <v>2.007644</v>
          </cell>
          <cell r="AY138">
            <v>2.1214550000000001</v>
          </cell>
          <cell r="AZ138">
            <v>2.5153050000000001</v>
          </cell>
          <cell r="BA138">
            <v>6.6444039999999998</v>
          </cell>
          <cell r="BB138">
            <v>1.9184559999999999</v>
          </cell>
          <cell r="BC138">
            <v>1.8812599999999999</v>
          </cell>
          <cell r="BD138">
            <v>2.4071600000000002</v>
          </cell>
          <cell r="BE138">
            <v>6.2068760000000003</v>
          </cell>
          <cell r="BF138">
            <v>1.638541</v>
          </cell>
          <cell r="BG138">
            <v>1.7515810000000001</v>
          </cell>
        </row>
        <row r="139">
          <cell r="A139" t="str">
            <v xml:space="preserve">  % Change</v>
          </cell>
          <cell r="AD139">
            <v>0.65819284858450744</v>
          </cell>
          <cell r="AE139">
            <v>0.390260900931793</v>
          </cell>
          <cell r="AF139">
            <v>0.26842067568272965</v>
          </cell>
          <cell r="AG139">
            <v>0.41877737898884693</v>
          </cell>
          <cell r="AH139">
            <v>0.4404144159433383</v>
          </cell>
          <cell r="AI139">
            <v>0.37457895893737514</v>
          </cell>
          <cell r="AJ139">
            <v>0.20924066438471312</v>
          </cell>
          <cell r="AK139">
            <v>0.32411340095116459</v>
          </cell>
          <cell r="AL139">
            <v>-1.9281716849763431E-2</v>
          </cell>
          <cell r="AM139">
            <v>-2.331248456711843E-3</v>
          </cell>
          <cell r="AN139">
            <v>-9.0543709142910656E-2</v>
          </cell>
          <cell r="AO139">
            <v>-4.5185017355289459E-2</v>
          </cell>
          <cell r="AP139">
            <v>-0.2674364810599752</v>
          </cell>
          <cell r="AQ139">
            <v>-0.17905400330601839</v>
          </cell>
          <cell r="AR139">
            <v>-0.27178221617781895</v>
          </cell>
          <cell r="AS139">
            <v>-0.24131457221772357</v>
          </cell>
          <cell r="AT139">
            <v>-0.25289755721098284</v>
          </cell>
          <cell r="AU139">
            <v>-0.20412291466883947</v>
          </cell>
          <cell r="AV139">
            <v>-0.21067982504411065</v>
          </cell>
          <cell r="AW139">
            <v>-0.223208673450495</v>
          </cell>
          <cell r="AX139">
            <v>-0.25144973440023155</v>
          </cell>
          <cell r="AY139">
            <v>-0.19227683770911685</v>
          </cell>
          <cell r="AZ139">
            <v>-0.23655003739388869</v>
          </cell>
          <cell r="BA139">
            <v>-0.22767884645203718</v>
          </cell>
          <cell r="BB139">
            <v>-0.14565673272225355</v>
          </cell>
          <cell r="BC139">
            <v>-0.21613186831502074</v>
          </cell>
          <cell r="BD139">
            <v>-0.26073203240646892</v>
          </cell>
          <cell r="BE139">
            <v>-0.21448286134921557</v>
          </cell>
          <cell r="BF139">
            <v>-0.23350211302064172</v>
          </cell>
          <cell r="BG139">
            <v>-0.3032631948250939</v>
          </cell>
        </row>
        <row r="141">
          <cell r="A141" t="str">
            <v>DILTIAZEM XR</v>
          </cell>
        </row>
        <row r="142">
          <cell r="A142" t="str">
            <v>TRx</v>
          </cell>
          <cell r="N142">
            <v>197644</v>
          </cell>
          <cell r="O142">
            <v>186240</v>
          </cell>
          <cell r="P142">
            <v>187757</v>
          </cell>
          <cell r="Q142">
            <v>571641</v>
          </cell>
          <cell r="R142">
            <v>189485</v>
          </cell>
          <cell r="S142">
            <v>174674</v>
          </cell>
          <cell r="T142">
            <v>186018</v>
          </cell>
          <cell r="U142">
            <v>550177</v>
          </cell>
          <cell r="V142">
            <v>187464</v>
          </cell>
          <cell r="W142">
            <v>183685</v>
          </cell>
          <cell r="X142">
            <v>165434</v>
          </cell>
          <cell r="Y142">
            <v>536583</v>
          </cell>
          <cell r="Z142">
            <v>169588</v>
          </cell>
          <cell r="AA142">
            <v>160208</v>
          </cell>
          <cell r="AB142">
            <v>145370</v>
          </cell>
          <cell r="AC142">
            <v>475166</v>
          </cell>
          <cell r="AD142">
            <v>149664</v>
          </cell>
          <cell r="AE142">
            <v>139946</v>
          </cell>
          <cell r="AF142">
            <v>149237</v>
          </cell>
          <cell r="AG142">
            <v>438847</v>
          </cell>
          <cell r="AH142">
            <v>144890</v>
          </cell>
          <cell r="AI142">
            <v>130756</v>
          </cell>
          <cell r="AJ142">
            <v>144681</v>
          </cell>
          <cell r="AK142">
            <v>420327</v>
          </cell>
          <cell r="AL142">
            <v>140189</v>
          </cell>
          <cell r="AM142">
            <v>144990</v>
          </cell>
          <cell r="AN142">
            <v>139790</v>
          </cell>
          <cell r="AO142">
            <v>424969</v>
          </cell>
          <cell r="AP142">
            <v>145332</v>
          </cell>
          <cell r="AQ142">
            <v>143455</v>
          </cell>
          <cell r="AR142">
            <v>143062</v>
          </cell>
          <cell r="AS142">
            <v>431849</v>
          </cell>
          <cell r="AT142">
            <v>148642</v>
          </cell>
          <cell r="AU142">
            <v>140367</v>
          </cell>
          <cell r="AV142">
            <v>154516</v>
          </cell>
          <cell r="AW142">
            <v>443525</v>
          </cell>
          <cell r="AX142">
            <v>148710</v>
          </cell>
          <cell r="AY142">
            <v>137723</v>
          </cell>
          <cell r="AZ142">
            <v>152721</v>
          </cell>
          <cell r="BA142">
            <v>439154</v>
          </cell>
          <cell r="BB142">
            <v>145539</v>
          </cell>
          <cell r="BC142">
            <v>141668</v>
          </cell>
          <cell r="BD142">
            <v>147483</v>
          </cell>
          <cell r="BE142">
            <v>434690</v>
          </cell>
          <cell r="BF142">
            <v>144929</v>
          </cell>
          <cell r="BG142">
            <v>144910</v>
          </cell>
          <cell r="BH142">
            <v>140632</v>
          </cell>
          <cell r="BI142">
            <v>430471</v>
          </cell>
        </row>
        <row r="143">
          <cell r="A143" t="str">
            <v xml:space="preserve">  % Change</v>
          </cell>
          <cell r="AD143">
            <v>-0.24275970937645464</v>
          </cell>
          <cell r="AE143">
            <v>-0.24857173539518895</v>
          </cell>
          <cell r="AF143">
            <v>-0.20515879567739148</v>
          </cell>
          <cell r="AG143">
            <v>-0.23230314130721907</v>
          </cell>
          <cell r="AH143">
            <v>-0.23534844446789982</v>
          </cell>
          <cell r="AI143">
            <v>-0.25142837514455496</v>
          </cell>
          <cell r="AJ143">
            <v>-0.22222043028094052</v>
          </cell>
          <cell r="AK143">
            <v>-0.23601495518714888</v>
          </cell>
          <cell r="AL143">
            <v>-0.25218175222976147</v>
          </cell>
          <cell r="AM143">
            <v>-0.21065955303917028</v>
          </cell>
          <cell r="AN143">
            <v>-0.15501045734250518</v>
          </cell>
          <cell r="AO143">
            <v>-0.2080088262207338</v>
          </cell>
          <cell r="AP143">
            <v>-0.14302898790008722</v>
          </cell>
          <cell r="AQ143">
            <v>-0.10457030859882155</v>
          </cell>
          <cell r="AR143">
            <v>-1.587672834835252E-2</v>
          </cell>
          <cell r="AS143">
            <v>-9.1161825551491438E-2</v>
          </cell>
          <cell r="AT143">
            <v>-6.8286294633311817E-3</v>
          </cell>
          <cell r="AU143">
            <v>3.0083032026639867E-3</v>
          </cell>
          <cell r="AV143">
            <v>3.5373265343044968E-2</v>
          </cell>
          <cell r="AW143">
            <v>1.0659751576289622E-2</v>
          </cell>
          <cell r="AX143">
            <v>2.6364828490579084E-2</v>
          </cell>
          <cell r="AY143">
            <v>5.3282449753739858E-2</v>
          </cell>
          <cell r="AZ143">
            <v>5.5570531030335601E-2</v>
          </cell>
          <cell r="BA143">
            <v>4.479131723634211E-2</v>
          </cell>
          <cell r="BB143">
            <v>3.8162765980212399E-2</v>
          </cell>
          <cell r="BC143">
            <v>-2.2911924960342112E-2</v>
          </cell>
          <cell r="BD143">
            <v>5.5032548823234828E-2</v>
          </cell>
          <cell r="BE143">
            <v>2.2874609677411728E-2</v>
          </cell>
          <cell r="BF143">
            <v>-2.7729612198277298E-3</v>
          </cell>
          <cell r="BG143">
            <v>1.014255341396253E-2</v>
          </cell>
          <cell r="BH143">
            <v>-1.6985642588528083E-2</v>
          </cell>
          <cell r="BI143">
            <v>-3.1909301630894671E-3</v>
          </cell>
        </row>
        <row r="144">
          <cell r="A144" t="str">
            <v>NRx</v>
          </cell>
          <cell r="N144">
            <v>52292</v>
          </cell>
          <cell r="O144">
            <v>49646</v>
          </cell>
          <cell r="P144">
            <v>49860</v>
          </cell>
          <cell r="Q144">
            <v>151798</v>
          </cell>
          <cell r="R144">
            <v>55157</v>
          </cell>
          <cell r="S144">
            <v>49831</v>
          </cell>
          <cell r="T144">
            <v>51400</v>
          </cell>
          <cell r="U144">
            <v>156388</v>
          </cell>
          <cell r="V144">
            <v>51311</v>
          </cell>
          <cell r="W144">
            <v>49998</v>
          </cell>
          <cell r="X144">
            <v>43846</v>
          </cell>
          <cell r="Y144">
            <v>145155</v>
          </cell>
          <cell r="Z144">
            <v>44918</v>
          </cell>
          <cell r="AA144">
            <v>41927</v>
          </cell>
          <cell r="AB144">
            <v>38250</v>
          </cell>
          <cell r="AC144">
            <v>125095</v>
          </cell>
          <cell r="AD144">
            <v>40856</v>
          </cell>
          <cell r="AE144">
            <v>37546</v>
          </cell>
          <cell r="AF144">
            <v>39515</v>
          </cell>
          <cell r="AG144">
            <v>117917</v>
          </cell>
          <cell r="AH144">
            <v>41375</v>
          </cell>
          <cell r="AI144">
            <v>37623</v>
          </cell>
          <cell r="AJ144">
            <v>39962</v>
          </cell>
          <cell r="AK144">
            <v>118960</v>
          </cell>
          <cell r="AL144">
            <v>37639</v>
          </cell>
          <cell r="AM144">
            <v>38911</v>
          </cell>
          <cell r="AN144">
            <v>37243</v>
          </cell>
          <cell r="AO144">
            <v>113793</v>
          </cell>
          <cell r="AP144">
            <v>38896</v>
          </cell>
          <cell r="AQ144">
            <v>37700</v>
          </cell>
          <cell r="AR144">
            <v>38203</v>
          </cell>
          <cell r="AS144">
            <v>114799</v>
          </cell>
          <cell r="AT144">
            <v>40270</v>
          </cell>
          <cell r="AU144">
            <v>36744</v>
          </cell>
          <cell r="AV144">
            <v>39972</v>
          </cell>
          <cell r="AW144">
            <v>116986</v>
          </cell>
          <cell r="AX144">
            <v>40596</v>
          </cell>
          <cell r="AY144">
            <v>37354</v>
          </cell>
          <cell r="AZ144">
            <v>41088</v>
          </cell>
          <cell r="BA144">
            <v>119038</v>
          </cell>
          <cell r="BB144">
            <v>39124</v>
          </cell>
          <cell r="BC144">
            <v>37453</v>
          </cell>
          <cell r="BD144">
            <v>38924</v>
          </cell>
          <cell r="BE144">
            <v>115501</v>
          </cell>
          <cell r="BF144">
            <v>38805</v>
          </cell>
          <cell r="BG144">
            <v>37877</v>
          </cell>
          <cell r="BH144">
            <v>37728</v>
          </cell>
          <cell r="BI144">
            <v>114410</v>
          </cell>
        </row>
        <row r="145">
          <cell r="A145" t="str">
            <v xml:space="preserve">  % Change</v>
          </cell>
          <cell r="AD145">
            <v>-0.21869502027078713</v>
          </cell>
          <cell r="AE145">
            <v>-0.24372557708576725</v>
          </cell>
          <cell r="AF145">
            <v>-0.20748094665062178</v>
          </cell>
          <cell r="AG145">
            <v>-0.22319793409662836</v>
          </cell>
          <cell r="AH145">
            <v>-0.24986855702811972</v>
          </cell>
          <cell r="AI145">
            <v>-0.24498805964158854</v>
          </cell>
          <cell r="AJ145">
            <v>-0.2225291828793774</v>
          </cell>
          <cell r="AK145">
            <v>-0.23932782566437327</v>
          </cell>
          <cell r="AL145">
            <v>-0.26645358695016663</v>
          </cell>
          <cell r="AM145">
            <v>-0.22174886995479814</v>
          </cell>
          <cell r="AN145">
            <v>-0.15059526524654476</v>
          </cell>
          <cell r="AO145">
            <v>-0.21605869587682136</v>
          </cell>
          <cell r="AP145">
            <v>-0.13406652121643881</v>
          </cell>
          <cell r="AQ145">
            <v>-0.10081808858253627</v>
          </cell>
          <cell r="AR145">
            <v>-1.2287581699346184E-3</v>
          </cell>
          <cell r="AS145">
            <v>-8.2305447859626679E-2</v>
          </cell>
          <cell r="AT145">
            <v>-1.434305854709228E-2</v>
          </cell>
          <cell r="AU145">
            <v>-2.136046449688378E-2</v>
          </cell>
          <cell r="AV145">
            <v>1.1565228394280647E-2</v>
          </cell>
          <cell r="AW145">
            <v>-7.8953840413171772E-3</v>
          </cell>
          <cell r="AX145">
            <v>-1.8827794561933509E-2</v>
          </cell>
          <cell r="AY145">
            <v>-7.1498817212874988E-3</v>
          </cell>
          <cell r="AZ145">
            <v>2.8176767929533053E-2</v>
          </cell>
          <cell r="BA145">
            <v>6.5568258238068999E-4</v>
          </cell>
          <cell r="BB145">
            <v>3.9453758070086886E-2</v>
          </cell>
          <cell r="BC145">
            <v>-3.7470124129423521E-2</v>
          </cell>
          <cell r="BD145">
            <v>4.5135998711167247E-2</v>
          </cell>
          <cell r="BE145">
            <v>1.5009710614888538E-2</v>
          </cell>
          <cell r="BF145">
            <v>-2.3395721925133506E-3</v>
          </cell>
          <cell r="BG145">
            <v>4.6949602122015044E-3</v>
          </cell>
          <cell r="BH145">
            <v>-1.2433578514776333E-2</v>
          </cell>
          <cell r="BI145">
            <v>-3.3885312589830852E-3</v>
          </cell>
        </row>
        <row r="146">
          <cell r="A146" t="str">
            <v>Sales (IMS)</v>
          </cell>
          <cell r="N146">
            <v>3.0259580000000001</v>
          </cell>
          <cell r="O146">
            <v>2.9891399999999999</v>
          </cell>
          <cell r="P146">
            <v>3.790594</v>
          </cell>
          <cell r="Q146">
            <v>9.8056920000000005</v>
          </cell>
          <cell r="R146">
            <v>2.9154990000000001</v>
          </cell>
          <cell r="S146">
            <v>2.9677150000000001</v>
          </cell>
          <cell r="T146">
            <v>3.6378400000000002</v>
          </cell>
          <cell r="U146">
            <v>9.5210540000000012</v>
          </cell>
          <cell r="V146">
            <v>2.7067860000000001</v>
          </cell>
          <cell r="W146">
            <v>2.6094010000000001</v>
          </cell>
          <cell r="X146">
            <v>3.059247</v>
          </cell>
          <cell r="Y146">
            <v>8.3754340000000003</v>
          </cell>
          <cell r="Z146">
            <v>2.2545039999999998</v>
          </cell>
          <cell r="AA146">
            <v>2.2766829999999998</v>
          </cell>
          <cell r="AB146">
            <v>2.6486890000000001</v>
          </cell>
          <cell r="AC146">
            <v>7.1798759999999993</v>
          </cell>
          <cell r="AD146">
            <v>2.091885</v>
          </cell>
          <cell r="AE146">
            <v>2.0699700000000001</v>
          </cell>
          <cell r="AF146">
            <v>2.7184200000000001</v>
          </cell>
          <cell r="AG146">
            <v>6.8802750000000001</v>
          </cell>
          <cell r="AH146">
            <v>2.2687710000000001</v>
          </cell>
          <cell r="AI146">
            <v>2.2590349999999999</v>
          </cell>
          <cell r="AJ146">
            <v>2.8371240000000002</v>
          </cell>
          <cell r="AK146">
            <v>7.3649300000000002</v>
          </cell>
          <cell r="AL146">
            <v>2.1143730000000001</v>
          </cell>
          <cell r="AM146">
            <v>2.1563850000000002</v>
          </cell>
          <cell r="AN146">
            <v>3.0560670000000001</v>
          </cell>
          <cell r="AO146">
            <v>7.3268250000000013</v>
          </cell>
          <cell r="AP146">
            <v>2.3259919999999998</v>
          </cell>
          <cell r="AQ146">
            <v>2.4995430000000001</v>
          </cell>
          <cell r="AR146">
            <v>2.8334730000000001</v>
          </cell>
          <cell r="AS146">
            <v>7.659008</v>
          </cell>
          <cell r="AT146">
            <v>2.2879879999999999</v>
          </cell>
          <cell r="AU146">
            <v>2.2450580000000002</v>
          </cell>
          <cell r="AV146">
            <v>2.7394259999999999</v>
          </cell>
          <cell r="AW146">
            <v>7.2724720000000005</v>
          </cell>
          <cell r="AX146">
            <v>2.2267640000000002</v>
          </cell>
          <cell r="AY146">
            <v>2.1782900000000001</v>
          </cell>
          <cell r="AZ146">
            <v>2.7382939999999998</v>
          </cell>
          <cell r="BA146">
            <v>7.1433479999999996</v>
          </cell>
          <cell r="BB146">
            <v>2.1192660000000001</v>
          </cell>
          <cell r="BC146">
            <v>2.1812200000000002</v>
          </cell>
          <cell r="BD146">
            <v>2.8684970000000001</v>
          </cell>
          <cell r="BE146">
            <v>7.1689830000000008</v>
          </cell>
          <cell r="BF146">
            <v>2.061286</v>
          </cell>
          <cell r="BG146">
            <v>2.2302019999999998</v>
          </cell>
        </row>
        <row r="147">
          <cell r="A147" t="str">
            <v xml:space="preserve">  % Change</v>
          </cell>
          <cell r="AD147">
            <v>-0.30868670351670446</v>
          </cell>
          <cell r="AE147">
            <v>-0.3075031614444288</v>
          </cell>
          <cell r="AF147">
            <v>-0.28285118374587204</v>
          </cell>
          <cell r="AG147">
            <v>-0.29833865881163724</v>
          </cell>
          <cell r="AH147">
            <v>-0.22182411998769336</v>
          </cell>
          <cell r="AI147">
            <v>-0.23879651516402356</v>
          </cell>
          <cell r="AJ147">
            <v>-0.22010753634024582</v>
          </cell>
          <cell r="AK147">
            <v>-0.22645854124973985</v>
          </cell>
          <cell r="AL147">
            <v>-0.21886214868851839</v>
          </cell>
          <cell r="AM147">
            <v>-0.17360919230122152</v>
          </cell>
          <cell r="AN147">
            <v>-1.0394714777851588E-3</v>
          </cell>
          <cell r="AO147">
            <v>-0.1252005567711475</v>
          </cell>
          <cell r="AP147">
            <v>3.1708970132676706E-2</v>
          </cell>
          <cell r="AQ147">
            <v>9.7888023936578028E-2</v>
          </cell>
          <cell r="AR147">
            <v>6.9764324916968379E-2</v>
          </cell>
          <cell r="AS147">
            <v>6.67326288086314E-2</v>
          </cell>
          <cell r="AT147">
            <v>9.3744637013984944E-2</v>
          </cell>
          <cell r="AU147">
            <v>8.4584800745904687E-2</v>
          </cell>
          <cell r="AV147">
            <v>7.7272827598384719E-3</v>
          </cell>
          <cell r="AW147">
            <v>5.7003099440066096E-2</v>
          </cell>
          <cell r="AX147">
            <v>-1.8515310712275412E-2</v>
          </cell>
          <cell r="AY147">
            <v>-3.574313810985652E-2</v>
          </cell>
          <cell r="AZ147">
            <v>-3.4834571911555701E-2</v>
          </cell>
          <cell r="BA147">
            <v>-3.00860972202045E-2</v>
          </cell>
          <cell r="BB147">
            <v>2.3141612194252925E-3</v>
          </cell>
          <cell r="BC147">
            <v>1.1516960097570639E-2</v>
          </cell>
          <cell r="BD147">
            <v>-6.1376272182514291E-2</v>
          </cell>
          <cell r="BE147">
            <v>-2.1543028528728358E-2</v>
          </cell>
          <cell r="BF147">
            <v>-0.11380348685636055</v>
          </cell>
          <cell r="BG147">
            <v>-0.10775609781468065</v>
          </cell>
        </row>
        <row r="148">
          <cell r="A148" t="str">
            <v>Product</v>
          </cell>
          <cell r="B148">
            <v>36892</v>
          </cell>
          <cell r="C148">
            <v>36923</v>
          </cell>
          <cell r="D148">
            <v>36951</v>
          </cell>
          <cell r="E148" t="str">
            <v>Q1:01</v>
          </cell>
          <cell r="F148">
            <v>36982</v>
          </cell>
          <cell r="G148">
            <v>37012</v>
          </cell>
          <cell r="H148">
            <v>37043</v>
          </cell>
          <cell r="I148" t="str">
            <v>Q2:01</v>
          </cell>
          <cell r="J148">
            <v>37073</v>
          </cell>
          <cell r="K148">
            <v>37104</v>
          </cell>
          <cell r="L148">
            <v>37135</v>
          </cell>
          <cell r="M148" t="str">
            <v>Q3:01</v>
          </cell>
          <cell r="N148">
            <v>37165</v>
          </cell>
          <cell r="O148">
            <v>37196</v>
          </cell>
          <cell r="P148">
            <v>37226</v>
          </cell>
          <cell r="Q148" t="str">
            <v>Q4:01</v>
          </cell>
          <cell r="R148">
            <v>37257</v>
          </cell>
          <cell r="S148">
            <v>37288</v>
          </cell>
          <cell r="T148">
            <v>37316</v>
          </cell>
          <cell r="U148" t="str">
            <v>Q1:02</v>
          </cell>
          <cell r="V148">
            <v>37347</v>
          </cell>
          <cell r="W148">
            <v>37377</v>
          </cell>
          <cell r="X148">
            <v>37408</v>
          </cell>
          <cell r="Y148" t="str">
            <v>Q2:02</v>
          </cell>
          <cell r="Z148">
            <v>37438</v>
          </cell>
          <cell r="AA148">
            <v>37469</v>
          </cell>
          <cell r="AB148">
            <v>37500</v>
          </cell>
          <cell r="AC148" t="str">
            <v>Q3:02</v>
          </cell>
          <cell r="AD148">
            <v>37530</v>
          </cell>
          <cell r="AE148">
            <v>37561</v>
          </cell>
          <cell r="AF148">
            <v>37591</v>
          </cell>
          <cell r="AG148" t="str">
            <v>Q4:02</v>
          </cell>
          <cell r="AH148">
            <v>37622</v>
          </cell>
          <cell r="AI148">
            <v>37653</v>
          </cell>
          <cell r="AJ148">
            <v>37681</v>
          </cell>
          <cell r="AK148" t="str">
            <v>Q1:03</v>
          </cell>
          <cell r="AL148" t="str">
            <v>Apr-03</v>
          </cell>
          <cell r="AM148">
            <v>37744</v>
          </cell>
          <cell r="AN148">
            <v>37775</v>
          </cell>
          <cell r="AO148" t="str">
            <v>Q1:F04</v>
          </cell>
          <cell r="AP148">
            <v>37805</v>
          </cell>
          <cell r="AQ148">
            <v>37836</v>
          </cell>
          <cell r="AR148">
            <v>37867</v>
          </cell>
          <cell r="AS148" t="str">
            <v>Q2:F04</v>
          </cell>
          <cell r="AT148">
            <v>37897</v>
          </cell>
          <cell r="AU148">
            <v>37928</v>
          </cell>
          <cell r="AV148">
            <v>37958</v>
          </cell>
          <cell r="AW148" t="str">
            <v>Q3:F04</v>
          </cell>
          <cell r="AX148">
            <v>37987</v>
          </cell>
          <cell r="AY148">
            <v>38018</v>
          </cell>
          <cell r="AZ148">
            <v>38047</v>
          </cell>
          <cell r="BA148" t="str">
            <v>Q4:F04</v>
          </cell>
          <cell r="BB148">
            <v>38078</v>
          </cell>
          <cell r="BC148">
            <v>38108</v>
          </cell>
          <cell r="BD148">
            <v>38139</v>
          </cell>
          <cell r="BE148" t="str">
            <v>Q1:F05</v>
          </cell>
          <cell r="BF148">
            <v>38169</v>
          </cell>
          <cell r="BG148">
            <v>38200</v>
          </cell>
          <cell r="BH148">
            <v>38231</v>
          </cell>
          <cell r="BI148" t="str">
            <v>Q2:F05E</v>
          </cell>
        </row>
        <row r="149">
          <cell r="A149" t="str">
            <v>SPIRONOLACTONE</v>
          </cell>
        </row>
        <row r="150">
          <cell r="A150" t="str">
            <v>TRx</v>
          </cell>
          <cell r="N150">
            <v>225734</v>
          </cell>
          <cell r="O150">
            <v>210509</v>
          </cell>
          <cell r="P150">
            <v>223555</v>
          </cell>
          <cell r="Q150">
            <v>659798</v>
          </cell>
          <cell r="R150">
            <v>224510</v>
          </cell>
          <cell r="S150">
            <v>207719</v>
          </cell>
          <cell r="T150">
            <v>231112</v>
          </cell>
          <cell r="U150">
            <v>663341</v>
          </cell>
          <cell r="V150">
            <v>241379</v>
          </cell>
          <cell r="W150">
            <v>248212</v>
          </cell>
          <cell r="X150">
            <v>239128</v>
          </cell>
          <cell r="Y150">
            <v>728719</v>
          </cell>
          <cell r="Z150">
            <v>259097</v>
          </cell>
          <cell r="AA150">
            <v>256640</v>
          </cell>
          <cell r="AB150">
            <v>246412</v>
          </cell>
          <cell r="AC150">
            <v>762149</v>
          </cell>
          <cell r="AD150">
            <v>249786</v>
          </cell>
          <cell r="AE150">
            <v>238885</v>
          </cell>
          <cell r="AF150">
            <v>254961</v>
          </cell>
          <cell r="AG150">
            <v>743632</v>
          </cell>
          <cell r="AH150">
            <v>252594</v>
          </cell>
          <cell r="AI150">
            <v>233208</v>
          </cell>
          <cell r="AJ150">
            <v>258558</v>
          </cell>
          <cell r="AK150">
            <v>744360</v>
          </cell>
          <cell r="AL150">
            <v>254792</v>
          </cell>
          <cell r="AM150">
            <v>265243</v>
          </cell>
          <cell r="AN150">
            <v>259369</v>
          </cell>
          <cell r="AO150">
            <v>779404</v>
          </cell>
          <cell r="AP150">
            <v>264955</v>
          </cell>
          <cell r="AQ150">
            <v>261181</v>
          </cell>
          <cell r="AR150">
            <v>255954</v>
          </cell>
          <cell r="AS150">
            <v>782090</v>
          </cell>
          <cell r="AT150">
            <v>262560</v>
          </cell>
          <cell r="AU150">
            <v>246921</v>
          </cell>
          <cell r="AV150">
            <v>270972</v>
          </cell>
          <cell r="AW150">
            <v>780453</v>
          </cell>
          <cell r="AX150">
            <v>258731</v>
          </cell>
          <cell r="AY150">
            <v>241613</v>
          </cell>
          <cell r="AZ150">
            <v>268305</v>
          </cell>
          <cell r="BA150">
            <v>768649</v>
          </cell>
          <cell r="BB150">
            <v>258909</v>
          </cell>
          <cell r="BC150">
            <v>257180</v>
          </cell>
          <cell r="BD150">
            <v>266114</v>
          </cell>
          <cell r="BE150">
            <v>782203</v>
          </cell>
          <cell r="BF150">
            <v>262914</v>
          </cell>
          <cell r="BG150">
            <v>262466</v>
          </cell>
          <cell r="BH150">
            <v>252174</v>
          </cell>
          <cell r="BI150">
            <v>777554</v>
          </cell>
        </row>
        <row r="151">
          <cell r="A151" t="str">
            <v xml:space="preserve">  % Change</v>
          </cell>
          <cell r="AC151">
            <v>0</v>
          </cell>
          <cell r="AD151">
            <v>0.10655018738869648</v>
          </cell>
          <cell r="AE151">
            <v>0.13479708706041071</v>
          </cell>
          <cell r="AF151">
            <v>0.14048444454384823</v>
          </cell>
          <cell r="AG151">
            <v>0.12706010021248937</v>
          </cell>
          <cell r="AH151">
            <v>0.12509019642777597</v>
          </cell>
          <cell r="AI151">
            <v>0.12270904443021591</v>
          </cell>
          <cell r="AJ151">
            <v>0.11875627401433064</v>
          </cell>
          <cell r="AK151">
            <v>0.12213778433716604</v>
          </cell>
          <cell r="AL151">
            <v>5.5568214301989771E-2</v>
          </cell>
          <cell r="AM151">
            <v>6.8614732567321424E-2</v>
          </cell>
          <cell r="AN151">
            <v>8.4645043658626351E-2</v>
          </cell>
          <cell r="AO151">
            <v>6.9553559053626923E-2</v>
          </cell>
          <cell r="AP151">
            <v>2.2609293044689727E-2</v>
          </cell>
          <cell r="AQ151">
            <v>1.7694046134663299E-2</v>
          </cell>
          <cell r="AR151">
            <v>3.8723763453078597E-2</v>
          </cell>
          <cell r="AS151">
            <v>2.6164175246572441E-2</v>
          </cell>
          <cell r="AT151">
            <v>5.1139775647954577E-2</v>
          </cell>
          <cell r="AU151">
            <v>3.3639617389120247E-2</v>
          </cell>
          <cell r="AV151">
            <v>6.2797839669596511E-2</v>
          </cell>
          <cell r="AW151">
            <v>4.9515082729091775E-2</v>
          </cell>
          <cell r="AX151">
            <v>2.4295905682637065E-2</v>
          </cell>
          <cell r="AY151">
            <v>3.6040787623066173E-2</v>
          </cell>
          <cell r="AZ151">
            <v>3.7697537883182974E-2</v>
          </cell>
          <cell r="BA151">
            <v>3.2630716320060094E-2</v>
          </cell>
          <cell r="BB151">
            <v>1.6158278124901893E-2</v>
          </cell>
          <cell r="BC151">
            <v>-3.0398540206527547E-2</v>
          </cell>
          <cell r="BD151">
            <v>2.6005420848289607E-2</v>
          </cell>
          <cell r="BE151">
            <v>3.591205587859525E-3</v>
          </cell>
          <cell r="BF151">
            <v>-7.7031948821497664E-3</v>
          </cell>
          <cell r="BG151">
            <v>4.9199597214193425E-3</v>
          </cell>
          <cell r="BH151">
            <v>-1.4768278675074464E-2</v>
          </cell>
          <cell r="BI151">
            <v>-5.7998440077229318E-3</v>
          </cell>
        </row>
        <row r="152">
          <cell r="A152" t="str">
            <v>NRx</v>
          </cell>
          <cell r="N152">
            <v>72857</v>
          </cell>
          <cell r="O152">
            <v>69485</v>
          </cell>
          <cell r="P152">
            <v>72540</v>
          </cell>
          <cell r="Q152">
            <v>214882</v>
          </cell>
          <cell r="R152">
            <v>77744</v>
          </cell>
          <cell r="S152">
            <v>71538</v>
          </cell>
          <cell r="T152">
            <v>78954</v>
          </cell>
          <cell r="U152">
            <v>228236</v>
          </cell>
          <cell r="V152">
            <v>81653</v>
          </cell>
          <cell r="W152">
            <v>82846</v>
          </cell>
          <cell r="X152">
            <v>78585</v>
          </cell>
          <cell r="Y152">
            <v>243084</v>
          </cell>
          <cell r="Z152">
            <v>83754</v>
          </cell>
          <cell r="AA152">
            <v>82696</v>
          </cell>
          <cell r="AB152">
            <v>77224</v>
          </cell>
          <cell r="AC152">
            <v>243674</v>
          </cell>
          <cell r="AD152">
            <v>79777</v>
          </cell>
          <cell r="AE152">
            <v>74911</v>
          </cell>
          <cell r="AF152">
            <v>79339</v>
          </cell>
          <cell r="AG152">
            <v>234027</v>
          </cell>
          <cell r="AH152">
            <v>82608</v>
          </cell>
          <cell r="AI152">
            <v>75969</v>
          </cell>
          <cell r="AJ152">
            <v>82963</v>
          </cell>
          <cell r="AK152">
            <v>241540</v>
          </cell>
          <cell r="AL152">
            <v>83285</v>
          </cell>
          <cell r="AM152">
            <v>86278</v>
          </cell>
          <cell r="AN152">
            <v>83629</v>
          </cell>
          <cell r="AO152">
            <v>253192</v>
          </cell>
          <cell r="AP152">
            <v>84495</v>
          </cell>
          <cell r="AQ152">
            <v>81092</v>
          </cell>
          <cell r="AR152">
            <v>79391</v>
          </cell>
          <cell r="AS152">
            <v>244978</v>
          </cell>
          <cell r="AT152">
            <v>82951</v>
          </cell>
          <cell r="AU152">
            <v>77324</v>
          </cell>
          <cell r="AV152">
            <v>83841</v>
          </cell>
          <cell r="AW152">
            <v>244116</v>
          </cell>
          <cell r="AX152">
            <v>82161</v>
          </cell>
          <cell r="AY152">
            <v>78278</v>
          </cell>
          <cell r="AZ152">
            <v>87662</v>
          </cell>
          <cell r="BA152">
            <v>248101</v>
          </cell>
          <cell r="BB152">
            <v>83388</v>
          </cell>
          <cell r="BC152">
            <v>83834</v>
          </cell>
          <cell r="BD152">
            <v>86845</v>
          </cell>
          <cell r="BE152">
            <v>254067</v>
          </cell>
          <cell r="BF152">
            <v>82642</v>
          </cell>
          <cell r="BG152">
            <v>82345</v>
          </cell>
          <cell r="BH152">
            <v>79028</v>
          </cell>
          <cell r="BI152">
            <v>244015</v>
          </cell>
        </row>
        <row r="153">
          <cell r="A153" t="str">
            <v xml:space="preserve">  % Change</v>
          </cell>
          <cell r="AD153">
            <v>9.4980578393290882E-2</v>
          </cell>
          <cell r="AE153">
            <v>7.808879614305253E-2</v>
          </cell>
          <cell r="AF153">
            <v>9.372759856630819E-2</v>
          </cell>
          <cell r="AG153">
            <v>8.9095410504369754E-2</v>
          </cell>
          <cell r="AH153">
            <v>6.2564313644782876E-2</v>
          </cell>
          <cell r="AI153">
            <v>6.1939109284576022E-2</v>
          </cell>
          <cell r="AJ153">
            <v>5.0776401448944908E-2</v>
          </cell>
          <cell r="AK153">
            <v>5.8290541369459659E-2</v>
          </cell>
          <cell r="AL153">
            <v>1.9987018235704701E-2</v>
          </cell>
          <cell r="AM153">
            <v>4.1426260773000489E-2</v>
          </cell>
          <cell r="AN153">
            <v>6.4185277088502968E-2</v>
          </cell>
          <cell r="AO153">
            <v>4.1582333678892969E-2</v>
          </cell>
          <cell r="AP153">
            <v>8.8473386345726546E-3</v>
          </cell>
          <cell r="AQ153">
            <v>-1.9396343233046287E-2</v>
          </cell>
          <cell r="AR153">
            <v>2.8061224489795977E-2</v>
          </cell>
          <cell r="AS153">
            <v>5.3514121326034836E-3</v>
          </cell>
          <cell r="AT153">
            <v>3.9785903205184381E-2</v>
          </cell>
          <cell r="AU153">
            <v>3.2211557715155381E-2</v>
          </cell>
          <cell r="AV153">
            <v>5.674384602780469E-2</v>
          </cell>
          <cell r="AW153">
            <v>4.3110410337268812E-2</v>
          </cell>
          <cell r="AX153">
            <v>-5.4110981987216533E-3</v>
          </cell>
          <cell r="AY153">
            <v>3.0393976490410646E-2</v>
          </cell>
          <cell r="AZ153">
            <v>5.6639706857273708E-2</v>
          </cell>
          <cell r="BA153">
            <v>2.7163202782147788E-2</v>
          </cell>
          <cell r="BB153">
            <v>1.2367172960316974E-3</v>
          </cell>
          <cell r="BC153">
            <v>-2.832703586082197E-2</v>
          </cell>
          <cell r="BD153">
            <v>3.8455559674275719E-2</v>
          </cell>
          <cell r="BE153">
            <v>3.455875383108431E-3</v>
          </cell>
          <cell r="BF153">
            <v>-2.1930291733238683E-2</v>
          </cell>
          <cell r="BG153">
            <v>1.5451585853105021E-2</v>
          </cell>
          <cell r="BH153">
            <v>-4.5723066846368177E-3</v>
          </cell>
          <cell r="BI153">
            <v>-3.9309652295308473E-3</v>
          </cell>
        </row>
        <row r="154">
          <cell r="A154" t="str">
            <v>Sales (IMS)</v>
          </cell>
          <cell r="N154">
            <v>1.583407</v>
          </cell>
          <cell r="O154">
            <v>2.249549</v>
          </cell>
          <cell r="P154">
            <v>2.4360050000000002</v>
          </cell>
          <cell r="Q154">
            <v>6.2689610000000009</v>
          </cell>
          <cell r="R154">
            <v>2.0733739999999998</v>
          </cell>
          <cell r="S154">
            <v>2.1264509999999999</v>
          </cell>
          <cell r="T154">
            <v>2.8421720000000001</v>
          </cell>
          <cell r="U154">
            <v>7.0419970000000003</v>
          </cell>
          <cell r="V154">
            <v>2.2847460000000002</v>
          </cell>
          <cell r="W154">
            <v>2.4184619999999999</v>
          </cell>
          <cell r="X154">
            <v>3.2119529999999998</v>
          </cell>
          <cell r="Y154">
            <v>7.9151609999999994</v>
          </cell>
          <cell r="Z154">
            <v>2.4151199999999999</v>
          </cell>
          <cell r="AA154">
            <v>2.43702</v>
          </cell>
          <cell r="AB154">
            <v>2.9982380000000002</v>
          </cell>
          <cell r="AC154">
            <v>7.850378000000001</v>
          </cell>
          <cell r="AD154">
            <v>2.129324</v>
          </cell>
          <cell r="AE154">
            <v>2.1060349999999999</v>
          </cell>
          <cell r="AF154">
            <v>2.7189459999999999</v>
          </cell>
          <cell r="AG154">
            <v>6.9543049999999997</v>
          </cell>
          <cell r="AH154">
            <v>2.2274940000000001</v>
          </cell>
          <cell r="AI154">
            <v>2.2789290000000002</v>
          </cell>
          <cell r="AJ154">
            <v>2.7587410000000001</v>
          </cell>
          <cell r="AK154">
            <v>7.2651640000000004</v>
          </cell>
          <cell r="AL154">
            <v>2.1365720000000001</v>
          </cell>
          <cell r="AM154">
            <v>2.196488</v>
          </cell>
          <cell r="AN154">
            <v>2.9913439999999998</v>
          </cell>
          <cell r="AO154">
            <v>7.3244039999999995</v>
          </cell>
          <cell r="AP154">
            <v>2.0944560000000001</v>
          </cell>
          <cell r="AQ154">
            <v>2.4237989999999998</v>
          </cell>
          <cell r="AR154">
            <v>2.6867079999999999</v>
          </cell>
          <cell r="AS154">
            <v>7.2049629999999993</v>
          </cell>
          <cell r="AT154">
            <v>2.2315480000000001</v>
          </cell>
          <cell r="AU154">
            <v>2.2968700000000002</v>
          </cell>
          <cell r="AV154">
            <v>2.7529180000000002</v>
          </cell>
          <cell r="AW154">
            <v>7.2813360000000005</v>
          </cell>
          <cell r="AX154">
            <v>2.336535</v>
          </cell>
          <cell r="AY154">
            <v>2.304608</v>
          </cell>
          <cell r="AZ154">
            <v>2.9760460000000002</v>
          </cell>
          <cell r="BA154">
            <v>7.6171889999999998</v>
          </cell>
          <cell r="BB154">
            <v>2.374924</v>
          </cell>
          <cell r="BC154">
            <v>2.4906779999999999</v>
          </cell>
          <cell r="BD154">
            <v>3.0394700000000001</v>
          </cell>
          <cell r="BE154">
            <v>7.9050720000000005</v>
          </cell>
          <cell r="BF154">
            <v>2.3324479999999999</v>
          </cell>
          <cell r="BG154">
            <v>2.4698889999999998</v>
          </cell>
        </row>
        <row r="155">
          <cell r="A155" t="str">
            <v xml:space="preserve">  % Change</v>
          </cell>
          <cell r="AD155">
            <v>0.34477364316312853</v>
          </cell>
          <cell r="AE155">
            <v>-6.37967877116703E-2</v>
          </cell>
          <cell r="AF155">
            <v>0.11614959739409381</v>
          </cell>
          <cell r="AG155">
            <v>0.10932337910540491</v>
          </cell>
          <cell r="AH155">
            <v>7.4332947167274233E-2</v>
          </cell>
          <cell r="AI155">
            <v>7.1705390813143755E-2</v>
          </cell>
          <cell r="AJ155">
            <v>-2.9354662560886591E-2</v>
          </cell>
          <cell r="AK155">
            <v>3.1690868371571312E-2</v>
          </cell>
          <cell r="AL155">
            <v>-6.4853598605709384E-2</v>
          </cell>
          <cell r="AM155">
            <v>-9.1783124977775077E-2</v>
          </cell>
          <cell r="AN155">
            <v>-6.8683757203172102E-2</v>
          </cell>
          <cell r="AO155">
            <v>-7.4636131848739407E-2</v>
          </cell>
          <cell r="AP155">
            <v>-0.13277352678127785</v>
          </cell>
          <cell r="AQ155">
            <v>-5.4250683211464201E-3</v>
          </cell>
          <cell r="AR155">
            <v>-0.1039043598273387</v>
          </cell>
          <cell r="AS155">
            <v>-8.2214512473157586E-2</v>
          </cell>
          <cell r="AT155">
            <v>4.800772451726476E-2</v>
          </cell>
          <cell r="AU155">
            <v>9.0613403860809738E-2</v>
          </cell>
          <cell r="AV155">
            <v>1.2494547519516841E-2</v>
          </cell>
          <cell r="AW155">
            <v>4.702569128043721E-2</v>
          </cell>
          <cell r="AX155">
            <v>4.8952320410290628E-2</v>
          </cell>
          <cell r="AY155">
            <v>1.1268012298759622E-2</v>
          </cell>
          <cell r="AZ155">
            <v>7.8769627159635425E-2</v>
          </cell>
          <cell r="BA155">
            <v>4.8453827057448384E-2</v>
          </cell>
          <cell r="BB155">
            <v>0.1115581407975017</v>
          </cell>
          <cell r="BC155">
            <v>0.13393653869267674</v>
          </cell>
          <cell r="BD155">
            <v>1.6088420455822039E-2</v>
          </cell>
          <cell r="BE155">
            <v>7.9278532423935344E-2</v>
          </cell>
          <cell r="BF155">
            <v>0.11362950570458374</v>
          </cell>
          <cell r="BG155">
            <v>1.9015603191518737E-2</v>
          </cell>
        </row>
        <row r="157">
          <cell r="A157" t="str">
            <v>BUSPIRONE HCL</v>
          </cell>
        </row>
        <row r="158">
          <cell r="A158" t="str">
            <v>TRx</v>
          </cell>
          <cell r="B158">
            <v>0</v>
          </cell>
          <cell r="C158">
            <v>0</v>
          </cell>
          <cell r="D158">
            <v>13</v>
          </cell>
          <cell r="E158">
            <v>13</v>
          </cell>
          <cell r="F158">
            <v>79007</v>
          </cell>
          <cell r="G158">
            <v>169598</v>
          </cell>
          <cell r="H158">
            <v>192737</v>
          </cell>
          <cell r="I158">
            <v>441342</v>
          </cell>
          <cell r="J158">
            <v>216510</v>
          </cell>
          <cell r="K158">
            <v>241795</v>
          </cell>
          <cell r="L158">
            <v>237922</v>
          </cell>
          <cell r="M158">
            <v>696227</v>
          </cell>
          <cell r="N158">
            <v>265807</v>
          </cell>
          <cell r="O158">
            <v>252899</v>
          </cell>
          <cell r="P158">
            <v>258961</v>
          </cell>
          <cell r="Q158">
            <v>777667</v>
          </cell>
          <cell r="R158">
            <v>273526</v>
          </cell>
          <cell r="S158">
            <v>250207</v>
          </cell>
          <cell r="T158">
            <v>265622</v>
          </cell>
          <cell r="U158">
            <v>789355</v>
          </cell>
          <cell r="V158">
            <v>253123</v>
          </cell>
          <cell r="W158">
            <v>247518</v>
          </cell>
          <cell r="X158">
            <v>219063</v>
          </cell>
          <cell r="Y158">
            <v>719704</v>
          </cell>
          <cell r="Z158">
            <v>219316</v>
          </cell>
          <cell r="AA158">
            <v>203630</v>
          </cell>
          <cell r="AB158">
            <v>190098</v>
          </cell>
          <cell r="AC158">
            <v>613044</v>
          </cell>
          <cell r="AD158">
            <v>193203</v>
          </cell>
          <cell r="AE158">
            <v>178897</v>
          </cell>
          <cell r="AF158">
            <v>184186</v>
          </cell>
          <cell r="AG158">
            <v>556286</v>
          </cell>
          <cell r="AH158">
            <v>182478</v>
          </cell>
          <cell r="AI158">
            <v>163351</v>
          </cell>
          <cell r="AJ158">
            <v>175656</v>
          </cell>
          <cell r="AK158">
            <v>521485</v>
          </cell>
          <cell r="AL158">
            <v>169377</v>
          </cell>
          <cell r="AM158">
            <v>171068</v>
          </cell>
          <cell r="AN158">
            <v>164712</v>
          </cell>
          <cell r="AO158">
            <v>505157</v>
          </cell>
          <cell r="AP158">
            <v>172506</v>
          </cell>
          <cell r="AQ158">
            <v>164038</v>
          </cell>
          <cell r="AR158">
            <v>166498</v>
          </cell>
          <cell r="AS158">
            <v>503042</v>
          </cell>
          <cell r="AT158">
            <v>176894</v>
          </cell>
          <cell r="AU158">
            <v>164279</v>
          </cell>
          <cell r="AV158">
            <v>179347</v>
          </cell>
          <cell r="AW158">
            <v>520520</v>
          </cell>
          <cell r="AX158">
            <v>174418</v>
          </cell>
          <cell r="AY158">
            <v>164134</v>
          </cell>
          <cell r="AZ158">
            <v>180027</v>
          </cell>
          <cell r="BA158">
            <v>518579</v>
          </cell>
          <cell r="BB158">
            <v>169251</v>
          </cell>
          <cell r="BC158">
            <v>164178</v>
          </cell>
          <cell r="BD158">
            <v>168664</v>
          </cell>
          <cell r="BE158">
            <v>502093</v>
          </cell>
          <cell r="BF158">
            <v>167394</v>
          </cell>
          <cell r="BG158">
            <v>167893</v>
          </cell>
          <cell r="BH158">
            <v>163573</v>
          </cell>
          <cell r="BI158">
            <v>498860</v>
          </cell>
        </row>
        <row r="159">
          <cell r="A159" t="str">
            <v xml:space="preserve">  % Change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2.2038047261635043</v>
          </cell>
          <cell r="W159">
            <v>0.45943938018137009</v>
          </cell>
          <cell r="X159">
            <v>0.13659027586815187</v>
          </cell>
          <cell r="Y159">
            <v>0.63071722156513532</v>
          </cell>
          <cell r="Z159">
            <v>1.2960140409219001E-2</v>
          </cell>
          <cell r="AA159">
            <v>-0.15784031927872788</v>
          </cell>
          <cell r="AB159">
            <v>-0.20100705273156749</v>
          </cell>
          <cell r="AC159">
            <v>-0.11947683729588199</v>
          </cell>
          <cell r="AD159">
            <v>-0.27314555297640775</v>
          </cell>
          <cell r="AE159">
            <v>-0.29261483833467117</v>
          </cell>
          <cell r="AF159">
            <v>-0.28875004344283506</v>
          </cell>
          <cell r="AG159">
            <v>-0.28467325989144454</v>
          </cell>
          <cell r="AH159">
            <v>-0.33286780781351677</v>
          </cell>
          <cell r="AI159">
            <v>-0.34713657091927885</v>
          </cell>
          <cell r="AJ159">
            <v>-0.33869935472212387</v>
          </cell>
          <cell r="AK159">
            <v>-0.3393530160700825</v>
          </cell>
          <cell r="AL159">
            <v>-0.33085100919315902</v>
          </cell>
          <cell r="AM159">
            <v>-0.30886642587609792</v>
          </cell>
          <cell r="AN159">
            <v>-0.24810670902890952</v>
          </cell>
          <cell r="AO159">
            <v>-0.29810449851605658</v>
          </cell>
          <cell r="AP159">
            <v>-0.21343632019551695</v>
          </cell>
          <cell r="AQ159">
            <v>-0.19443107597112408</v>
          </cell>
          <cell r="AR159">
            <v>-0.12414649286157664</v>
          </cell>
          <cell r="AS159">
            <v>-0.17943573381355993</v>
          </cell>
          <cell r="AT159">
            <v>-8.4413803098295603E-2</v>
          </cell>
          <cell r="AU159">
            <v>-8.1711823004298578E-2</v>
          </cell>
          <cell r="AV159">
            <v>-2.627235511928161E-2</v>
          </cell>
          <cell r="AW159">
            <v>-6.4294265899195735E-2</v>
          </cell>
          <cell r="AX159">
            <v>-4.4169708129199181E-2</v>
          </cell>
          <cell r="AY159">
            <v>4.7933590856499286E-3</v>
          </cell>
          <cell r="AZ159">
            <v>2.4883863915835525E-2</v>
          </cell>
          <cell r="BA159">
            <v>-5.5725476284073094E-3</v>
          </cell>
          <cell r="BB159">
            <v>-7.4390265502399799E-4</v>
          </cell>
          <cell r="BC159">
            <v>-4.0276381322047361E-2</v>
          </cell>
          <cell r="BD159">
            <v>2.3993394531060197E-2</v>
          </cell>
          <cell r="BE159">
            <v>-6.0654410411020709E-3</v>
          </cell>
          <cell r="BF159">
            <v>-2.9633751869500236E-2</v>
          </cell>
          <cell r="BG159">
            <v>2.3500652287884449E-2</v>
          </cell>
          <cell r="BH159">
            <v>-1.7567778591935035E-2</v>
          </cell>
          <cell r="BI159">
            <v>-8.313421145749289E-3</v>
          </cell>
        </row>
        <row r="160">
          <cell r="A160" t="str">
            <v>NRx</v>
          </cell>
          <cell r="B160">
            <v>0</v>
          </cell>
          <cell r="C160">
            <v>0</v>
          </cell>
          <cell r="D160">
            <v>11</v>
          </cell>
          <cell r="E160">
            <v>11</v>
          </cell>
          <cell r="F160">
            <v>58632</v>
          </cell>
          <cell r="G160">
            <v>104397</v>
          </cell>
          <cell r="H160">
            <v>104376</v>
          </cell>
          <cell r="I160">
            <v>267405</v>
          </cell>
          <cell r="J160">
            <v>109516</v>
          </cell>
          <cell r="K160">
            <v>122658</v>
          </cell>
          <cell r="L160">
            <v>115778</v>
          </cell>
          <cell r="M160">
            <v>347952</v>
          </cell>
          <cell r="N160">
            <v>128154</v>
          </cell>
          <cell r="O160">
            <v>116811</v>
          </cell>
          <cell r="P160">
            <v>115238</v>
          </cell>
          <cell r="Q160">
            <v>360203</v>
          </cell>
          <cell r="R160">
            <v>128405</v>
          </cell>
          <cell r="S160">
            <v>117499</v>
          </cell>
          <cell r="T160">
            <v>121824</v>
          </cell>
          <cell r="U160">
            <v>367728</v>
          </cell>
          <cell r="V160">
            <v>113474</v>
          </cell>
          <cell r="W160">
            <v>109160</v>
          </cell>
          <cell r="X160">
            <v>94877</v>
          </cell>
          <cell r="Y160">
            <v>317511</v>
          </cell>
          <cell r="Z160">
            <v>95158</v>
          </cell>
          <cell r="AA160">
            <v>89253</v>
          </cell>
          <cell r="AB160">
            <v>82264</v>
          </cell>
          <cell r="AC160">
            <v>266675</v>
          </cell>
          <cell r="AD160">
            <v>84839</v>
          </cell>
          <cell r="AE160">
            <v>80905</v>
          </cell>
          <cell r="AF160">
            <v>78116</v>
          </cell>
          <cell r="AG160">
            <v>243860</v>
          </cell>
          <cell r="AH160">
            <v>81452</v>
          </cell>
          <cell r="AI160">
            <v>71834</v>
          </cell>
          <cell r="AJ160">
            <v>76177</v>
          </cell>
          <cell r="AK160">
            <v>229463</v>
          </cell>
          <cell r="AL160">
            <v>73965</v>
          </cell>
          <cell r="AM160">
            <v>73553</v>
          </cell>
          <cell r="AN160">
            <v>70914</v>
          </cell>
          <cell r="AO160">
            <v>218432</v>
          </cell>
          <cell r="AP160">
            <v>74818</v>
          </cell>
          <cell r="AQ160">
            <v>70902</v>
          </cell>
          <cell r="AR160">
            <v>72803</v>
          </cell>
          <cell r="AS160">
            <v>218523</v>
          </cell>
          <cell r="AT160">
            <v>78829</v>
          </cell>
          <cell r="AU160">
            <v>71062</v>
          </cell>
          <cell r="AV160">
            <v>75854</v>
          </cell>
          <cell r="AW160">
            <v>225745</v>
          </cell>
          <cell r="AX160">
            <v>75221</v>
          </cell>
          <cell r="AY160">
            <v>73035</v>
          </cell>
          <cell r="AZ160">
            <v>79241</v>
          </cell>
          <cell r="BA160">
            <v>227497</v>
          </cell>
          <cell r="BB160">
            <v>73942</v>
          </cell>
          <cell r="BC160">
            <v>70958</v>
          </cell>
          <cell r="BD160">
            <v>74014</v>
          </cell>
          <cell r="BE160">
            <v>218914</v>
          </cell>
          <cell r="BF160">
            <v>73231</v>
          </cell>
          <cell r="BG160">
            <v>74805</v>
          </cell>
          <cell r="BH160">
            <v>72952</v>
          </cell>
          <cell r="BI160">
            <v>220988</v>
          </cell>
        </row>
        <row r="161">
          <cell r="A161" t="str">
            <v xml:space="preserve">  % Change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0.93535953063173705</v>
          </cell>
          <cell r="W161">
            <v>4.5623916396065001E-2</v>
          </cell>
          <cell r="X161">
            <v>-9.1007511305280953E-2</v>
          </cell>
          <cell r="Y161">
            <v>0.1873786952375609</v>
          </cell>
          <cell r="Z161">
            <v>-0.13110413090324702</v>
          </cell>
          <cell r="AA161">
            <v>-0.27234261116274516</v>
          </cell>
          <cell r="AB161">
            <v>-0.28946777453402206</v>
          </cell>
          <cell r="AC161">
            <v>-0.23358681657240077</v>
          </cell>
          <cell r="AD161">
            <v>-0.33799179112630118</v>
          </cell>
          <cell r="AE161">
            <v>-0.30738543459092038</v>
          </cell>
          <cell r="AF161">
            <v>-0.32213332407712736</v>
          </cell>
          <cell r="AG161">
            <v>-0.32299286791059489</v>
          </cell>
          <cell r="AH161">
            <v>-0.36566333086717806</v>
          </cell>
          <cell r="AI161">
            <v>-0.38864160546047199</v>
          </cell>
          <cell r="AJ161">
            <v>-0.37469628316259518</v>
          </cell>
          <cell r="AK161">
            <v>-0.37599802027585605</v>
          </cell>
          <cell r="AL161">
            <v>-0.34817667483300141</v>
          </cell>
          <cell r="AM161">
            <v>-0.32619091242213261</v>
          </cell>
          <cell r="AN161">
            <v>-0.25256911580256547</v>
          </cell>
          <cell r="AO161">
            <v>-0.31204903137214146</v>
          </cell>
          <cell r="AP161">
            <v>-0.2137497635511465</v>
          </cell>
          <cell r="AQ161">
            <v>-0.20560653423414343</v>
          </cell>
          <cell r="AR161">
            <v>-0.11500777983078869</v>
          </cell>
          <cell r="AS161">
            <v>-0.18056435736383236</v>
          </cell>
          <cell r="AT161">
            <v>-7.0840061764047224E-2</v>
          </cell>
          <cell r="AU161">
            <v>-0.12166120758914778</v>
          </cell>
          <cell r="AV161">
            <v>-2.8956935839008602E-2</v>
          </cell>
          <cell r="AW161">
            <v>-7.4284425490035222E-2</v>
          </cell>
          <cell r="AX161">
            <v>-7.649904238078864E-2</v>
          </cell>
          <cell r="AY161">
            <v>1.6719102374920025E-2</v>
          </cell>
          <cell r="AZ161">
            <v>4.0222114286464494E-2</v>
          </cell>
          <cell r="BA161">
            <v>-8.5678301076862473E-3</v>
          </cell>
          <cell r="BB161">
            <v>-3.1095788548640702E-4</v>
          </cell>
          <cell r="BC161">
            <v>-3.5280681957228111E-2</v>
          </cell>
          <cell r="BD161">
            <v>4.3714922300251091E-2</v>
          </cell>
          <cell r="BE161">
            <v>2.2066363902724095E-3</v>
          </cell>
          <cell r="BF161">
            <v>-2.121147317490446E-2</v>
          </cell>
          <cell r="BG161">
            <v>5.5047812473554947E-2</v>
          </cell>
          <cell r="BH161">
            <v>2.0466189580099492E-3</v>
          </cell>
          <cell r="BI161">
            <v>1.1280277133299377E-2</v>
          </cell>
        </row>
        <row r="162">
          <cell r="A162" t="str">
            <v>Sales (IMS)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13.221645000000001</v>
          </cell>
          <cell r="G162">
            <v>15.667865000000001</v>
          </cell>
          <cell r="H162">
            <v>21.252901000000001</v>
          </cell>
          <cell r="I162">
            <v>50.142411000000003</v>
          </cell>
          <cell r="J162">
            <v>18.806061</v>
          </cell>
          <cell r="K162">
            <v>21.228221999999999</v>
          </cell>
          <cell r="L162">
            <v>26.587520999999999</v>
          </cell>
          <cell r="M162">
            <v>66.621803999999997</v>
          </cell>
          <cell r="N162">
            <v>22.771263999999999</v>
          </cell>
          <cell r="O162">
            <v>20.815660999999999</v>
          </cell>
          <cell r="P162">
            <v>28.444140000000001</v>
          </cell>
          <cell r="Q162">
            <v>72.031064999999998</v>
          </cell>
          <cell r="R162">
            <v>22.377268000000001</v>
          </cell>
          <cell r="S162">
            <v>21.368331999999999</v>
          </cell>
          <cell r="T162">
            <v>13.878807</v>
          </cell>
          <cell r="U162">
            <v>57.624406999999998</v>
          </cell>
          <cell r="V162">
            <v>5.628825</v>
          </cell>
          <cell r="W162">
            <v>4.7115549999999997</v>
          </cell>
          <cell r="X162">
            <v>4.3018049999999999</v>
          </cell>
          <cell r="Y162">
            <v>14.642185</v>
          </cell>
          <cell r="Z162">
            <v>2.945837</v>
          </cell>
          <cell r="AA162">
            <v>2.8607719999999999</v>
          </cell>
          <cell r="AB162">
            <v>3.7732899999999998</v>
          </cell>
          <cell r="AC162">
            <v>9.5798989999999993</v>
          </cell>
          <cell r="AD162">
            <v>2.821653</v>
          </cell>
          <cell r="AE162">
            <v>2.8276629999999998</v>
          </cell>
          <cell r="AF162">
            <v>3.6860580000000001</v>
          </cell>
          <cell r="AG162">
            <v>9.3353739999999998</v>
          </cell>
          <cell r="AH162">
            <v>2.821955</v>
          </cell>
          <cell r="AI162">
            <v>2.8356150000000002</v>
          </cell>
          <cell r="AJ162">
            <v>3.4598420000000001</v>
          </cell>
          <cell r="AK162">
            <v>9.1174119999999998</v>
          </cell>
          <cell r="AL162">
            <v>2.3540709999999998</v>
          </cell>
          <cell r="AM162">
            <v>2.2568510000000002</v>
          </cell>
          <cell r="AN162">
            <v>2.9688159999999999</v>
          </cell>
          <cell r="AO162">
            <v>7.5797380000000008</v>
          </cell>
          <cell r="AP162">
            <v>2.2750810000000001</v>
          </cell>
          <cell r="AQ162">
            <v>2.399578</v>
          </cell>
          <cell r="AR162">
            <v>2.9150559999999999</v>
          </cell>
          <cell r="AS162">
            <v>7.589715</v>
          </cell>
          <cell r="AT162">
            <v>2.4469759999999998</v>
          </cell>
          <cell r="AU162">
            <v>2.4374820000000001</v>
          </cell>
          <cell r="AV162">
            <v>2.88226</v>
          </cell>
          <cell r="AW162">
            <v>7.7667180000000009</v>
          </cell>
          <cell r="AX162">
            <v>2.3548830000000001</v>
          </cell>
          <cell r="AY162">
            <v>2.3789739999999999</v>
          </cell>
          <cell r="AZ162">
            <v>2.950167</v>
          </cell>
          <cell r="BA162">
            <v>7.6840240000000009</v>
          </cell>
          <cell r="BB162">
            <v>2.3091460000000001</v>
          </cell>
          <cell r="BC162">
            <v>2.323232</v>
          </cell>
          <cell r="BD162">
            <v>2.4334359999999999</v>
          </cell>
          <cell r="BE162">
            <v>7.0658139999999996</v>
          </cell>
          <cell r="BF162">
            <v>1.830484</v>
          </cell>
          <cell r="BG162">
            <v>2.004877</v>
          </cell>
        </row>
        <row r="163">
          <cell r="A163" t="str">
            <v xml:space="preserve">  % Change</v>
          </cell>
          <cell r="AD163">
            <v>-0.87608711576133846</v>
          </cell>
          <cell r="AE163">
            <v>-0.86415694413931898</v>
          </cell>
          <cell r="AF163">
            <v>-0.87041063642634298</v>
          </cell>
          <cell r="AG163">
            <v>-0.87039794566413808</v>
          </cell>
          <cell r="AH163">
            <v>-0.8738918888579249</v>
          </cell>
          <cell r="AI163">
            <v>-0.86729825238582026</v>
          </cell>
          <cell r="AJ163">
            <v>-0.75071041768935909</v>
          </cell>
          <cell r="AK163">
            <v>-0.84177864077629461</v>
          </cell>
          <cell r="AL163">
            <v>-0.58178287653284655</v>
          </cell>
          <cell r="AM163">
            <v>-0.52099657119570919</v>
          </cell>
          <cell r="AN163">
            <v>-0.30986736962740058</v>
          </cell>
          <cell r="AO163">
            <v>-0.48233559403873116</v>
          </cell>
          <cell r="AP163">
            <v>-0.22769623709662146</v>
          </cell>
          <cell r="AQ163">
            <v>-0.16121312708597535</v>
          </cell>
          <cell r="AR163">
            <v>-0.22744978520071346</v>
          </cell>
          <cell r="AS163">
            <v>-0.20774582278998965</v>
          </cell>
          <cell r="AT163">
            <v>-0.13278634899472053</v>
          </cell>
          <cell r="AU163">
            <v>-0.1379870939358756</v>
          </cell>
          <cell r="AV163">
            <v>-0.21806439290971547</v>
          </cell>
          <cell r="AW163">
            <v>-0.16803354637960932</v>
          </cell>
          <cell r="AX163">
            <v>-0.16551362441994999</v>
          </cell>
          <cell r="AY163">
            <v>-0.16103772902879987</v>
          </cell>
          <cell r="AZ163">
            <v>-0.14731164024253129</v>
          </cell>
          <cell r="BA163">
            <v>-0.15721434986156146</v>
          </cell>
          <cell r="BB163">
            <v>-1.9083961358854373E-2</v>
          </cell>
          <cell r="BC163">
            <v>2.9413107023901874E-2</v>
          </cell>
          <cell r="BD163">
            <v>-0.18033451719473348</v>
          </cell>
          <cell r="BE163">
            <v>-6.7802343563854173E-2</v>
          </cell>
          <cell r="BF163">
            <v>-0.19542029492576318</v>
          </cell>
          <cell r="BG163">
            <v>-0.16448767241573303</v>
          </cell>
        </row>
        <row r="165">
          <cell r="A165" t="str">
            <v>LEVOTHYROXINE</v>
          </cell>
        </row>
        <row r="166">
          <cell r="A166" t="str">
            <v>TRx</v>
          </cell>
          <cell r="AH166">
            <v>14538</v>
          </cell>
          <cell r="AI166">
            <v>21453</v>
          </cell>
          <cell r="AJ166">
            <v>32292</v>
          </cell>
          <cell r="AK166">
            <v>68283</v>
          </cell>
          <cell r="AL166">
            <v>43807</v>
          </cell>
          <cell r="AM166">
            <v>57067</v>
          </cell>
          <cell r="AN166">
            <v>64520</v>
          </cell>
          <cell r="AO166">
            <v>165394</v>
          </cell>
          <cell r="AP166">
            <v>75242</v>
          </cell>
          <cell r="AQ166">
            <v>80620</v>
          </cell>
          <cell r="AR166">
            <v>86192</v>
          </cell>
          <cell r="AS166">
            <v>242054</v>
          </cell>
          <cell r="AT166">
            <v>92490</v>
          </cell>
          <cell r="AU166">
            <v>91350</v>
          </cell>
          <cell r="AV166">
            <v>102596</v>
          </cell>
          <cell r="AW166">
            <v>286436</v>
          </cell>
          <cell r="AX166">
            <v>104084</v>
          </cell>
          <cell r="AY166">
            <v>100273</v>
          </cell>
          <cell r="AZ166">
            <v>112277</v>
          </cell>
          <cell r="BA166">
            <v>316634</v>
          </cell>
          <cell r="BB166">
            <v>112189</v>
          </cell>
          <cell r="BC166">
            <v>113422</v>
          </cell>
          <cell r="BD166">
            <v>122780</v>
          </cell>
          <cell r="BE166">
            <v>348391</v>
          </cell>
          <cell r="BF166">
            <v>195579</v>
          </cell>
          <cell r="BG166">
            <v>274320</v>
          </cell>
          <cell r="BH166">
            <v>319346</v>
          </cell>
          <cell r="BI166">
            <v>789245</v>
          </cell>
        </row>
        <row r="167">
          <cell r="A167" t="str">
            <v xml:space="preserve">  % Change</v>
          </cell>
          <cell r="AS167">
            <v>0</v>
          </cell>
          <cell r="AW167">
            <v>0</v>
          </cell>
          <cell r="AX167">
            <v>6.1594442151602697</v>
          </cell>
          <cell r="AY167">
            <v>3.6740782174987183</v>
          </cell>
          <cell r="AZ167">
            <v>2.4769292704075312</v>
          </cell>
          <cell r="BA167">
            <v>3.6370839008245097</v>
          </cell>
          <cell r="BB167">
            <v>1.5609834044787361</v>
          </cell>
          <cell r="BC167">
            <v>0.98752343736309944</v>
          </cell>
          <cell r="BD167">
            <v>0.90297582145071287</v>
          </cell>
          <cell r="BE167">
            <v>1.1064307048623285</v>
          </cell>
          <cell r="BF167">
            <v>1.5993328194359533</v>
          </cell>
          <cell r="BG167">
            <v>2.4026296204415778</v>
          </cell>
          <cell r="BH167">
            <v>2.7050538333023946</v>
          </cell>
          <cell r="BI167">
            <v>2.2606153998694505</v>
          </cell>
        </row>
        <row r="168">
          <cell r="A168" t="str">
            <v>NRx</v>
          </cell>
          <cell r="AH168">
            <v>12565</v>
          </cell>
          <cell r="AI168">
            <v>14305</v>
          </cell>
          <cell r="AJ168">
            <v>17952</v>
          </cell>
          <cell r="AK168">
            <v>44822</v>
          </cell>
          <cell r="AL168">
            <v>21642</v>
          </cell>
          <cell r="AM168">
            <v>25169</v>
          </cell>
          <cell r="AN168">
            <v>25349</v>
          </cell>
          <cell r="AO168">
            <v>72160</v>
          </cell>
          <cell r="AP168">
            <v>27980</v>
          </cell>
          <cell r="AQ168">
            <v>27885</v>
          </cell>
          <cell r="AR168">
            <v>29291</v>
          </cell>
          <cell r="AS168">
            <v>85156</v>
          </cell>
          <cell r="AT168">
            <v>32583</v>
          </cell>
          <cell r="AU168">
            <v>29951</v>
          </cell>
          <cell r="AV168">
            <v>34020</v>
          </cell>
          <cell r="AW168">
            <v>96554</v>
          </cell>
          <cell r="AX168">
            <v>35128</v>
          </cell>
          <cell r="AY168">
            <v>34441</v>
          </cell>
          <cell r="AZ168">
            <v>38372</v>
          </cell>
          <cell r="BA168">
            <v>107941</v>
          </cell>
          <cell r="BB168">
            <v>37258</v>
          </cell>
          <cell r="BC168">
            <v>35916</v>
          </cell>
          <cell r="BD168">
            <v>39927</v>
          </cell>
          <cell r="BE168">
            <v>113101</v>
          </cell>
          <cell r="BF168">
            <v>68541</v>
          </cell>
          <cell r="BG168">
            <v>96856</v>
          </cell>
          <cell r="BH168">
            <v>110135</v>
          </cell>
          <cell r="BI168">
            <v>275532</v>
          </cell>
        </row>
        <row r="169">
          <cell r="A169" t="str">
            <v xml:space="preserve">  % Change</v>
          </cell>
          <cell r="AS169">
            <v>0</v>
          </cell>
          <cell r="AW169">
            <v>0</v>
          </cell>
          <cell r="AX169">
            <v>1.7957023477914844</v>
          </cell>
          <cell r="AY169">
            <v>1.4076197133869277</v>
          </cell>
          <cell r="AZ169">
            <v>1.1374777183600715</v>
          </cell>
          <cell r="BA169">
            <v>1.4082147159876848</v>
          </cell>
          <cell r="BB169">
            <v>0.72155992976619543</v>
          </cell>
          <cell r="BC169">
            <v>0.42699352377925215</v>
          </cell>
          <cell r="BD169">
            <v>0.57509171959446137</v>
          </cell>
          <cell r="BE169">
            <v>0.56736419068736144</v>
          </cell>
          <cell r="BF169">
            <v>1.4496426018584705</v>
          </cell>
          <cell r="BG169">
            <v>2.473408642639412</v>
          </cell>
          <cell r="BH169">
            <v>2.7600286777508449</v>
          </cell>
          <cell r="BI169">
            <v>2.2356146366668233</v>
          </cell>
        </row>
        <row r="170">
          <cell r="A170" t="str">
            <v>Sales (IMS)</v>
          </cell>
          <cell r="AH170">
            <v>0.46741500000000002</v>
          </cell>
          <cell r="AI170">
            <v>0.22900799999999999</v>
          </cell>
          <cell r="AJ170">
            <v>0.29097600000000001</v>
          </cell>
          <cell r="AK170">
            <v>0.98739900000000003</v>
          </cell>
          <cell r="AL170">
            <v>0.27124500000000001</v>
          </cell>
          <cell r="AM170">
            <v>0.32124599999999998</v>
          </cell>
          <cell r="AN170">
            <v>0.46224300000000001</v>
          </cell>
          <cell r="AO170">
            <v>1.0547340000000001</v>
          </cell>
          <cell r="AP170">
            <v>0.38888600000000001</v>
          </cell>
          <cell r="AQ170">
            <v>0.44349300000000003</v>
          </cell>
          <cell r="AR170">
            <v>0.54052999999999995</v>
          </cell>
          <cell r="AS170">
            <v>1.3729089999999999</v>
          </cell>
          <cell r="AT170">
            <v>0.479547</v>
          </cell>
          <cell r="AU170">
            <v>0.56868300000000005</v>
          </cell>
          <cell r="AV170">
            <v>0.71693399999999996</v>
          </cell>
          <cell r="AW170">
            <v>1.765164</v>
          </cell>
          <cell r="AX170">
            <v>0.62396799999999997</v>
          </cell>
          <cell r="AY170">
            <v>0.66121600000000003</v>
          </cell>
          <cell r="AZ170">
            <v>0.80378899999999998</v>
          </cell>
          <cell r="BA170">
            <v>2.0889730000000002</v>
          </cell>
          <cell r="BB170">
            <v>0.65121600000000002</v>
          </cell>
          <cell r="BC170">
            <v>0.64977200000000002</v>
          </cell>
          <cell r="BD170">
            <v>0.95429900000000001</v>
          </cell>
          <cell r="BE170">
            <v>2.255287</v>
          </cell>
          <cell r="BF170">
            <v>1.300079</v>
          </cell>
          <cell r="BG170">
            <v>1.683047</v>
          </cell>
        </row>
        <row r="171">
          <cell r="A171" t="str">
            <v xml:space="preserve">  % Change</v>
          </cell>
          <cell r="AS171">
            <v>0</v>
          </cell>
          <cell r="AW171">
            <v>0</v>
          </cell>
          <cell r="AX171">
            <v>0.33493362429532625</v>
          </cell>
          <cell r="AY171">
            <v>1.8873052469782716</v>
          </cell>
          <cell r="AZ171">
            <v>1.7623893379522708</v>
          </cell>
          <cell r="BA171">
            <v>1.1156320798380395</v>
          </cell>
          <cell r="BB171">
            <v>1.4008405684897416</v>
          </cell>
          <cell r="BC171">
            <v>1.0226617607690058</v>
          </cell>
          <cell r="BD171">
            <v>1.0644963796098588</v>
          </cell>
          <cell r="BE171">
            <v>1.1382519194412999</v>
          </cell>
          <cell r="BF171">
            <v>2.3430851200608918</v>
          </cell>
          <cell r="BG171">
            <v>2.7949798531205676</v>
          </cell>
        </row>
        <row r="173">
          <cell r="A173" t="str">
            <v>TOTAL GENERICS2</v>
          </cell>
        </row>
        <row r="174">
          <cell r="A174" t="str">
            <v>TOTAL GENERICS TRx</v>
          </cell>
          <cell r="O174">
            <v>14347218</v>
          </cell>
          <cell r="P174">
            <v>14743679</v>
          </cell>
          <cell r="Q174">
            <v>44862291</v>
          </cell>
          <cell r="R174">
            <v>15587756</v>
          </cell>
          <cell r="S174">
            <v>14442562</v>
          </cell>
          <cell r="T174">
            <v>15642092</v>
          </cell>
          <cell r="U174">
            <v>45672410</v>
          </cell>
          <cell r="V174">
            <v>15916081</v>
          </cell>
          <cell r="W174">
            <v>16017445</v>
          </cell>
          <cell r="X174">
            <v>15056855</v>
          </cell>
          <cell r="Y174">
            <v>46990381</v>
          </cell>
          <cell r="Z174">
            <v>16152967</v>
          </cell>
          <cell r="AA174">
            <v>16106038</v>
          </cell>
          <cell r="AB174">
            <v>15514633</v>
          </cell>
          <cell r="AC174">
            <v>47773638</v>
          </cell>
          <cell r="AD174">
            <v>16272115</v>
          </cell>
          <cell r="AE174">
            <v>15404483</v>
          </cell>
          <cell r="AF174">
            <v>16355230</v>
          </cell>
          <cell r="AG174">
            <v>48031828</v>
          </cell>
          <cell r="AH174">
            <v>16179336</v>
          </cell>
          <cell r="AI174">
            <v>14701651</v>
          </cell>
          <cell r="AJ174">
            <v>16209491</v>
          </cell>
          <cell r="AK174">
            <v>47090478</v>
          </cell>
          <cell r="AL174">
            <v>15958193</v>
          </cell>
          <cell r="AM174">
            <v>16435505</v>
          </cell>
          <cell r="AN174">
            <v>16055948</v>
          </cell>
          <cell r="AO174">
            <v>48449646</v>
          </cell>
          <cell r="AP174">
            <v>16515341</v>
          </cell>
          <cell r="AQ174">
            <v>16105759</v>
          </cell>
          <cell r="AR174">
            <v>16246571</v>
          </cell>
          <cell r="AS174">
            <v>48867671</v>
          </cell>
          <cell r="AT174">
            <v>16954529</v>
          </cell>
          <cell r="AU174">
            <v>15792540</v>
          </cell>
          <cell r="AV174">
            <v>17302263</v>
          </cell>
          <cell r="AW174">
            <v>50049332</v>
          </cell>
          <cell r="AX174">
            <v>16779552</v>
          </cell>
          <cell r="AY174">
            <v>15672313</v>
          </cell>
          <cell r="AZ174">
            <v>17286257</v>
          </cell>
          <cell r="BA174">
            <v>49738122</v>
          </cell>
          <cell r="BB174">
            <v>16588023</v>
          </cell>
          <cell r="BC174">
            <v>16340266</v>
          </cell>
          <cell r="BD174">
            <v>16941740</v>
          </cell>
          <cell r="BE174">
            <v>49870029</v>
          </cell>
          <cell r="BF174">
            <v>17056846</v>
          </cell>
          <cell r="BG174">
            <v>17455778</v>
          </cell>
          <cell r="BH174">
            <v>17216353</v>
          </cell>
          <cell r="BI174">
            <v>51728977</v>
          </cell>
        </row>
        <row r="175">
          <cell r="A175" t="str">
            <v xml:space="preserve">  % Change</v>
          </cell>
          <cell r="AG175">
            <v>7.0650359786574413E-2</v>
          </cell>
          <cell r="AH175">
            <v>3.7951581998076023E-2</v>
          </cell>
          <cell r="AI175">
            <v>1.7939268669921571E-2</v>
          </cell>
          <cell r="AJ175">
            <v>3.6273856463700627E-2</v>
          </cell>
          <cell r="AK175">
            <v>3.1048679060290407E-2</v>
          </cell>
          <cell r="AL175">
            <v>2.645877461920465E-3</v>
          </cell>
          <cell r="AM175">
            <v>2.6100292524806612E-2</v>
          </cell>
          <cell r="AN175">
            <v>6.6354693593051239E-2</v>
          </cell>
          <cell r="AO175">
            <v>3.1054547099756524E-2</v>
          </cell>
          <cell r="AP175">
            <v>2.2433897128620428E-2</v>
          </cell>
          <cell r="AQ175">
            <v>-1.7322695997634696E-5</v>
          </cell>
          <cell r="AR175">
            <v>4.7177268066863176E-2</v>
          </cell>
          <cell r="AS175">
            <v>2.2900349351665517E-2</v>
          </cell>
          <cell r="AT175">
            <v>4.193763379867943E-2</v>
          </cell>
          <cell r="AU175">
            <v>2.5191173244827558E-2</v>
          </cell>
          <cell r="AV175">
            <v>5.7903985452971263E-2</v>
          </cell>
          <cell r="AW175">
            <v>4.2003481524792274E-2</v>
          </cell>
          <cell r="AX175">
            <v>3.7097690535631278E-2</v>
          </cell>
          <cell r="AY175">
            <v>6.6024013221372302E-2</v>
          </cell>
          <cell r="AZ175">
            <v>6.6428119180300005E-2</v>
          </cell>
          <cell r="BA175">
            <v>5.6224615090974428E-2</v>
          </cell>
          <cell r="BB175">
            <v>3.946750111369135E-2</v>
          </cell>
          <cell r="BC175">
            <v>-5.7947109017946197E-3</v>
          </cell>
          <cell r="BD175">
            <v>5.5169087493307734E-2</v>
          </cell>
          <cell r="BE175">
            <v>2.9316684790638092E-2</v>
          </cell>
          <cell r="BF175">
            <v>3.2787999957130776E-2</v>
          </cell>
          <cell r="BG175">
            <v>8.3822128469698276E-2</v>
          </cell>
          <cell r="BH175">
            <v>5.9691488130018344E-2</v>
          </cell>
          <cell r="BI175">
            <v>5.8552125391856613E-2</v>
          </cell>
        </row>
        <row r="177">
          <cell r="A177" t="str">
            <v xml:space="preserve">TOTAL GENERICS REPORTED SALES </v>
          </cell>
          <cell r="I177">
            <v>209.822</v>
          </cell>
          <cell r="M177">
            <v>252.81700000000001</v>
          </cell>
          <cell r="Q177">
            <v>261.334</v>
          </cell>
          <cell r="U177">
            <v>247.101</v>
          </cell>
          <cell r="Y177">
            <v>235.64500000000001</v>
          </cell>
          <cell r="AC177">
            <v>274.28100000000001</v>
          </cell>
          <cell r="AG177">
            <v>253.88800000000001</v>
          </cell>
          <cell r="AK177">
            <v>248.803</v>
          </cell>
          <cell r="AO177">
            <v>255.22800000000001</v>
          </cell>
          <cell r="AS177">
            <v>299.5</v>
          </cell>
          <cell r="AW177">
            <v>277.39999999999998</v>
          </cell>
          <cell r="BA177">
            <v>264</v>
          </cell>
          <cell r="BE177">
            <v>267.70400000000001</v>
          </cell>
          <cell r="BI177">
            <v>262</v>
          </cell>
        </row>
        <row r="178">
          <cell r="A178" t="str">
            <v xml:space="preserve">  % Change</v>
          </cell>
          <cell r="Y178">
            <v>0.12307098397689464</v>
          </cell>
          <cell r="AC178">
            <v>8.4899354078246336E-2</v>
          </cell>
          <cell r="AG178">
            <v>-2.8492274254402372E-2</v>
          </cell>
          <cell r="AK178">
            <v>6.8878717609397455E-3</v>
          </cell>
          <cell r="AO178">
            <v>8.3103821426298019E-2</v>
          </cell>
          <cell r="AS178">
            <v>9.1945851152650082E-2</v>
          </cell>
          <cell r="AW178">
            <v>9.2607764053440844E-2</v>
          </cell>
          <cell r="BA178">
            <v>6.1080453209969354E-2</v>
          </cell>
          <cell r="BE178">
            <v>4.888178413026778E-2</v>
          </cell>
          <cell r="BI178">
            <v>-0.12520868113522543</v>
          </cell>
        </row>
        <row r="180">
          <cell r="A180" t="str">
            <v xml:space="preserve">TOTAL GENERICS SALES (IMS) </v>
          </cell>
          <cell r="O180">
            <v>164.59430700000001</v>
          </cell>
          <cell r="P180">
            <v>167.846283</v>
          </cell>
          <cell r="Q180">
            <v>465.91972599999997</v>
          </cell>
          <cell r="R180">
            <v>142.46875699999998</v>
          </cell>
          <cell r="S180">
            <v>141.523291</v>
          </cell>
          <cell r="T180">
            <v>171.69214099999999</v>
          </cell>
          <cell r="U180">
            <v>455.68418899999995</v>
          </cell>
          <cell r="V180">
            <v>132.87608699999998</v>
          </cell>
          <cell r="W180">
            <v>131.334642</v>
          </cell>
          <cell r="X180">
            <v>166.293837</v>
          </cell>
          <cell r="Y180">
            <v>430.50456600000001</v>
          </cell>
          <cell r="Z180">
            <v>150.2962</v>
          </cell>
          <cell r="AA180">
            <v>152.63815099999999</v>
          </cell>
          <cell r="AB180">
            <v>188.14895000000001</v>
          </cell>
          <cell r="AC180">
            <v>491.08330100000006</v>
          </cell>
          <cell r="AD180">
            <v>147.60971000000001</v>
          </cell>
          <cell r="AE180">
            <v>145.49499499999999</v>
          </cell>
          <cell r="AF180">
            <v>183.33362299999999</v>
          </cell>
          <cell r="AG180">
            <v>476.43832799999996</v>
          </cell>
          <cell r="AH180">
            <v>150.302211</v>
          </cell>
          <cell r="AI180">
            <v>152.97027100000003</v>
          </cell>
          <cell r="AJ180">
            <v>191.64644200000001</v>
          </cell>
          <cell r="AK180">
            <v>494.918924</v>
          </cell>
          <cell r="AL180">
            <v>109.769638</v>
          </cell>
          <cell r="AM180">
            <v>112.26952799999999</v>
          </cell>
          <cell r="AN180">
            <v>148.034436</v>
          </cell>
          <cell r="AO180">
            <v>370.07360199999999</v>
          </cell>
          <cell r="AP180">
            <v>112.42732299999999</v>
          </cell>
          <cell r="AQ180">
            <v>122.80120500000001</v>
          </cell>
          <cell r="AR180">
            <v>166.68347200000002</v>
          </cell>
          <cell r="AS180">
            <v>401.91199999999998</v>
          </cell>
          <cell r="AT180">
            <v>133.41502800000001</v>
          </cell>
          <cell r="AU180">
            <v>139.41380799999999</v>
          </cell>
          <cell r="AV180">
            <v>165.64555100000001</v>
          </cell>
          <cell r="AW180">
            <v>438.47438699999998</v>
          </cell>
          <cell r="AX180">
            <v>128.36661700000002</v>
          </cell>
          <cell r="AY180">
            <v>132.45826</v>
          </cell>
          <cell r="AZ180">
            <v>166.05970399999998</v>
          </cell>
          <cell r="BA180">
            <v>426.88458100000003</v>
          </cell>
          <cell r="BB180">
            <v>131.45723199999998</v>
          </cell>
          <cell r="BC180">
            <v>130.65518399999999</v>
          </cell>
          <cell r="BD180">
            <v>153.69742100000002</v>
          </cell>
          <cell r="BE180">
            <v>415.80983700000002</v>
          </cell>
          <cell r="BF180">
            <v>116.72831499999999</v>
          </cell>
          <cell r="BG180">
            <v>120.618324</v>
          </cell>
        </row>
        <row r="181">
          <cell r="A181" t="str">
            <v xml:space="preserve">  % Change</v>
          </cell>
          <cell r="AG181">
            <v>2.2575996277951038E-2</v>
          </cell>
          <cell r="AH181">
            <v>5.4983662137236378E-2</v>
          </cell>
          <cell r="AI181">
            <v>8.0884071583666284E-2</v>
          </cell>
          <cell r="AJ181">
            <v>0.11622140002319625</v>
          </cell>
          <cell r="AK181">
            <v>8.6100716125571131E-2</v>
          </cell>
          <cell r="AL181">
            <v>-0.17389471289894309</v>
          </cell>
          <cell r="AM181">
            <v>-0.1451643961537582</v>
          </cell>
          <cell r="AN181">
            <v>-0.10980203072709183</v>
          </cell>
          <cell r="AO181">
            <v>-0.14037241128819999</v>
          </cell>
          <cell r="AP181">
            <v>-0.25196163974870966</v>
          </cell>
          <cell r="AQ181">
            <v>-0.19547502249290205</v>
          </cell>
          <cell r="AR181">
            <v>-0.11408768425229043</v>
          </cell>
          <cell r="AS181">
            <v>-0.18158080476045357</v>
          </cell>
          <cell r="AT181">
            <v>-9.6163606039196159E-2</v>
          </cell>
          <cell r="AU181">
            <v>-4.1796537399791611E-2</v>
          </cell>
          <cell r="AV181">
            <v>-9.6480240288493002E-2</v>
          </cell>
          <cell r="AW181">
            <v>-7.9682802093957394E-2</v>
          </cell>
          <cell r="AX181">
            <v>-0.14594325561850841</v>
          </cell>
          <cell r="AY181">
            <v>-0.13409148631239609</v>
          </cell>
          <cell r="AZ181">
            <v>-0.13351011233487975</v>
          </cell>
          <cell r="BA181">
            <v>-0.13746563265380407</v>
          </cell>
          <cell r="BB181">
            <v>0.19757370430610299</v>
          </cell>
          <cell r="BC181">
            <v>0.16376354588397302</v>
          </cell>
          <cell r="BD181">
            <v>3.8254511267905356E-2</v>
          </cell>
          <cell r="BE181">
            <v>0.12358686151302423</v>
          </cell>
          <cell r="BF181">
            <v>3.8255753897119993E-2</v>
          </cell>
          <cell r="BG181">
            <v>-1.7775729480830504E-2</v>
          </cell>
        </row>
        <row r="183">
          <cell r="A183" t="str">
            <v>REPORTED SALES/TRx GENERICS</v>
          </cell>
          <cell r="Q183">
            <v>5.5079888809066837</v>
          </cell>
          <cell r="U183">
            <v>5.1594606021447085</v>
          </cell>
          <cell r="Y183">
            <v>5.8369605473086077</v>
          </cell>
          <cell r="AC183">
            <v>5.3143953575400724</v>
          </cell>
          <cell r="AD183">
            <v>0</v>
          </cell>
          <cell r="AE183">
            <v>0</v>
          </cell>
          <cell r="AF183">
            <v>0</v>
          </cell>
          <cell r="AG183">
            <v>5.2858283886259754</v>
          </cell>
          <cell r="AH183">
            <v>0</v>
          </cell>
          <cell r="AI183">
            <v>0</v>
          </cell>
          <cell r="AJ183">
            <v>0</v>
          </cell>
          <cell r="AK183">
            <v>5.2835097575352705</v>
          </cell>
          <cell r="AL183">
            <v>0</v>
          </cell>
          <cell r="AM183">
            <v>0</v>
          </cell>
          <cell r="AN183">
            <v>0</v>
          </cell>
          <cell r="AO183">
            <v>5.2679022670258515</v>
          </cell>
          <cell r="AS183">
            <v>6.1287962751488605</v>
          </cell>
          <cell r="AW183">
            <v>5.5425315167043587</v>
          </cell>
          <cell r="BA183">
            <v>5.3077999205518855</v>
          </cell>
          <cell r="BE183">
            <v>5.368033774353731</v>
          </cell>
          <cell r="BI183">
            <v>5.0648594887155802</v>
          </cell>
        </row>
        <row r="184">
          <cell r="A184" t="str">
            <v>IMS SALES/REPORTED SALES</v>
          </cell>
          <cell r="Q184">
            <v>1.7828515462970755</v>
          </cell>
          <cell r="U184">
            <v>1.8441211852643249</v>
          </cell>
          <cell r="Y184">
            <v>1.8269200110335462</v>
          </cell>
          <cell r="AC184">
            <v>1.7904386413933158</v>
          </cell>
          <cell r="AG184">
            <v>1.8765689122762792</v>
          </cell>
          <cell r="AK184">
            <v>1.9891999855307212</v>
          </cell>
          <cell r="AO184">
            <v>1.4499725813782187</v>
          </cell>
          <cell r="AS184">
            <v>1.3419432387312187</v>
          </cell>
          <cell r="AW184">
            <v>1.5806574873828407</v>
          </cell>
          <cell r="BA184">
            <v>1.6169870492424243</v>
          </cell>
          <cell r="BE184">
            <v>1.5532447666078952</v>
          </cell>
        </row>
        <row r="186">
          <cell r="A186" t="str">
            <v>TRx MYL PRODUCTS</v>
          </cell>
          <cell r="B186">
            <v>15047768</v>
          </cell>
          <cell r="C186">
            <v>13694752</v>
          </cell>
          <cell r="D186">
            <v>15254965</v>
          </cell>
          <cell r="E186">
            <v>43997485</v>
          </cell>
          <cell r="F186">
            <v>14771519</v>
          </cell>
          <cell r="G186">
            <v>15616313</v>
          </cell>
          <cell r="H186">
            <v>14910954</v>
          </cell>
          <cell r="I186">
            <v>45298786</v>
          </cell>
          <cell r="J186">
            <v>15433325</v>
          </cell>
          <cell r="K186">
            <v>15495672</v>
          </cell>
          <cell r="L186">
            <v>14260005</v>
          </cell>
          <cell r="M186">
            <v>45189002</v>
          </cell>
          <cell r="N186">
            <v>15771394</v>
          </cell>
          <cell r="O186">
            <v>15177258</v>
          </cell>
          <cell r="P186">
            <v>15619463</v>
          </cell>
          <cell r="Q186">
            <v>46568115</v>
          </cell>
          <cell r="R186">
            <v>16558862</v>
          </cell>
          <cell r="S186">
            <v>15358347</v>
          </cell>
          <cell r="T186">
            <v>16644921</v>
          </cell>
          <cell r="U186">
            <v>48562130</v>
          </cell>
          <cell r="V186">
            <v>16946884</v>
          </cell>
          <cell r="W186">
            <v>17060118</v>
          </cell>
          <cell r="X186">
            <v>16046752</v>
          </cell>
          <cell r="Y186">
            <v>50053754</v>
          </cell>
          <cell r="Z186">
            <v>17235926</v>
          </cell>
          <cell r="AA186">
            <v>17183730</v>
          </cell>
          <cell r="AB186">
            <v>16574968</v>
          </cell>
          <cell r="AC186">
            <v>50994624</v>
          </cell>
          <cell r="AD186">
            <v>17418587</v>
          </cell>
          <cell r="AE186">
            <v>16502480</v>
          </cell>
          <cell r="AF186">
            <v>17539617</v>
          </cell>
          <cell r="AG186">
            <v>51460684</v>
          </cell>
          <cell r="AH186">
            <v>17394906</v>
          </cell>
          <cell r="AI186">
            <v>15810714</v>
          </cell>
          <cell r="AJ186">
            <v>17420360</v>
          </cell>
          <cell r="AK186">
            <v>50625980</v>
          </cell>
          <cell r="AL186">
            <v>17135284</v>
          </cell>
          <cell r="AM186">
            <v>17624337</v>
          </cell>
          <cell r="AN186">
            <v>17198816</v>
          </cell>
          <cell r="AO186">
            <v>51958437</v>
          </cell>
          <cell r="AP186">
            <v>17672222</v>
          </cell>
          <cell r="AQ186">
            <v>17202369</v>
          </cell>
          <cell r="AR186">
            <v>17305171</v>
          </cell>
          <cell r="AS186">
            <v>52179762</v>
          </cell>
          <cell r="AT186">
            <v>18022818</v>
          </cell>
          <cell r="AU186">
            <v>16770639</v>
          </cell>
          <cell r="AV186">
            <v>18386221</v>
          </cell>
          <cell r="AW186">
            <v>53179678</v>
          </cell>
          <cell r="AX186">
            <v>17843891</v>
          </cell>
          <cell r="AY186">
            <v>16646412</v>
          </cell>
          <cell r="AZ186">
            <v>18361912</v>
          </cell>
          <cell r="BA186">
            <v>52852215</v>
          </cell>
          <cell r="BB186">
            <v>17604366</v>
          </cell>
          <cell r="BC186">
            <v>17335753</v>
          </cell>
          <cell r="BD186">
            <v>17951177</v>
          </cell>
          <cell r="BE186">
            <v>52891296</v>
          </cell>
          <cell r="BF186">
            <v>18062646</v>
          </cell>
          <cell r="BG186">
            <v>18468066</v>
          </cell>
          <cell r="BH186">
            <v>18206086</v>
          </cell>
          <cell r="BI186">
            <v>54736798</v>
          </cell>
        </row>
        <row r="187">
          <cell r="A187" t="str">
            <v xml:space="preserve">  % Change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0.10041980976846543</v>
          </cell>
          <cell r="S187">
            <v>0.12147682557522765</v>
          </cell>
          <cell r="T187">
            <v>9.1114991086508557E-2</v>
          </cell>
          <cell r="U187">
            <v>0.10374786195165475</v>
          </cell>
          <cell r="V187">
            <v>0.1472675220469879</v>
          </cell>
          <cell r="W187">
            <v>9.2454921978062377E-2</v>
          </cell>
          <cell r="X187">
            <v>7.6172054450707849E-2</v>
          </cell>
          <cell r="Y187">
            <v>0.10496899409180638</v>
          </cell>
          <cell r="Z187">
            <v>0.11679926393048801</v>
          </cell>
          <cell r="AA187">
            <v>0.10893738587135804</v>
          </cell>
          <cell r="AB187">
            <v>0.16233956439706709</v>
          </cell>
          <cell r="AC187">
            <v>0.12847422476823001</v>
          </cell>
          <cell r="AD187">
            <v>0.10444181408441122</v>
          </cell>
          <cell r="AE187">
            <v>8.7316299162865985E-2</v>
          </cell>
          <cell r="AF187">
            <v>0.12293341967006155</v>
          </cell>
          <cell r="AG187">
            <v>0.10506263781559544</v>
          </cell>
          <cell r="AH187">
            <v>5.0489218401602809E-2</v>
          </cell>
          <cell r="AI187">
            <v>2.9454146334888742E-2</v>
          </cell>
          <cell r="AJ187">
            <v>4.6587124084277676E-2</v>
          </cell>
          <cell r="AK187">
            <v>4.2499165502007497E-2</v>
          </cell>
          <cell r="AL187">
            <v>1.1117087955520244E-2</v>
          </cell>
          <cell r="AM187">
            <v>3.3072397271812548E-2</v>
          </cell>
          <cell r="AN187">
            <v>7.1794217297058038E-2</v>
          </cell>
          <cell r="AO187">
            <v>3.8052750249262024E-2</v>
          </cell>
          <cell r="AP187">
            <v>2.5313174354542944E-2</v>
          </cell>
          <cell r="AQ187">
            <v>1.0846888306554892E-3</v>
          </cell>
          <cell r="AR187">
            <v>4.4054564690562348E-2</v>
          </cell>
          <cell r="AS187">
            <v>2.3240449816827713E-2</v>
          </cell>
          <cell r="AT187">
            <v>3.4688864257473861E-2</v>
          </cell>
          <cell r="AU187">
            <v>1.6249618239198016E-2</v>
          </cell>
          <cell r="AV187">
            <v>4.8268100723065865E-2</v>
          </cell>
          <cell r="AW187">
            <v>3.3404025488662281E-2</v>
          </cell>
          <cell r="AX187">
            <v>2.5811292110460293E-2</v>
          </cell>
          <cell r="AY187">
            <v>5.2856436464539192E-2</v>
          </cell>
          <cell r="AZ187">
            <v>5.4048940435214909E-2</v>
          </cell>
          <cell r="BA187">
            <v>4.3974161092782849E-2</v>
          </cell>
          <cell r="BB187">
            <v>2.7375210121991511E-2</v>
          </cell>
          <cell r="BC187">
            <v>-1.6374176231423676E-2</v>
          </cell>
          <cell r="BD187">
            <v>4.3744929883545502E-2</v>
          </cell>
          <cell r="BE187">
            <v>1.7953946536151566E-2</v>
          </cell>
          <cell r="BF187">
            <v>2.2092524641213807E-2</v>
          </cell>
          <cell r="BG187">
            <v>7.3576900948933321E-2</v>
          </cell>
          <cell r="BH187">
            <v>5.206045060173059E-2</v>
          </cell>
          <cell r="BI187">
            <v>4.9004363032548959E-2</v>
          </cell>
        </row>
        <row r="188">
          <cell r="A188" t="str">
            <v xml:space="preserve">TOTAL MYL REPORTED SALES </v>
          </cell>
          <cell r="I188">
            <v>237.93299999999999</v>
          </cell>
          <cell r="M188">
            <v>286.32799999999997</v>
          </cell>
          <cell r="Q188">
            <v>297.19099999999997</v>
          </cell>
          <cell r="U188">
            <v>282.59800000000001</v>
          </cell>
          <cell r="Y188">
            <v>275.47300000000001</v>
          </cell>
          <cell r="AC188">
            <v>319.53899999999999</v>
          </cell>
          <cell r="AG188">
            <v>320.49400000000003</v>
          </cell>
          <cell r="AK188">
            <v>353.68599999999998</v>
          </cell>
          <cell r="AO188">
            <v>331.4</v>
          </cell>
          <cell r="AS188">
            <v>360.1</v>
          </cell>
          <cell r="AW188">
            <v>336.6</v>
          </cell>
          <cell r="BA188">
            <v>333.4</v>
          </cell>
          <cell r="BE188">
            <v>339.012</v>
          </cell>
          <cell r="BI188">
            <v>335</v>
          </cell>
        </row>
        <row r="189">
          <cell r="A189" t="str">
            <v xml:space="preserve">  % Change</v>
          </cell>
          <cell r="Y189">
            <v>0.15777550823130881</v>
          </cell>
          <cell r="AC189">
            <v>0.11598935486574846</v>
          </cell>
          <cell r="AG189">
            <v>7.8410853626119437E-2</v>
          </cell>
          <cell r="AK189">
            <v>0.25155167410951229</v>
          </cell>
          <cell r="AO189">
            <v>0.20302171174670458</v>
          </cell>
          <cell r="AS189">
            <v>0.12693599216371099</v>
          </cell>
          <cell r="AW189">
            <v>5.0253670895554992E-2</v>
          </cell>
          <cell r="BA189">
            <v>-5.735595980615571E-2</v>
          </cell>
          <cell r="BE189">
            <v>2.2969221484610891E-2</v>
          </cell>
          <cell r="BI189">
            <v>-6.9702860316578796E-2</v>
          </cell>
        </row>
        <row r="190">
          <cell r="A190" t="str">
            <v>TOTAL MYL SALES (IMS)</v>
          </cell>
          <cell r="B190">
            <v>112.046057</v>
          </cell>
          <cell r="C190">
            <v>109.953523</v>
          </cell>
          <cell r="D190">
            <v>142.57735400000001</v>
          </cell>
          <cell r="E190">
            <v>364.57693400000005</v>
          </cell>
          <cell r="F190">
            <v>125.84126500000001</v>
          </cell>
          <cell r="G190">
            <v>139.225504</v>
          </cell>
          <cell r="H190">
            <v>173.63313099999999</v>
          </cell>
          <cell r="I190">
            <v>438.69990000000001</v>
          </cell>
          <cell r="J190">
            <v>140.51745</v>
          </cell>
          <cell r="K190">
            <v>143.03333799999999</v>
          </cell>
          <cell r="L190">
            <v>174.529966</v>
          </cell>
          <cell r="M190">
            <v>458.08075400000001</v>
          </cell>
          <cell r="N190">
            <v>142.68661700000001</v>
          </cell>
          <cell r="O190">
            <v>173.61709400000001</v>
          </cell>
          <cell r="P190">
            <v>178.700298</v>
          </cell>
          <cell r="Q190">
            <v>495.004009</v>
          </cell>
          <cell r="R190">
            <v>151.47009199999999</v>
          </cell>
          <cell r="S190">
            <v>150.61255299999999</v>
          </cell>
          <cell r="T190">
            <v>183.39946</v>
          </cell>
          <cell r="U190">
            <v>485.48210499999993</v>
          </cell>
          <cell r="V190">
            <v>142.44382999999999</v>
          </cell>
          <cell r="W190">
            <v>141.04783800000001</v>
          </cell>
          <cell r="X190">
            <v>178.52989199999999</v>
          </cell>
          <cell r="Y190">
            <v>462.02156000000002</v>
          </cell>
          <cell r="Z190">
            <v>160.133083</v>
          </cell>
          <cell r="AA190">
            <v>162.55215999999999</v>
          </cell>
          <cell r="AB190">
            <v>200.92438100000001</v>
          </cell>
          <cell r="AC190">
            <v>523.60962400000005</v>
          </cell>
          <cell r="AD190">
            <v>157.66786999999999</v>
          </cell>
          <cell r="AE190">
            <v>155.60550799999999</v>
          </cell>
          <cell r="AF190">
            <v>207.25330099999999</v>
          </cell>
          <cell r="AG190">
            <v>520.52667899999994</v>
          </cell>
          <cell r="AH190">
            <v>170.263398</v>
          </cell>
          <cell r="AI190">
            <v>173.57232200000001</v>
          </cell>
          <cell r="AJ190">
            <v>221.74136100000001</v>
          </cell>
          <cell r="AK190">
            <v>565.57708100000002</v>
          </cell>
          <cell r="AL190">
            <v>137.441428</v>
          </cell>
          <cell r="AM190">
            <v>134.589563</v>
          </cell>
          <cell r="AN190">
            <v>172.45594299999999</v>
          </cell>
          <cell r="AO190">
            <v>444.48693399999996</v>
          </cell>
          <cell r="AP190">
            <v>130.26097999999999</v>
          </cell>
          <cell r="AQ190">
            <v>140.44395</v>
          </cell>
          <cell r="AR190">
            <v>187.72431900000001</v>
          </cell>
          <cell r="AS190">
            <v>458.42924900000003</v>
          </cell>
          <cell r="AT190">
            <v>150.93174300000001</v>
          </cell>
          <cell r="AU190">
            <v>157.657781</v>
          </cell>
          <cell r="AV190">
            <v>187.32320899999999</v>
          </cell>
          <cell r="AW190">
            <v>495.912733</v>
          </cell>
          <cell r="AX190">
            <v>146.36460400000001</v>
          </cell>
          <cell r="AY190">
            <v>150.45316700000001</v>
          </cell>
          <cell r="AZ190">
            <v>189.036328</v>
          </cell>
          <cell r="BA190">
            <v>485.85409900000002</v>
          </cell>
          <cell r="BB190">
            <v>149.18099599999999</v>
          </cell>
          <cell r="BC190">
            <v>148.26156</v>
          </cell>
          <cell r="BD190">
            <v>174.643506</v>
          </cell>
          <cell r="BE190">
            <v>472.08606199999997</v>
          </cell>
          <cell r="BF190">
            <v>132.637867</v>
          </cell>
          <cell r="BG190">
            <v>137.07467800000001</v>
          </cell>
        </row>
        <row r="191">
          <cell r="A191" t="str">
            <v xml:space="preserve">  % Change</v>
          </cell>
          <cell r="Y191">
            <v>5.3160850959847572E-2</v>
          </cell>
          <cell r="AC191">
            <v>0.14305091280914195</v>
          </cell>
          <cell r="AG191">
            <v>5.1560531906722273E-2</v>
          </cell>
          <cell r="AK191">
            <v>0.16498028490669103</v>
          </cell>
          <cell r="AO191">
            <v>-3.7951964839043617E-2</v>
          </cell>
          <cell r="AP191">
            <v>-0.18654548104841029</v>
          </cell>
          <cell r="AQ191">
            <v>-0.13600686696504061</v>
          </cell>
          <cell r="AR191">
            <v>-6.5696666249776881E-2</v>
          </cell>
          <cell r="AS191">
            <v>-0.1244827673373704</v>
          </cell>
          <cell r="AT191">
            <v>-4.2723523822577048E-2</v>
          </cell>
          <cell r="AU191">
            <v>1.3188948298668235E-2</v>
          </cell>
          <cell r="AV191">
            <v>-9.6162965336798245E-2</v>
          </cell>
          <cell r="AW191">
            <v>-4.7286617560672539E-2</v>
          </cell>
          <cell r="AX191">
            <v>-0.14036366171900305</v>
          </cell>
          <cell r="AY191">
            <v>-0.13319609217418893</v>
          </cell>
          <cell r="AZ191">
            <v>-0.14749180239765924</v>
          </cell>
          <cell r="BA191">
            <v>-0.1409586503382374</v>
          </cell>
          <cell r="BB191">
            <v>8.5415061316155727E-2</v>
          </cell>
          <cell r="BC191">
            <v>0.10158289168380774</v>
          </cell>
          <cell r="BD191">
            <v>1.2684764363267043E-2</v>
          </cell>
          <cell r="BE191">
            <v>6.2092101901920049E-2</v>
          </cell>
          <cell r="BF191">
            <v>1.8247114369936535E-2</v>
          </cell>
          <cell r="BG191">
            <v>-2.399015407926075E-2</v>
          </cell>
        </row>
        <row r="193">
          <cell r="A193" t="str">
            <v>REPORTED SALES/TRx</v>
          </cell>
          <cell r="I193">
            <v>5.2525248689887629</v>
          </cell>
          <cell r="M193">
            <v>6.3362319884825062</v>
          </cell>
          <cell r="Q193">
            <v>6.3818559114965243</v>
          </cell>
          <cell r="U193">
            <v>5.8193081728499143</v>
          </cell>
          <cell r="Y193">
            <v>5.5035432507220143</v>
          </cell>
          <cell r="AC193">
            <v>6.2661311121737064</v>
          </cell>
          <cell r="AG193">
            <v>6.2279389834771735</v>
          </cell>
          <cell r="AK193">
            <v>6.9862548833622578</v>
          </cell>
          <cell r="AO193">
            <v>6.3781749246999091</v>
          </cell>
          <cell r="AS193">
            <v>6.9011430140290795</v>
          </cell>
          <cell r="AW193">
            <v>6.3294854850381013</v>
          </cell>
          <cell r="BA193">
            <v>6.3081556752162609</v>
          </cell>
          <cell r="BE193">
            <v>6.4095990387529929</v>
          </cell>
          <cell r="BI193">
            <v>6.1201972391589292</v>
          </cell>
        </row>
        <row r="194">
          <cell r="A194" t="str">
            <v>IMS SALES/REPORTED SALES</v>
          </cell>
          <cell r="I194">
            <v>1.8437959425552573</v>
          </cell>
          <cell r="M194">
            <v>1.5998461694280688</v>
          </cell>
          <cell r="Q194">
            <v>1.6656090157508137</v>
          </cell>
          <cell r="U194">
            <v>1.717924772999101</v>
          </cell>
          <cell r="Y194">
            <v>1.6771936269616261</v>
          </cell>
          <cell r="AC194">
            <v>1.6386407418186828</v>
          </cell>
          <cell r="AG194">
            <v>1.6241386078990556</v>
          </cell>
          <cell r="AK194">
            <v>1.5990937752695895</v>
          </cell>
          <cell r="AO194">
            <v>1.341239993964997</v>
          </cell>
          <cell r="AS194">
            <v>1.2730609525131908</v>
          </cell>
          <cell r="AW194">
            <v>1.4732998603683898</v>
          </cell>
          <cell r="BA194">
            <v>1.4572708428314338</v>
          </cell>
          <cell r="BE194">
            <v>1.3925349604143806</v>
          </cell>
        </row>
        <row r="195">
          <cell r="A195" t="str">
            <v>1.  Other Brands = Acticin + Digitek + Kristalose + Maxzide + Mentax + Nitrek.</v>
          </cell>
        </row>
        <row r="196">
          <cell r="A196" t="str">
            <v>2.  Total Generics = Total MYL Products - Amnesteem - Other Brands.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for comment"/>
      <sheetName val="iQ_Measure_Validations_Errors"/>
      <sheetName val="GeographicalBreakdown"/>
      <sheetName val="iQ_US_CoreIndustrials"/>
      <sheetName val="Model"/>
      <sheetName val="Sensitivity"/>
      <sheetName val="Balance Sheet (2)"/>
      <sheetName val="Cash Flows (2)"/>
      <sheetName val="balance sheet"/>
      <sheetName val="Reserves"/>
      <sheetName val="Well Stats"/>
      <sheetName val="APACMP"/>
      <sheetName val="Module1"/>
      <sheetName val="GAAP &amp; Comments"/>
      <sheetName val="Sheet1"/>
      <sheetName val="Gas Hedges"/>
      <sheetName val="Oil Hedges"/>
      <sheetName val="Qearn"/>
    </sheetNames>
    <sheetDataSet>
      <sheetData sheetId="0" refreshError="1"/>
      <sheetData sheetId="1" refreshError="1"/>
      <sheetData sheetId="2" refreshError="1"/>
      <sheetData sheetId="3" refreshError="1">
        <row r="21">
          <cell r="A21" t="str">
            <v>25193</v>
          </cell>
          <cell r="B21" t="str">
            <v>25193|C</v>
          </cell>
          <cell r="E21" t="str">
            <v>|-4142|1|NOTBLANK |</v>
          </cell>
          <cell r="F21" t="str">
            <v>Investment Rating</v>
          </cell>
          <cell r="G21" t="str">
            <v>2 - Neutral</v>
          </cell>
          <cell r="J21" t="str">
            <v>numeric</v>
          </cell>
          <cell r="K21" t="str">
            <v>actual</v>
          </cell>
          <cell r="Q21" t="str">
            <v/>
          </cell>
        </row>
        <row r="22">
          <cell r="A22" t="str">
            <v>25195</v>
          </cell>
          <cell r="B22" t="str">
            <v>25195|C</v>
          </cell>
          <cell r="F22" t="str">
            <v>Income Rating</v>
          </cell>
          <cell r="G22" t="str">
            <v>7 - Same / Higher</v>
          </cell>
          <cell r="J22" t="str">
            <v>numeric</v>
          </cell>
          <cell r="K22" t="str">
            <v>actual</v>
          </cell>
          <cell r="Q22" t="str">
            <v/>
          </cell>
        </row>
        <row r="23">
          <cell r="A23" t="str">
            <v>12763</v>
          </cell>
          <cell r="B23" t="str">
            <v>12763|C</v>
          </cell>
          <cell r="E23" t="str">
            <v>|-4142|1|NOTBLANK |</v>
          </cell>
          <cell r="F23" t="str">
            <v>Investment characteristics</v>
          </cell>
          <cell r="G23" t="str">
            <v>1 - Growth</v>
          </cell>
          <cell r="J23" t="str">
            <v>string</v>
          </cell>
          <cell r="K23" t="str">
            <v>actual</v>
          </cell>
          <cell r="Q23" t="str">
            <v/>
          </cell>
        </row>
        <row r="24">
          <cell r="A24" t="str">
            <v>12764</v>
          </cell>
          <cell r="B24" t="str">
            <v>12764|C</v>
          </cell>
          <cell r="F24" t="str">
            <v>Current 12-Month Price Objective</v>
          </cell>
          <cell r="G24">
            <v>112</v>
          </cell>
          <cell r="J24" t="str">
            <v/>
          </cell>
          <cell r="K24" t="str">
            <v>actual</v>
          </cell>
          <cell r="Q24" t="str">
            <v/>
          </cell>
        </row>
        <row r="25">
          <cell r="A25" t="str">
            <v>12765</v>
          </cell>
          <cell r="B25" t="str">
            <v>12765|C</v>
          </cell>
          <cell r="F25" t="str">
            <v>12 month price objective - base price</v>
          </cell>
          <cell r="G25">
            <v>89.44</v>
          </cell>
          <cell r="J25" t="str">
            <v/>
          </cell>
          <cell r="K25" t="str">
            <v>actual</v>
          </cell>
          <cell r="Q25" t="str">
            <v/>
          </cell>
        </row>
        <row r="26">
          <cell r="B26" t="str">
            <v>50639|CR4</v>
          </cell>
          <cell r="E26" t="str">
            <v>|37|28|= TRUE|</v>
          </cell>
          <cell r="F26" t="str">
            <v>STOCK_PRICE_OBJ_CHECK</v>
          </cell>
          <cell r="G26" t="str">
            <v>TRUE</v>
          </cell>
          <cell r="J26" t="str">
            <v/>
          </cell>
          <cell r="K26" t="str">
            <v>actual</v>
          </cell>
          <cell r="Q26" t="str">
            <v/>
          </cell>
        </row>
        <row r="27">
          <cell r="A27" t="str">
            <v>12901</v>
          </cell>
          <cell r="B27" t="str">
            <v>12901|C</v>
          </cell>
          <cell r="E27" t="str">
            <v>|-4142|3|&gt; 0|1|NOTBLANK |</v>
          </cell>
          <cell r="F27" t="str">
            <v>Current shares outstanding</v>
          </cell>
          <cell r="G27">
            <v>328.57799999999997</v>
          </cell>
          <cell r="J27" t="str">
            <v>numeric</v>
          </cell>
          <cell r="K27" t="str">
            <v>mm</v>
          </cell>
          <cell r="Q27" t="str">
            <v/>
          </cell>
        </row>
        <row r="28">
          <cell r="A28" t="str">
            <v>12771</v>
          </cell>
          <cell r="B28" t="str">
            <v>12771|C</v>
          </cell>
          <cell r="F28" t="str">
            <v>Market Cap</v>
          </cell>
          <cell r="G28">
            <v>23710.188479999997</v>
          </cell>
          <cell r="J28" t="str">
            <v/>
          </cell>
          <cell r="K28" t="str">
            <v>mm</v>
          </cell>
          <cell r="Q28" t="str">
            <v/>
          </cell>
        </row>
        <row r="29">
          <cell r="A29" t="str">
            <v/>
          </cell>
          <cell r="B29" t="str">
            <v/>
          </cell>
        </row>
        <row r="30">
          <cell r="A30" t="str">
            <v/>
          </cell>
          <cell r="F30" t="str">
            <v>Stock Price</v>
          </cell>
          <cell r="J30" t="str">
            <v/>
          </cell>
        </row>
        <row r="31">
          <cell r="B31" t="str">
            <v>19206|CR4</v>
          </cell>
          <cell r="F31" t="str">
            <v>Price</v>
          </cell>
          <cell r="G31">
            <v>72.16</v>
          </cell>
          <cell r="H31" t="str">
            <v>&lt;IQXL&gt;src=c@E4;NPRICE;</v>
          </cell>
          <cell r="J31" t="str">
            <v/>
          </cell>
          <cell r="K31" t="str">
            <v>actual</v>
          </cell>
          <cell r="Q31" t="str">
            <v/>
          </cell>
        </row>
        <row r="32">
          <cell r="F32" t="str">
            <v>Price Date</v>
          </cell>
          <cell r="G32">
            <v>38699</v>
          </cell>
          <cell r="H32" t="str">
            <v>&lt;IQXL&gt;src=c@E4;PRICEDATE;</v>
          </cell>
          <cell r="J32" t="str">
            <v>date</v>
          </cell>
          <cell r="K32" t="str">
            <v>actual</v>
          </cell>
          <cell r="Q32" t="str">
            <v/>
          </cell>
        </row>
        <row r="33">
          <cell r="F33" t="str">
            <v>Price Scaling Factor</v>
          </cell>
          <cell r="G33">
            <v>1</v>
          </cell>
          <cell r="J33" t="str">
            <v/>
          </cell>
          <cell r="Q33" t="str">
            <v/>
          </cell>
        </row>
        <row r="34">
          <cell r="B34" t="str">
            <v>50631|CR4</v>
          </cell>
          <cell r="E34" t="str">
            <v>|37|28|= TRUE|</v>
          </cell>
          <cell r="F34" t="str">
            <v>STOCK_PRICE_OBJ_CHECK</v>
          </cell>
          <cell r="G34" t="str">
            <v>TRUE</v>
          </cell>
          <cell r="J34" t="str">
            <v/>
          </cell>
          <cell r="K34" t="str">
            <v>actual</v>
          </cell>
          <cell r="Q34" t="str">
            <v/>
          </cell>
        </row>
        <row r="35">
          <cell r="B35" t="str">
            <v>50632|CR4</v>
          </cell>
          <cell r="E35" t="str">
            <v>|37|28|= TRUE|</v>
          </cell>
          <cell r="F35" t="str">
            <v>BASE_PRICE_OBJ_CHECK</v>
          </cell>
          <cell r="G35" t="str">
            <v>TRUE</v>
          </cell>
          <cell r="J35" t="str">
            <v/>
          </cell>
          <cell r="K35" t="str">
            <v>actual</v>
          </cell>
          <cell r="Q35" t="str">
            <v/>
          </cell>
        </row>
        <row r="36">
          <cell r="B36" t="str">
            <v>50638|CR4</v>
          </cell>
          <cell r="F36" t="str">
            <v>EQUITY_STOCK_PRICE_OBJ_CHECK</v>
          </cell>
          <cell r="G36" t="str">
            <v>TRUE</v>
          </cell>
          <cell r="J36" t="str">
            <v/>
          </cell>
          <cell r="K36" t="str">
            <v>actual</v>
          </cell>
          <cell r="Q36" t="str">
            <v/>
          </cell>
        </row>
        <row r="37">
          <cell r="A37" t="str">
            <v>50643</v>
          </cell>
          <cell r="B37" t="str">
            <v>50643|C</v>
          </cell>
          <cell r="F37" t="str">
            <v>PROD_INVESTMENT_RATING</v>
          </cell>
          <cell r="G37" t="str">
            <v>2 - Neutral</v>
          </cell>
          <cell r="H37" t="str">
            <v>&lt;IQXL&gt;src=c@E4;12947;</v>
          </cell>
          <cell r="J37" t="str">
            <v/>
          </cell>
          <cell r="K37" t="str">
            <v>actual</v>
          </cell>
          <cell r="Q37" t="str">
            <v/>
          </cell>
        </row>
        <row r="38">
          <cell r="A38" t="str">
            <v>50644</v>
          </cell>
          <cell r="B38" t="str">
            <v>50644|C</v>
          </cell>
          <cell r="F38" t="str">
            <v>PROD_PRICE_OBJ</v>
          </cell>
          <cell r="G38">
            <v>112</v>
          </cell>
          <cell r="H38" t="str">
            <v>&lt;IQXL&gt;src=c@E4;12764;</v>
          </cell>
          <cell r="J38" t="str">
            <v/>
          </cell>
          <cell r="K38" t="str">
            <v>actual</v>
          </cell>
          <cell r="Q38" t="str">
            <v/>
          </cell>
        </row>
        <row r="39">
          <cell r="A39" t="str">
            <v>50645</v>
          </cell>
          <cell r="B39" t="str">
            <v>50645|C</v>
          </cell>
          <cell r="F39" t="str">
            <v>PROD_PRICE_OBJ_BASE_PRICE</v>
          </cell>
          <cell r="G39">
            <v>89.44</v>
          </cell>
          <cell r="H39" t="str">
            <v>&lt;IQXL&gt;src=c@E4;12765;</v>
          </cell>
          <cell r="J39" t="str">
            <v/>
          </cell>
          <cell r="K39" t="str">
            <v>actual</v>
          </cell>
          <cell r="Q39" t="str">
            <v/>
          </cell>
        </row>
        <row r="40">
          <cell r="B40" t="str">
            <v>50646|CR4</v>
          </cell>
          <cell r="E40" t="str">
            <v>|37|28|= TRUE|</v>
          </cell>
          <cell r="F40" t="str">
            <v>PROD_PRICE_OBJ_CONTROL</v>
          </cell>
          <cell r="G40" t="str">
            <v>TRUE</v>
          </cell>
          <cell r="J40" t="str">
            <v/>
          </cell>
          <cell r="K40" t="str">
            <v>actual</v>
          </cell>
          <cell r="Q40" t="str">
            <v/>
          </cell>
        </row>
        <row r="41">
          <cell r="B41" t="str">
            <v>51010|CR4</v>
          </cell>
          <cell r="E41" t="str">
            <v>|37|28|= TRUE|</v>
          </cell>
          <cell r="F41" t="str">
            <v>PROD_PRICE_OBJ_CONTROL_TWO</v>
          </cell>
          <cell r="G41" t="str">
            <v>TRUE</v>
          </cell>
          <cell r="J41" t="str">
            <v/>
          </cell>
          <cell r="K41" t="str">
            <v>actual</v>
          </cell>
          <cell r="Q41" t="str">
            <v/>
          </cell>
        </row>
        <row r="42">
          <cell r="B42" t="str">
            <v>50660|CR4</v>
          </cell>
          <cell r="E42" t="str">
            <v>|37|28|= TRUE|</v>
          </cell>
          <cell r="F42" t="str">
            <v>QRQ_CHECK</v>
          </cell>
          <cell r="G42" t="str">
            <v>TRUE</v>
          </cell>
          <cell r="J42" t="str">
            <v/>
          </cell>
          <cell r="K42" t="str">
            <v>actual</v>
          </cell>
          <cell r="Q42" t="str">
            <v/>
          </cell>
        </row>
        <row r="43">
          <cell r="A43" t="str">
            <v/>
          </cell>
          <cell r="B43" t="str">
            <v/>
          </cell>
          <cell r="C43" t="str">
            <v>Primary_Company_Data_End=0</v>
          </cell>
          <cell r="F43" t="str">
            <v/>
          </cell>
          <cell r="G43" t="str">
            <v/>
          </cell>
          <cell r="H43" t="str">
            <v/>
          </cell>
          <cell r="J43" t="str">
            <v/>
          </cell>
          <cell r="K43" t="str">
            <v>actual</v>
          </cell>
          <cell r="Q43" t="str">
            <v/>
          </cell>
        </row>
        <row r="44">
          <cell r="C44" t="str">
            <v>ComplianceSection_Start</v>
          </cell>
          <cell r="F44" t="str">
            <v>Fiscal Year Data</v>
          </cell>
        </row>
        <row r="45">
          <cell r="F45" t="str">
            <v>Year</v>
          </cell>
          <cell r="R45" t="str">
            <v>1995:Q1</v>
          </cell>
          <cell r="S45" t="str">
            <v>1995:Q2</v>
          </cell>
          <cell r="T45" t="str">
            <v>1995:Q3</v>
          </cell>
          <cell r="U45" t="str">
            <v>1995:Q4</v>
          </cell>
          <cell r="V45" t="str">
            <v>1995:H1</v>
          </cell>
          <cell r="W45" t="str">
            <v>1995:H2</v>
          </cell>
          <cell r="X45" t="str">
            <v>FY 1995</v>
          </cell>
          <cell r="Y45" t="str">
            <v>1996:Q1</v>
          </cell>
          <cell r="Z45" t="str">
            <v>1996:Q2</v>
          </cell>
          <cell r="AA45" t="str">
            <v>1996:Q3</v>
          </cell>
          <cell r="AB45" t="str">
            <v>1996:Q4</v>
          </cell>
          <cell r="AC45" t="str">
            <v>1996:H1</v>
          </cell>
          <cell r="AD45" t="str">
            <v>1996:H2</v>
          </cell>
          <cell r="AE45" t="str">
            <v>FY 1996</v>
          </cell>
          <cell r="AF45" t="str">
            <v>1997:Q1</v>
          </cell>
          <cell r="AG45" t="str">
            <v>1997:Q2</v>
          </cell>
          <cell r="AH45" t="str">
            <v>1997:Q3</v>
          </cell>
          <cell r="AI45" t="str">
            <v>1997:Q4</v>
          </cell>
          <cell r="AJ45" t="str">
            <v>1997:H1</v>
          </cell>
          <cell r="AK45" t="str">
            <v>1997:H2</v>
          </cell>
          <cell r="AL45" t="str">
            <v>FY 1997</v>
          </cell>
          <cell r="AM45" t="str">
            <v>1998:Q1</v>
          </cell>
        </row>
        <row r="46">
          <cell r="B46" t="str">
            <v>18134|C</v>
          </cell>
          <cell r="F46" t="str">
            <v>Actual/Estimate/No Data (A/E/N)</v>
          </cell>
          <cell r="G46" t="str">
            <v/>
          </cell>
          <cell r="J46" t="str">
            <v>string</v>
          </cell>
          <cell r="K46" t="str">
            <v>actual</v>
          </cell>
          <cell r="Q46" t="str">
            <v/>
          </cell>
          <cell r="R46" t="str">
            <v>N</v>
          </cell>
          <cell r="S46" t="str">
            <v>N</v>
          </cell>
          <cell r="T46" t="str">
            <v>N</v>
          </cell>
          <cell r="U46" t="str">
            <v>N</v>
          </cell>
          <cell r="V46" t="str">
            <v>N</v>
          </cell>
          <cell r="W46" t="str">
            <v>N</v>
          </cell>
          <cell r="X46" t="str">
            <v>N</v>
          </cell>
          <cell r="Y46" t="str">
            <v>N</v>
          </cell>
          <cell r="Z46" t="str">
            <v>N</v>
          </cell>
          <cell r="AA46" t="str">
            <v>N</v>
          </cell>
          <cell r="AB46" t="str">
            <v>N</v>
          </cell>
          <cell r="AC46" t="str">
            <v>N</v>
          </cell>
          <cell r="AD46" t="str">
            <v>N</v>
          </cell>
          <cell r="AE46" t="str">
            <v>N</v>
          </cell>
          <cell r="AF46" t="str">
            <v>N</v>
          </cell>
          <cell r="AG46" t="str">
            <v>N</v>
          </cell>
          <cell r="AH46" t="str">
            <v>N</v>
          </cell>
          <cell r="AI46" t="str">
            <v>N</v>
          </cell>
          <cell r="AJ46" t="str">
            <v>N</v>
          </cell>
          <cell r="AK46" t="str">
            <v>N</v>
          </cell>
          <cell r="AL46" t="str">
            <v>N</v>
          </cell>
          <cell r="AM46" t="str">
            <v>N</v>
          </cell>
        </row>
        <row r="47">
          <cell r="B47" t="str">
            <v>25205|C</v>
          </cell>
          <cell r="F47" t="str">
            <v>Period Footnote</v>
          </cell>
          <cell r="J47" t="str">
            <v>string</v>
          </cell>
          <cell r="K47" t="str">
            <v>actual</v>
          </cell>
          <cell r="Q47" t="str">
            <v/>
          </cell>
        </row>
        <row r="48">
          <cell r="B48" t="str">
            <v>12569|C</v>
          </cell>
          <cell r="E48" t="str">
            <v>|36|10|NUMERIC |</v>
          </cell>
          <cell r="F48" t="str">
            <v>Earnings Per Share (Published)</v>
          </cell>
          <cell r="J48" t="str">
            <v/>
          </cell>
          <cell r="K48" t="str">
            <v>actual</v>
          </cell>
          <cell r="Q48" t="str">
            <v/>
          </cell>
        </row>
        <row r="49">
          <cell r="B49" t="str">
            <v>12773|C</v>
          </cell>
          <cell r="E49" t="str">
            <v>|36|10|NUMERIC |</v>
          </cell>
          <cell r="F49" t="str">
            <v>Earnings Per Share (GAAP)</v>
          </cell>
          <cell r="J49" t="str">
            <v/>
          </cell>
          <cell r="K49" t="str">
            <v>actual</v>
          </cell>
          <cell r="Q49" t="str">
            <v/>
          </cell>
        </row>
        <row r="50">
          <cell r="B50" t="str">
            <v>12570|C</v>
          </cell>
          <cell r="C50" t="str">
            <v>ComplianceSection_End</v>
          </cell>
          <cell r="E50" t="str">
            <v>|36|10|NUMERIC |</v>
          </cell>
          <cell r="F50" t="str">
            <v>Cash Flow Per Share</v>
          </cell>
          <cell r="J50" t="str">
            <v/>
          </cell>
          <cell r="K50" t="str">
            <v>actual</v>
          </cell>
          <cell r="Q50" t="str">
            <v/>
          </cell>
        </row>
        <row r="51">
          <cell r="C51" t="str">
            <v>CompliancePointInTimeSection_Start</v>
          </cell>
          <cell r="F51" t="str">
            <v>Single Entry Items</v>
          </cell>
          <cell r="AJ51" t="str">
            <v/>
          </cell>
          <cell r="AK51" t="str">
            <v/>
          </cell>
          <cell r="AL51" t="str">
            <v/>
          </cell>
          <cell r="AM51" t="str">
            <v/>
          </cell>
        </row>
        <row r="52">
          <cell r="B52" t="str">
            <v>28740|CR3</v>
          </cell>
          <cell r="D52">
            <v>0.26</v>
          </cell>
          <cell r="E52" t="str">
            <v>|-4142|5|&gt;= 0|</v>
          </cell>
          <cell r="F52" t="str">
            <v>Last Year Actual Gross Dividend</v>
          </cell>
          <cell r="G52">
            <v>0.26</v>
          </cell>
          <cell r="J52" t="str">
            <v/>
          </cell>
          <cell r="K52" t="str">
            <v>actual</v>
          </cell>
          <cell r="AJ52" t="str">
            <v/>
          </cell>
          <cell r="AK52" t="str">
            <v/>
          </cell>
          <cell r="AL52" t="str">
            <v/>
          </cell>
          <cell r="AM52" t="str">
            <v/>
          </cell>
        </row>
        <row r="53">
          <cell r="A53">
            <v>28707</v>
          </cell>
          <cell r="B53" t="str">
            <v>28707|C</v>
          </cell>
          <cell r="E53" t="str">
            <v>|-4142|5|&gt;= 0|</v>
          </cell>
          <cell r="F53" t="str">
            <v>Current Year Indicated Gross Dividend</v>
          </cell>
          <cell r="G53">
            <v>0.33999999999999997</v>
          </cell>
          <cell r="J53" t="str">
            <v/>
          </cell>
          <cell r="K53" t="str">
            <v>actual</v>
          </cell>
          <cell r="AJ53" t="str">
            <v/>
          </cell>
          <cell r="AK53" t="str">
            <v/>
          </cell>
          <cell r="AL53" t="str">
            <v/>
          </cell>
          <cell r="AM53" t="str">
            <v/>
          </cell>
        </row>
        <row r="54">
          <cell r="A54">
            <v>28706</v>
          </cell>
          <cell r="B54" t="str">
            <v>28706|C</v>
          </cell>
          <cell r="E54" t="str">
            <v>|-4142|5|&gt;= 0|</v>
          </cell>
          <cell r="F54" t="str">
            <v>Indicated Gross Dividend One Year Out</v>
          </cell>
          <cell r="G54">
            <v>0.33999999999999997</v>
          </cell>
          <cell r="J54" t="str">
            <v/>
          </cell>
          <cell r="K54" t="str">
            <v>actual</v>
          </cell>
        </row>
        <row r="55">
          <cell r="B55" t="str">
            <v>25196|C</v>
          </cell>
          <cell r="F55" t="str">
            <v>Next Earnings Release Date</v>
          </cell>
          <cell r="J55" t="str">
            <v>date</v>
          </cell>
          <cell r="K55" t="str">
            <v>actual</v>
          </cell>
          <cell r="Q55" t="str">
            <v/>
          </cell>
          <cell r="AJ55" t="str">
            <v/>
          </cell>
          <cell r="AK55" t="str">
            <v/>
          </cell>
          <cell r="AL55" t="str">
            <v/>
          </cell>
          <cell r="AM55" t="str">
            <v/>
          </cell>
        </row>
        <row r="56">
          <cell r="B56" t="str">
            <v>12612|C</v>
          </cell>
          <cell r="E56" t="str">
            <v>|-4142|10|NUMERIC |</v>
          </cell>
          <cell r="F56" t="str">
            <v>Est Next 5 Year EPS Growth Rate</v>
          </cell>
          <cell r="G56">
            <v>10</v>
          </cell>
          <cell r="J56" t="str">
            <v>%</v>
          </cell>
          <cell r="K56" t="str">
            <v>actual</v>
          </cell>
          <cell r="Q56" t="str">
            <v/>
          </cell>
          <cell r="AJ56" t="str">
            <v/>
          </cell>
          <cell r="AK56" t="str">
            <v/>
          </cell>
          <cell r="AL56" t="str">
            <v/>
          </cell>
          <cell r="AM56" t="str">
            <v/>
          </cell>
        </row>
        <row r="57">
          <cell r="B57" t="str">
            <v>25198|C</v>
          </cell>
          <cell r="E57" t="str">
            <v>|-4142|10|NUMERIC |</v>
          </cell>
          <cell r="F57" t="str">
            <v>Est Next 5 Year Dividend Per Share Growth Rate</v>
          </cell>
          <cell r="G57">
            <v>5</v>
          </cell>
          <cell r="J57" t="str">
            <v>%</v>
          </cell>
          <cell r="K57" t="str">
            <v>actual</v>
          </cell>
          <cell r="Q57" t="str">
            <v/>
          </cell>
          <cell r="AJ57" t="str">
            <v/>
          </cell>
          <cell r="AK57" t="str">
            <v/>
          </cell>
          <cell r="AL57" t="str">
            <v/>
          </cell>
          <cell r="AM57" t="str">
            <v/>
          </cell>
        </row>
        <row r="58">
          <cell r="B58" t="str">
            <v>25199|C</v>
          </cell>
          <cell r="E58" t="str">
            <v>|-4142|5|&gt;= 0|</v>
          </cell>
          <cell r="F58" t="str">
            <v>Total Debt / Capital</v>
          </cell>
          <cell r="G58">
            <v>18.399999999999999</v>
          </cell>
          <cell r="J58" t="str">
            <v>%</v>
          </cell>
          <cell r="K58" t="str">
            <v>actual</v>
          </cell>
          <cell r="Q58" t="str">
            <v/>
          </cell>
          <cell r="AJ58" t="str">
            <v/>
          </cell>
          <cell r="AK58" t="str">
            <v/>
          </cell>
          <cell r="AL58" t="str">
            <v/>
          </cell>
          <cell r="AM58" t="str">
            <v/>
          </cell>
        </row>
        <row r="59">
          <cell r="B59" t="str">
            <v>25200|C</v>
          </cell>
          <cell r="D59">
            <v>38625</v>
          </cell>
          <cell r="E59" t="str">
            <v>|-4142|1|NOTBLANK |</v>
          </cell>
          <cell r="F59" t="str">
            <v>Total Debt / Capital Date</v>
          </cell>
          <cell r="G59">
            <v>38533</v>
          </cell>
          <cell r="J59" t="str">
            <v>date</v>
          </cell>
          <cell r="K59" t="str">
            <v>actual</v>
          </cell>
          <cell r="Q59" t="str">
            <v/>
          </cell>
          <cell r="AJ59" t="str">
            <v/>
          </cell>
          <cell r="AK59" t="str">
            <v/>
          </cell>
          <cell r="AL59" t="str">
            <v/>
          </cell>
          <cell r="AM59" t="str">
            <v/>
          </cell>
        </row>
        <row r="60">
          <cell r="B60" t="str">
            <v>26794|CR3</v>
          </cell>
          <cell r="D60">
            <v>29.502704886412999</v>
          </cell>
          <cell r="E60" t="str">
            <v>|-4142|10|NUMERIC |</v>
          </cell>
          <cell r="F60" t="str">
            <v>Book Value Per Share Last Qtr.</v>
          </cell>
          <cell r="G60">
            <v>27.99</v>
          </cell>
          <cell r="J60" t="str">
            <v/>
          </cell>
          <cell r="K60" t="str">
            <v>actual</v>
          </cell>
          <cell r="Q60" t="str">
            <v/>
          </cell>
          <cell r="AJ60" t="str">
            <v/>
          </cell>
          <cell r="AK60" t="str">
            <v/>
          </cell>
          <cell r="AL60" t="str">
            <v/>
          </cell>
          <cell r="AM60" t="str">
            <v/>
          </cell>
        </row>
        <row r="61">
          <cell r="B61" t="str">
            <v>26795|CR3</v>
          </cell>
          <cell r="D61">
            <v>38625</v>
          </cell>
          <cell r="E61" t="str">
            <v>|-4142|1|NOTBLANK |</v>
          </cell>
          <cell r="F61" t="str">
            <v>Book Value Date</v>
          </cell>
          <cell r="G61">
            <v>38533</v>
          </cell>
          <cell r="J61" t="str">
            <v>date</v>
          </cell>
          <cell r="K61" t="str">
            <v>actual</v>
          </cell>
          <cell r="Q61" t="str">
            <v/>
          </cell>
          <cell r="AJ61" t="str">
            <v/>
          </cell>
          <cell r="AK61" t="str">
            <v/>
          </cell>
          <cell r="AL61" t="str">
            <v/>
          </cell>
          <cell r="AM61" t="str">
            <v/>
          </cell>
        </row>
        <row r="62">
          <cell r="A62" t="str">
            <v>25201</v>
          </cell>
          <cell r="B62" t="str">
            <v>25201|C</v>
          </cell>
          <cell r="E62" t="str">
            <v>|-4142|1|NOTBLANK |</v>
          </cell>
          <cell r="F62" t="str">
            <v>Change Reason Code</v>
          </cell>
          <cell r="G62" t="str">
            <v>Reset</v>
          </cell>
          <cell r="J62" t="str">
            <v>string</v>
          </cell>
          <cell r="K62" t="str">
            <v>actual</v>
          </cell>
          <cell r="Q62" t="str">
            <v/>
          </cell>
          <cell r="AJ62" t="str">
            <v/>
          </cell>
          <cell r="AK62" t="str">
            <v/>
          </cell>
          <cell r="AL62" t="str">
            <v/>
          </cell>
          <cell r="AM62" t="str">
            <v/>
          </cell>
        </row>
        <row r="63">
          <cell r="A63" t="str">
            <v>25202</v>
          </cell>
          <cell r="B63" t="str">
            <v>25202|C</v>
          </cell>
          <cell r="C63" t="str">
            <v/>
          </cell>
          <cell r="F63" t="str">
            <v>Split Factor</v>
          </cell>
          <cell r="J63" t="str">
            <v>numeric</v>
          </cell>
          <cell r="K63" t="str">
            <v>actual</v>
          </cell>
          <cell r="Q63" t="str">
            <v/>
          </cell>
          <cell r="AJ63" t="str">
            <v/>
          </cell>
          <cell r="AK63" t="str">
            <v/>
          </cell>
          <cell r="AL63" t="str">
            <v/>
          </cell>
          <cell r="AM63" t="str">
            <v/>
          </cell>
        </row>
        <row r="64">
          <cell r="A64" t="str">
            <v>12611</v>
          </cell>
          <cell r="B64" t="str">
            <v>12611|C</v>
          </cell>
          <cell r="C64" t="str">
            <v/>
          </cell>
          <cell r="F64" t="str">
            <v>Free Float</v>
          </cell>
          <cell r="J64" t="str">
            <v>%</v>
          </cell>
          <cell r="K64" t="str">
            <v>actual</v>
          </cell>
          <cell r="Q64" t="str">
            <v/>
          </cell>
        </row>
        <row r="65">
          <cell r="A65" t="str">
            <v>12769</v>
          </cell>
          <cell r="B65" t="str">
            <v>12769|C</v>
          </cell>
          <cell r="F65" t="str">
            <v>5-Yr Historic Compound Growth - Sales</v>
          </cell>
          <cell r="J65" t="str">
            <v>%</v>
          </cell>
          <cell r="K65" t="str">
            <v>actual</v>
          </cell>
          <cell r="Q65" t="str">
            <v/>
          </cell>
        </row>
        <row r="66">
          <cell r="A66" t="str">
            <v>12770</v>
          </cell>
          <cell r="B66" t="str">
            <v>12770|C</v>
          </cell>
          <cell r="F66" t="str">
            <v>5-Yr Historic Compound Growth - Profit</v>
          </cell>
          <cell r="J66" t="str">
            <v>%</v>
          </cell>
          <cell r="K66" t="str">
            <v>actual</v>
          </cell>
          <cell r="Q66" t="str">
            <v/>
          </cell>
        </row>
        <row r="67">
          <cell r="B67" t="str">
            <v>50641|C</v>
          </cell>
          <cell r="C67" t="str">
            <v/>
          </cell>
          <cell r="E67" t="str">
            <v>|37|28|= TRUE|</v>
          </cell>
          <cell r="F67" t="str">
            <v>NEXT_EARNINGS_DATE_FORMAT_CHECK</v>
          </cell>
          <cell r="G67" t="str">
            <v>TRUE</v>
          </cell>
          <cell r="J67" t="str">
            <v/>
          </cell>
          <cell r="K67" t="str">
            <v>actual</v>
          </cell>
          <cell r="Q67" t="str">
            <v/>
          </cell>
        </row>
        <row r="68">
          <cell r="B68" t="str">
            <v>50636|C</v>
          </cell>
          <cell r="E68" t="str">
            <v>|37|28|= TRUE|</v>
          </cell>
          <cell r="F68" t="str">
            <v>TOTAL_DEBT_CAPITAL_DATE_CHECK</v>
          </cell>
          <cell r="G68" t="str">
            <v>TRUE</v>
          </cell>
          <cell r="J68" t="str">
            <v/>
          </cell>
          <cell r="K68" t="str">
            <v>actual</v>
          </cell>
          <cell r="Q68" t="str">
            <v/>
          </cell>
        </row>
        <row r="69">
          <cell r="B69" t="str">
            <v>50666|C</v>
          </cell>
          <cell r="E69" t="str">
            <v>|37|28|= TRUE|</v>
          </cell>
          <cell r="F69" t="str">
            <v>TOTAL_DEBT_CAPITAL_DATE_FORMAT_CHECK</v>
          </cell>
          <cell r="G69" t="str">
            <v>TRUE</v>
          </cell>
          <cell r="J69" t="str">
            <v/>
          </cell>
          <cell r="K69" t="str">
            <v>actual</v>
          </cell>
          <cell r="Q69" t="str">
            <v/>
          </cell>
        </row>
        <row r="70">
          <cell r="B70" t="str">
            <v>50637|C</v>
          </cell>
          <cell r="E70" t="str">
            <v>|37|28|= TRUE|</v>
          </cell>
          <cell r="F70" t="str">
            <v>BVPS_DATE_CHECK</v>
          </cell>
          <cell r="G70" t="str">
            <v>TRUE</v>
          </cell>
          <cell r="J70" t="str">
            <v/>
          </cell>
          <cell r="K70" t="str">
            <v>actual</v>
          </cell>
          <cell r="Q70" t="str">
            <v/>
          </cell>
        </row>
        <row r="71">
          <cell r="B71" t="str">
            <v>50642|C</v>
          </cell>
          <cell r="E71" t="str">
            <v>|37|28|= TRUE|</v>
          </cell>
          <cell r="F71" t="str">
            <v>BVPS_DATE_FORMAT_CHECK</v>
          </cell>
          <cell r="G71" t="str">
            <v>TRUE</v>
          </cell>
          <cell r="J71" t="str">
            <v/>
          </cell>
          <cell r="K71" t="str">
            <v>actual</v>
          </cell>
          <cell r="Q71" t="str">
            <v/>
          </cell>
        </row>
        <row r="72">
          <cell r="B72" t="str">
            <v>50630|C</v>
          </cell>
          <cell r="E72" t="str">
            <v>|37|28|= TRUE|</v>
          </cell>
          <cell r="F72" t="str">
            <v>SPLIT_FACTOR_CHANGE</v>
          </cell>
          <cell r="G72" t="str">
            <v>TRUE</v>
          </cell>
          <cell r="J72" t="str">
            <v/>
          </cell>
          <cell r="K72" t="str">
            <v>actual</v>
          </cell>
          <cell r="Q72" t="str">
            <v/>
          </cell>
        </row>
        <row r="73">
          <cell r="B73" t="str">
            <v>50647|C</v>
          </cell>
          <cell r="E73" t="str">
            <v>|37|28|= TRUE|</v>
          </cell>
          <cell r="F73" t="str">
            <v>BVPS_DATE_TO_TOTAL_DEBT_DATE</v>
          </cell>
          <cell r="G73" t="str">
            <v>TRUE</v>
          </cell>
          <cell r="J73" t="str">
            <v/>
          </cell>
          <cell r="K73" t="str">
            <v>actual</v>
          </cell>
          <cell r="Q73" t="str">
            <v/>
          </cell>
        </row>
        <row r="74">
          <cell r="B74" t="str">
            <v>50648|C</v>
          </cell>
          <cell r="E74" t="str">
            <v>|37|28|= TRUE|</v>
          </cell>
          <cell r="F74" t="str">
            <v>LATEST_ACTUAL_DATE_CHECK</v>
          </cell>
          <cell r="G74" t="e">
            <v>#VALUE!</v>
          </cell>
          <cell r="J74" t="str">
            <v/>
          </cell>
          <cell r="K74" t="str">
            <v>actual</v>
          </cell>
          <cell r="Q74" t="str">
            <v/>
          </cell>
        </row>
        <row r="75">
          <cell r="B75" t="str">
            <v>51009|C</v>
          </cell>
          <cell r="E75" t="str">
            <v>|37|28|= TRUE|</v>
          </cell>
          <cell r="F75" t="str">
            <v>5YR_EPS_CHECK</v>
          </cell>
          <cell r="G75" t="str">
            <v>TRUE</v>
          </cell>
          <cell r="J75" t="str">
            <v/>
          </cell>
          <cell r="K75" t="str">
            <v>actual</v>
          </cell>
          <cell r="Q75" t="str">
            <v/>
          </cell>
        </row>
        <row r="76">
          <cell r="B76" t="str">
            <v>51008|C</v>
          </cell>
          <cell r="E76" t="str">
            <v>|37|28|= TRUE|</v>
          </cell>
          <cell r="F76" t="str">
            <v>5YR_DPS_CHECK</v>
          </cell>
          <cell r="G76" t="str">
            <v>TRUE</v>
          </cell>
          <cell r="J76" t="str">
            <v/>
          </cell>
          <cell r="K76" t="str">
            <v>actual</v>
          </cell>
          <cell r="Q76" t="str">
            <v/>
          </cell>
        </row>
        <row r="77">
          <cell r="B77" t="str">
            <v>51007|C</v>
          </cell>
          <cell r="C77" t="str">
            <v>CompliancePointInTimeSection_End</v>
          </cell>
          <cell r="E77" t="str">
            <v>|37|28|= TRUE|</v>
          </cell>
          <cell r="F77" t="str">
            <v>ALWAYS_TRUE</v>
          </cell>
          <cell r="G77" t="str">
            <v>TRUE</v>
          </cell>
          <cell r="J77" t="str">
            <v/>
          </cell>
          <cell r="K77" t="str">
            <v>actual</v>
          </cell>
          <cell r="Q77" t="str">
            <v/>
          </cell>
        </row>
        <row r="78">
          <cell r="A78" t="str">
            <v>48529</v>
          </cell>
          <cell r="B78" t="str">
            <v/>
          </cell>
          <cell r="C78" t="str">
            <v>POintInTimeSection_Start</v>
          </cell>
          <cell r="F78" t="str">
            <v>Template profile indicator</v>
          </cell>
          <cell r="G78" t="str">
            <v>US Industrials</v>
          </cell>
          <cell r="J78" t="str">
            <v>string</v>
          </cell>
          <cell r="K78" t="str">
            <v>actual</v>
          </cell>
          <cell r="Q78" t="str">
            <v/>
          </cell>
        </row>
        <row r="79">
          <cell r="A79" t="str">
            <v/>
          </cell>
          <cell r="B79" t="str">
            <v/>
          </cell>
          <cell r="F79" t="str">
            <v>Template profile indicator</v>
          </cell>
          <cell r="G79" t="str">
            <v>US Industrials</v>
          </cell>
          <cell r="J79" t="str">
            <v>string</v>
          </cell>
          <cell r="K79" t="str">
            <v>actual</v>
          </cell>
          <cell r="Q79" t="str">
            <v/>
          </cell>
        </row>
        <row r="80">
          <cell r="A80" t="str">
            <v>28881</v>
          </cell>
          <cell r="B80" t="str">
            <v/>
          </cell>
          <cell r="F80" t="str">
            <v>EPS 5-YR Projected compound annual growth rate</v>
          </cell>
          <cell r="J80" t="str">
            <v>%</v>
          </cell>
          <cell r="K80" t="str">
            <v>actual</v>
          </cell>
          <cell r="Q80" t="str">
            <v/>
          </cell>
        </row>
        <row r="81">
          <cell r="A81" t="str">
            <v>28882</v>
          </cell>
          <cell r="F81" t="str">
            <v>EBITDA 5-YR Projected compound annual growth rate</v>
          </cell>
          <cell r="J81" t="str">
            <v>%</v>
          </cell>
          <cell r="K81" t="str">
            <v>actual</v>
          </cell>
          <cell r="Q81" t="str">
            <v/>
          </cell>
        </row>
        <row r="82">
          <cell r="A82" t="str">
            <v>49640</v>
          </cell>
          <cell r="F82" t="str">
            <v>MODEL PATH</v>
          </cell>
          <cell r="G82" t="str">
            <v>S:\\E&amp;PS\\APA\\MODELS\\Models2\\APA_Current.xls</v>
          </cell>
          <cell r="J82" t="str">
            <v>string</v>
          </cell>
          <cell r="K82" t="str">
            <v>actual</v>
          </cell>
          <cell r="Q82" t="str">
            <v/>
          </cell>
        </row>
        <row r="83">
          <cell r="A83" t="str">
            <v>49640</v>
          </cell>
          <cell r="C83" t="str">
            <v>POintInTimeSection_End</v>
          </cell>
          <cell r="F83" t="str">
            <v>Oil &amp; Gas Industry Measures</v>
          </cell>
          <cell r="G83" t="e">
            <v>#NAME?</v>
          </cell>
          <cell r="J83" t="str">
            <v>string</v>
          </cell>
          <cell r="K83" t="str">
            <v>actual</v>
          </cell>
          <cell r="Q83" t="str">
            <v/>
          </cell>
        </row>
        <row r="84">
          <cell r="A84" t="str">
            <v>49639</v>
          </cell>
          <cell r="F84" t="str">
            <v>FX - POINT IN TIME</v>
          </cell>
          <cell r="G84">
            <v>1</v>
          </cell>
          <cell r="H84" t="str">
            <v>&lt;IQXL&gt;src=c@!FXR;TP;TA;</v>
          </cell>
          <cell r="J84" t="str">
            <v>numeric</v>
          </cell>
          <cell r="K84" t="str">
            <v>actual</v>
          </cell>
          <cell r="Q84" t="str">
            <v/>
          </cell>
        </row>
        <row r="85">
          <cell r="A85" t="str">
            <v/>
          </cell>
          <cell r="F85" t="str">
            <v>Enterprise Value</v>
          </cell>
        </row>
        <row r="86">
          <cell r="A86" t="str">
            <v>51367</v>
          </cell>
          <cell r="F86" t="str">
            <v>MARKET CAP (ACC CRNCY)</v>
          </cell>
          <cell r="G86">
            <v>34734.307310000004</v>
          </cell>
          <cell r="K86" t="str">
            <v>mm</v>
          </cell>
          <cell r="Q86" t="str">
            <v/>
          </cell>
        </row>
        <row r="87">
          <cell r="A87" t="str">
            <v>29574</v>
          </cell>
          <cell r="F87" t="str">
            <v>NET DEBT NOW (MV)</v>
          </cell>
          <cell r="K87" t="str">
            <v>mm</v>
          </cell>
          <cell r="Q87" t="str">
            <v/>
          </cell>
        </row>
        <row r="88">
          <cell r="A88" t="str">
            <v>48591</v>
          </cell>
          <cell r="F88" t="str">
            <v>PREFERENCE STOCK (NOW)</v>
          </cell>
          <cell r="K88" t="str">
            <v>mm</v>
          </cell>
          <cell r="Q88" t="str">
            <v/>
          </cell>
        </row>
        <row r="89">
          <cell r="A89" t="str">
            <v>48592</v>
          </cell>
          <cell r="F89" t="str">
            <v>MINORITY EQUITY (NOW)</v>
          </cell>
          <cell r="K89" t="str">
            <v>mm</v>
          </cell>
          <cell r="Q89" t="str">
            <v/>
          </cell>
        </row>
        <row r="90">
          <cell r="A90" t="str">
            <v>48593</v>
          </cell>
          <cell r="F90" t="str">
            <v>CURRENT PENSIONS/PRH</v>
          </cell>
          <cell r="K90" t="str">
            <v>mm</v>
          </cell>
          <cell r="Q90" t="str">
            <v/>
          </cell>
        </row>
        <row r="91">
          <cell r="A91" t="str">
            <v>49092</v>
          </cell>
          <cell r="F91" t="str">
            <v>EV ADJUSTMENTS (NOW)</v>
          </cell>
          <cell r="K91" t="str">
            <v>mm</v>
          </cell>
          <cell r="Q91" t="str">
            <v/>
          </cell>
        </row>
        <row r="92">
          <cell r="A92" t="str">
            <v>12643</v>
          </cell>
          <cell r="F92" t="str">
            <v>OTHER LONG TERM LIABILITIES (NOW)</v>
          </cell>
          <cell r="K92" t="str">
            <v>mm</v>
          </cell>
          <cell r="Q92" t="str">
            <v/>
          </cell>
        </row>
        <row r="93">
          <cell r="A93" t="str">
            <v>13801</v>
          </cell>
          <cell r="C93" t="str">
            <v>POintInTimeSection_End</v>
          </cell>
          <cell r="F93" t="str">
            <v>Enterprise Value (Now)</v>
          </cell>
          <cell r="G93" t="str">
            <v/>
          </cell>
          <cell r="K93" t="str">
            <v>mm</v>
          </cell>
          <cell r="Q93" t="str">
            <v/>
          </cell>
        </row>
        <row r="114">
          <cell r="C114" t="str">
            <v>TimeSeriesSection_Start</v>
          </cell>
          <cell r="R114" t="str">
            <v>"31-Mar-1995"</v>
          </cell>
          <cell r="S114" t="str">
            <v>"30-Jun-1995"</v>
          </cell>
          <cell r="T114" t="str">
            <v>"30-Sep-1995"</v>
          </cell>
          <cell r="U114" t="str">
            <v>"31-Dec-1995"</v>
          </cell>
          <cell r="V114" t="str">
            <v>"30-Jun-1995"</v>
          </cell>
          <cell r="W114" t="str">
            <v>"31-Dec-1995"</v>
          </cell>
          <cell r="X114" t="str">
            <v>"31-Dec-1995"</v>
          </cell>
          <cell r="Y114" t="str">
            <v>"31-Mar-1996"</v>
          </cell>
          <cell r="Z114" t="str">
            <v>"30-Jun-1996"</v>
          </cell>
          <cell r="AA114" t="str">
            <v>"30-Sep-1996"</v>
          </cell>
          <cell r="AB114" t="str">
            <v>"31-Dec-1996"</v>
          </cell>
          <cell r="AC114" t="str">
            <v>"30-Jun-1996"</v>
          </cell>
          <cell r="AD114" t="str">
            <v>"31-Dec-1996"</v>
          </cell>
          <cell r="AE114" t="str">
            <v>"31-Dec-1996"</v>
          </cell>
          <cell r="AF114" t="str">
            <v>"31-Mar-1997"</v>
          </cell>
          <cell r="AG114" t="str">
            <v>"30-Jun-1997"</v>
          </cell>
          <cell r="AH114" t="str">
            <v>"30-Sep-1997"</v>
          </cell>
          <cell r="AI114" t="str">
            <v>"31-Dec-1997"</v>
          </cell>
          <cell r="AJ114" t="str">
            <v>"30-Jun-1997"</v>
          </cell>
          <cell r="AK114" t="str">
            <v>"31-Dec-1997"</v>
          </cell>
          <cell r="AL114" t="str">
            <v>"31-Dec-1997"</v>
          </cell>
          <cell r="AM114" t="str">
            <v>"31-Mar-1998"</v>
          </cell>
        </row>
        <row r="116">
          <cell r="F116" t="str">
            <v>Description (Time series data)</v>
          </cell>
          <cell r="I116" t="str">
            <v>Currency</v>
          </cell>
          <cell r="J116" t="str">
            <v>Unit of Measure</v>
          </cell>
          <cell r="K116" t="str">
            <v>Value Denom.</v>
          </cell>
          <cell r="L116" t="str">
            <v>iQ Formula</v>
          </cell>
          <cell r="Q116" t="str">
            <v>Valid Input</v>
          </cell>
          <cell r="R116" t="str">
            <v>1995:Q1</v>
          </cell>
          <cell r="S116" t="str">
            <v>1995:Q2</v>
          </cell>
          <cell r="T116" t="str">
            <v>1995:Q3</v>
          </cell>
          <cell r="U116" t="str">
            <v>1995:Q4</v>
          </cell>
          <cell r="V116" t="str">
            <v>1995:H1</v>
          </cell>
          <cell r="W116" t="str">
            <v>1995:H2</v>
          </cell>
          <cell r="X116" t="str">
            <v>FY 1995</v>
          </cell>
          <cell r="Y116" t="str">
            <v>1996:Q1</v>
          </cell>
          <cell r="Z116" t="str">
            <v>1996:Q2</v>
          </cell>
          <cell r="AA116" t="str">
            <v>1996:Q3</v>
          </cell>
          <cell r="AB116" t="str">
            <v>1996:Q4</v>
          </cell>
          <cell r="AC116" t="str">
            <v>1996:H1</v>
          </cell>
          <cell r="AD116" t="str">
            <v>1996:H2</v>
          </cell>
          <cell r="AE116" t="str">
            <v>FY 1996</v>
          </cell>
          <cell r="AF116" t="str">
            <v>1997:Q1</v>
          </cell>
          <cell r="AG116" t="str">
            <v>1997:Q2</v>
          </cell>
          <cell r="AH116" t="str">
            <v>1997:Q3</v>
          </cell>
          <cell r="AI116" t="str">
            <v>1997:Q4</v>
          </cell>
          <cell r="AJ116" t="str">
            <v>1997:H1</v>
          </cell>
          <cell r="AK116" t="str">
            <v>1997:H2</v>
          </cell>
          <cell r="AL116" t="str">
            <v>FY 1997</v>
          </cell>
          <cell r="AM116" t="str">
            <v>1998:Q1</v>
          </cell>
        </row>
        <row r="117">
          <cell r="A117">
            <v>18134</v>
          </cell>
          <cell r="F117" t="str">
            <v>Actual/Estimate/No Data (A/E/N)</v>
          </cell>
          <cell r="J117" t="str">
            <v>string</v>
          </cell>
          <cell r="K117" t="str">
            <v>actual</v>
          </cell>
          <cell r="R117" t="str">
            <v>N</v>
          </cell>
          <cell r="S117" t="str">
            <v>N</v>
          </cell>
          <cell r="T117" t="str">
            <v>N</v>
          </cell>
          <cell r="U117" t="str">
            <v>N</v>
          </cell>
          <cell r="V117" t="str">
            <v>N</v>
          </cell>
          <cell r="W117" t="str">
            <v>N</v>
          </cell>
          <cell r="X117" t="str">
            <v>N</v>
          </cell>
          <cell r="Y117" t="str">
            <v>N</v>
          </cell>
          <cell r="Z117" t="str">
            <v>N</v>
          </cell>
          <cell r="AA117" t="str">
            <v>N</v>
          </cell>
          <cell r="AB117" t="str">
            <v>N</v>
          </cell>
          <cell r="AC117" t="str">
            <v>N</v>
          </cell>
          <cell r="AD117" t="str">
            <v>N</v>
          </cell>
          <cell r="AE117" t="str">
            <v>N</v>
          </cell>
          <cell r="AF117" t="str">
            <v>N</v>
          </cell>
          <cell r="AG117" t="str">
            <v>N</v>
          </cell>
          <cell r="AH117" t="str">
            <v>N</v>
          </cell>
          <cell r="AI117" t="str">
            <v>N</v>
          </cell>
          <cell r="AJ117" t="str">
            <v>N</v>
          </cell>
          <cell r="AK117" t="str">
            <v>N</v>
          </cell>
          <cell r="AL117" t="str">
            <v>N</v>
          </cell>
          <cell r="AM117" t="str">
            <v>N</v>
          </cell>
        </row>
        <row r="118">
          <cell r="A118">
            <v>25205</v>
          </cell>
          <cell r="F118" t="str">
            <v>Period Footnote</v>
          </cell>
          <cell r="J118" t="str">
            <v>string</v>
          </cell>
          <cell r="K118" t="str">
            <v>actual</v>
          </cell>
        </row>
        <row r="119">
          <cell r="F119" t="str">
            <v>PER SHARE DATA</v>
          </cell>
        </row>
        <row r="120">
          <cell r="A120" t="str">
            <v>12766</v>
          </cell>
          <cell r="E120" t="str">
            <v>|-4142|12|NOTBLANK |13|NUMERIC |20|&gt; 0|24|NUMERIC |</v>
          </cell>
          <cell r="F120" t="str">
            <v>Basic Shares Outstanding  - end of period</v>
          </cell>
          <cell r="J120" t="str">
            <v>numeric</v>
          </cell>
          <cell r="K120" t="str">
            <v>mm</v>
          </cell>
          <cell r="Q120" t="str">
            <v/>
          </cell>
          <cell r="AF120">
            <v>180.286</v>
          </cell>
          <cell r="AG120">
            <v>180.57599999999999</v>
          </cell>
          <cell r="AH120">
            <v>180.6</v>
          </cell>
          <cell r="AI120">
            <v>183.72800000000001</v>
          </cell>
          <cell r="AL120">
            <v>181.29750000000001</v>
          </cell>
          <cell r="AM120">
            <v>195.16200000000001</v>
          </cell>
        </row>
        <row r="121">
          <cell r="A121" t="str">
            <v>15018</v>
          </cell>
          <cell r="F121" t="str">
            <v>Basic Shares Outstanding - weighted avg</v>
          </cell>
          <cell r="J121" t="str">
            <v>numeric</v>
          </cell>
          <cell r="K121" t="str">
            <v>mm</v>
          </cell>
          <cell r="Q121" t="str">
            <v/>
          </cell>
        </row>
        <row r="122">
          <cell r="A122" t="str">
            <v>12767</v>
          </cell>
          <cell r="E122" t="str">
            <v>|-4142|12|NOTBLANK |16|NUMERIC |24|NUMERIC |20|&gt; 0|</v>
          </cell>
          <cell r="F122" t="str">
            <v>F. Dil. Shares -  weighted avg</v>
          </cell>
          <cell r="J122" t="str">
            <v>numeric</v>
          </cell>
          <cell r="K122" t="str">
            <v>mm</v>
          </cell>
          <cell r="Q122" t="str">
            <v/>
          </cell>
          <cell r="AF122">
            <v>180.286</v>
          </cell>
          <cell r="AG122">
            <v>180.57599999999999</v>
          </cell>
          <cell r="AH122">
            <v>180.6</v>
          </cell>
          <cell r="AI122">
            <v>183.72800000000001</v>
          </cell>
          <cell r="AL122">
            <v>181.29750000000001</v>
          </cell>
          <cell r="AM122">
            <v>195.16200000000001</v>
          </cell>
        </row>
        <row r="123">
          <cell r="A123" t="str">
            <v>12772</v>
          </cell>
          <cell r="F123" t="str">
            <v>EPS -  Basic reported</v>
          </cell>
          <cell r="J123" t="str">
            <v/>
          </cell>
          <cell r="K123" t="str">
            <v>actual</v>
          </cell>
          <cell r="Q123" t="str">
            <v/>
          </cell>
          <cell r="AF123">
            <v>0.28999999999999998</v>
          </cell>
          <cell r="AG123">
            <v>0.14000000000000001</v>
          </cell>
          <cell r="AH123">
            <v>0.16</v>
          </cell>
          <cell r="AI123">
            <v>0.25</v>
          </cell>
          <cell r="AL123">
            <v>0.85</v>
          </cell>
          <cell r="AM123">
            <v>0.09</v>
          </cell>
        </row>
        <row r="124">
          <cell r="A124" t="str">
            <v>12773</v>
          </cell>
          <cell r="F124" t="str">
            <v>EPS - F. Dil. (GAAP)</v>
          </cell>
          <cell r="J124" t="str">
            <v/>
          </cell>
          <cell r="K124" t="str">
            <v>actual</v>
          </cell>
          <cell r="Q124" t="str">
            <v/>
          </cell>
          <cell r="AM124">
            <v>0.09</v>
          </cell>
        </row>
        <row r="125">
          <cell r="A125" t="str">
            <v>12774</v>
          </cell>
          <cell r="F125" t="str">
            <v>EPS - Adjusted I</v>
          </cell>
          <cell r="J125" t="str">
            <v/>
          </cell>
          <cell r="K125" t="str">
            <v>actual</v>
          </cell>
          <cell r="Q125" t="str">
            <v/>
          </cell>
          <cell r="AM125">
            <v>0.09</v>
          </cell>
        </row>
        <row r="126">
          <cell r="A126" t="str">
            <v>12775</v>
          </cell>
          <cell r="F126" t="str">
            <v>EPS - Adjusted II</v>
          </cell>
          <cell r="J126" t="str">
            <v/>
          </cell>
          <cell r="K126" t="str">
            <v>actual</v>
          </cell>
          <cell r="Q126" t="str">
            <v/>
          </cell>
        </row>
        <row r="127">
          <cell r="A127" t="str">
            <v>12569</v>
          </cell>
          <cell r="C127" t="str">
            <v>TimeSeriesSection_Start</v>
          </cell>
          <cell r="F127" t="str">
            <v>EPS Published</v>
          </cell>
          <cell r="J127" t="str">
            <v/>
          </cell>
          <cell r="K127" t="str">
            <v>actual</v>
          </cell>
          <cell r="Q127" t="str">
            <v/>
          </cell>
          <cell r="R127" t="str">
            <v>F. Dil. (GAAP)</v>
          </cell>
          <cell r="S127" t="str">
            <v>F. Dil. (GAAP)</v>
          </cell>
          <cell r="T127" t="str">
            <v>F. Dil. (GAAP)</v>
          </cell>
          <cell r="U127" t="str">
            <v>F. Dil. (GAAP)</v>
          </cell>
          <cell r="V127" t="str">
            <v>F. Dil. (GAAP)</v>
          </cell>
          <cell r="W127" t="str">
            <v>F. Dil. (GAAP)</v>
          </cell>
          <cell r="X127" t="str">
            <v>F. Dil. (GAAP)</v>
          </cell>
          <cell r="Y127" t="str">
            <v>F. Dil. (GAAP)</v>
          </cell>
          <cell r="Z127" t="str">
            <v>F. Dil. (GAAP)</v>
          </cell>
          <cell r="AA127" t="str">
            <v>F. Dil. (GAAP)</v>
          </cell>
          <cell r="AB127" t="str">
            <v>F. Dil. (GAAP)</v>
          </cell>
          <cell r="AC127" t="str">
            <v>F. Dil. (GAAP)</v>
          </cell>
          <cell r="AD127" t="str">
            <v>F. Dil. (GAAP)</v>
          </cell>
          <cell r="AE127" t="str">
            <v>F. Dil. (GAAP)</v>
          </cell>
          <cell r="AF127" t="str">
            <v>Basic</v>
          </cell>
          <cell r="AG127" t="str">
            <v>Basic</v>
          </cell>
          <cell r="AH127" t="str">
            <v>Basic</v>
          </cell>
          <cell r="AI127" t="str">
            <v>Basic</v>
          </cell>
          <cell r="AJ127" t="str">
            <v>F. Dil. (GAAP)</v>
          </cell>
          <cell r="AK127" t="str">
            <v>F. Dil. (GAAP)</v>
          </cell>
          <cell r="AL127" t="str">
            <v>Basic</v>
          </cell>
          <cell r="AM127" t="str">
            <v>Adj I</v>
          </cell>
        </row>
        <row r="128">
          <cell r="A128">
            <v>50216</v>
          </cell>
          <cell r="F128" t="str">
            <v>ACCOUNTING BASIS</v>
          </cell>
          <cell r="I128" t="str">
            <v>Currency</v>
          </cell>
          <cell r="J128" t="str">
            <v>string</v>
          </cell>
          <cell r="K128" t="str">
            <v>n/m</v>
          </cell>
          <cell r="L128" t="str">
            <v>iQ Formula</v>
          </cell>
          <cell r="Q128" t="str">
            <v>Valid Input</v>
          </cell>
          <cell r="R128" t="str">
            <v>US GAAP</v>
          </cell>
          <cell r="S128" t="str">
            <v>US GAAP</v>
          </cell>
          <cell r="T128" t="str">
            <v>US GAAP</v>
          </cell>
          <cell r="U128" t="str">
            <v>US GAAP</v>
          </cell>
          <cell r="V128" t="str">
            <v>US GAAP</v>
          </cell>
          <cell r="W128" t="str">
            <v>US GAAP</v>
          </cell>
          <cell r="X128" t="str">
            <v>US GAAP</v>
          </cell>
          <cell r="Y128" t="str">
            <v>US GAAP</v>
          </cell>
          <cell r="Z128" t="str">
            <v>US GAAP</v>
          </cell>
          <cell r="AA128" t="str">
            <v>US GAAP</v>
          </cell>
          <cell r="AB128" t="str">
            <v>US GAAP</v>
          </cell>
          <cell r="AC128" t="str">
            <v>US GAAP</v>
          </cell>
          <cell r="AD128" t="str">
            <v>US GAAP</v>
          </cell>
          <cell r="AE128" t="str">
            <v>US GAAP</v>
          </cell>
          <cell r="AF128" t="str">
            <v>US GAAP</v>
          </cell>
          <cell r="AG128" t="str">
            <v>US GAAP</v>
          </cell>
          <cell r="AH128" t="str">
            <v>US GAAP</v>
          </cell>
          <cell r="AI128" t="str">
            <v>US GAAP</v>
          </cell>
          <cell r="AJ128" t="str">
            <v>US GAAP</v>
          </cell>
          <cell r="AK128" t="str">
            <v>US GAAP</v>
          </cell>
          <cell r="AL128" t="str">
            <v>US GAAP</v>
          </cell>
          <cell r="AM128" t="str">
            <v>US GAAP</v>
          </cell>
        </row>
        <row r="129">
          <cell r="A129" t="str">
            <v>12776</v>
          </cell>
          <cell r="F129" t="str">
            <v>CEPS</v>
          </cell>
          <cell r="J129" t="str">
            <v/>
          </cell>
          <cell r="K129" t="str">
            <v>actual</v>
          </cell>
          <cell r="Q129" t="str">
            <v/>
          </cell>
          <cell r="R129" t="str">
            <v>N</v>
          </cell>
          <cell r="S129" t="str">
            <v>N</v>
          </cell>
          <cell r="T129" t="str">
            <v>N</v>
          </cell>
          <cell r="U129" t="str">
            <v>N</v>
          </cell>
          <cell r="V129" t="str">
            <v>N</v>
          </cell>
          <cell r="W129" t="str">
            <v>N</v>
          </cell>
          <cell r="X129" t="str">
            <v>N</v>
          </cell>
          <cell r="Y129" t="str">
            <v>N</v>
          </cell>
          <cell r="Z129" t="str">
            <v>N</v>
          </cell>
          <cell r="AA129" t="str">
            <v>N</v>
          </cell>
          <cell r="AB129" t="str">
            <v>N</v>
          </cell>
          <cell r="AC129" t="str">
            <v>N</v>
          </cell>
          <cell r="AD129" t="str">
            <v>N</v>
          </cell>
          <cell r="AE129" t="str">
            <v>N</v>
          </cell>
          <cell r="AF129" t="str">
            <v>N</v>
          </cell>
          <cell r="AG129" t="str">
            <v>N</v>
          </cell>
          <cell r="AH129" t="str">
            <v>N</v>
          </cell>
          <cell r="AI129" t="str">
            <v>N</v>
          </cell>
          <cell r="AJ129" t="str">
            <v>N</v>
          </cell>
          <cell r="AK129" t="str">
            <v>N</v>
          </cell>
          <cell r="AL129" t="str">
            <v>N</v>
          </cell>
          <cell r="AM129" t="str">
            <v>N</v>
          </cell>
        </row>
        <row r="130">
          <cell r="A130" t="str">
            <v>12570</v>
          </cell>
          <cell r="F130" t="str">
            <v>CFPS</v>
          </cell>
          <cell r="J130" t="str">
            <v/>
          </cell>
          <cell r="K130" t="str">
            <v>actual</v>
          </cell>
          <cell r="Q130" t="str">
            <v/>
          </cell>
          <cell r="AF130">
            <v>0.85</v>
          </cell>
          <cell r="AG130">
            <v>0.63</v>
          </cell>
          <cell r="AH130">
            <v>0.71</v>
          </cell>
          <cell r="AI130">
            <v>0.83</v>
          </cell>
          <cell r="AL130">
            <v>3.04</v>
          </cell>
          <cell r="AM130">
            <v>0.53</v>
          </cell>
        </row>
        <row r="131">
          <cell r="A131" t="str">
            <v>12571</v>
          </cell>
          <cell r="E131" t="str">
            <v>|-4142|12|NOTBLANK |</v>
          </cell>
          <cell r="F131" t="str">
            <v>DPS</v>
          </cell>
          <cell r="J131" t="str">
            <v/>
          </cell>
          <cell r="K131" t="str">
            <v>actual</v>
          </cell>
          <cell r="Q131" t="str">
            <v/>
          </cell>
          <cell r="AF131">
            <v>7.0000000000000007E-2</v>
          </cell>
          <cell r="AG131">
            <v>7.0000000000000007E-2</v>
          </cell>
          <cell r="AH131">
            <v>7.0000000000000007E-2</v>
          </cell>
          <cell r="AI131">
            <v>7.0000000000000007E-2</v>
          </cell>
          <cell r="AL131">
            <v>0.28000000000000003</v>
          </cell>
          <cell r="AM131">
            <v>7.0000000000000007E-2</v>
          </cell>
        </row>
        <row r="132">
          <cell r="A132" t="str">
            <v>12778</v>
          </cell>
          <cell r="E132" t="str">
            <v>|-4142|12|NOTBLANK |13|NUMERIC |24|NUMERIC |20|&gt; 0|</v>
          </cell>
          <cell r="F132" t="str">
            <v>Book Value/Share</v>
          </cell>
          <cell r="J132" t="str">
            <v/>
          </cell>
          <cell r="K132" t="str">
            <v>actual</v>
          </cell>
          <cell r="Q132" t="str">
            <v/>
          </cell>
          <cell r="AL132">
            <v>9.5399999999999991</v>
          </cell>
        </row>
        <row r="133">
          <cell r="A133" t="str">
            <v>12780</v>
          </cell>
          <cell r="F133" t="str">
            <v>Book value date</v>
          </cell>
          <cell r="J133" t="str">
            <v>date</v>
          </cell>
          <cell r="K133" t="str">
            <v>actual</v>
          </cell>
          <cell r="Q133" t="str">
            <v/>
          </cell>
          <cell r="AL133">
            <v>35795</v>
          </cell>
        </row>
        <row r="134">
          <cell r="A134" t="str">
            <v>12767</v>
          </cell>
          <cell r="E134" t="str">
            <v>|-4142|12|NOTBLANK |20|&gt; 0|</v>
          </cell>
          <cell r="F134" t="str">
            <v>Compliance EPS error trapping</v>
          </cell>
          <cell r="J134" t="str">
            <v>numeric</v>
          </cell>
          <cell r="K134" t="str">
            <v>mm</v>
          </cell>
          <cell r="Q134" t="str">
            <v/>
          </cell>
        </row>
        <row r="135">
          <cell r="A135">
            <v>48717</v>
          </cell>
          <cell r="F135" t="str">
            <v>Calculated EPS=(Net inc. adj+Dil Adj )/F.D. shares</v>
          </cell>
          <cell r="K135" t="str">
            <v>actual</v>
          </cell>
          <cell r="R135" t="str">
            <v/>
          </cell>
          <cell r="S135" t="str">
            <v/>
          </cell>
          <cell r="T135" t="str">
            <v/>
          </cell>
          <cell r="U135" t="str">
            <v/>
          </cell>
          <cell r="V135" t="str">
            <v/>
          </cell>
          <cell r="W135" t="str">
            <v/>
          </cell>
          <cell r="X135" t="str">
            <v/>
          </cell>
          <cell r="Y135" t="str">
            <v/>
          </cell>
          <cell r="Z135" t="str">
            <v/>
          </cell>
          <cell r="AA135" t="str">
            <v/>
          </cell>
          <cell r="AB135" t="str">
            <v/>
          </cell>
          <cell r="AC135" t="str">
            <v/>
          </cell>
          <cell r="AD135" t="str">
            <v/>
          </cell>
          <cell r="AE135" t="str">
            <v/>
          </cell>
          <cell r="AF135">
            <v>0.28999999999999998</v>
          </cell>
          <cell r="AG135">
            <v>0.14000000000000001</v>
          </cell>
          <cell r="AH135">
            <v>0.16</v>
          </cell>
          <cell r="AI135">
            <v>0.25</v>
          </cell>
          <cell r="AJ135" t="str">
            <v/>
          </cell>
          <cell r="AK135" t="str">
            <v/>
          </cell>
          <cell r="AL135">
            <v>0.85</v>
          </cell>
          <cell r="AM135">
            <v>0.09</v>
          </cell>
        </row>
        <row r="136">
          <cell r="A136">
            <v>50112</v>
          </cell>
          <cell r="F136" t="str">
            <v>EPS error % - (EPS Pub./EPS Calc.-1)*100</v>
          </cell>
          <cell r="J136" t="str">
            <v>%</v>
          </cell>
          <cell r="K136" t="str">
            <v>actual</v>
          </cell>
          <cell r="Q136" t="str">
            <v/>
          </cell>
          <cell r="R136" t="str">
            <v/>
          </cell>
          <cell r="S136" t="str">
            <v/>
          </cell>
          <cell r="T136" t="str">
            <v/>
          </cell>
          <cell r="U136" t="str">
            <v/>
          </cell>
          <cell r="V136" t="str">
            <v/>
          </cell>
          <cell r="W136" t="str">
            <v/>
          </cell>
          <cell r="X136" t="str">
            <v/>
          </cell>
          <cell r="Y136" t="str">
            <v/>
          </cell>
          <cell r="Z136" t="str">
            <v/>
          </cell>
          <cell r="AA136" t="str">
            <v/>
          </cell>
          <cell r="AB136" t="str">
            <v/>
          </cell>
          <cell r="AC136" t="str">
            <v/>
          </cell>
          <cell r="AD136" t="str">
            <v/>
          </cell>
          <cell r="AE136" t="str">
            <v/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 t="str">
            <v/>
          </cell>
          <cell r="AK136" t="str">
            <v/>
          </cell>
          <cell r="AL136">
            <v>0</v>
          </cell>
          <cell r="AM136">
            <v>0</v>
          </cell>
        </row>
        <row r="137">
          <cell r="A137">
            <v>48718</v>
          </cell>
          <cell r="E137" t="str">
            <v>|37|28|= TRUE|</v>
          </cell>
          <cell r="F137" t="str">
            <v>Absolute EPS error &lt;  2%</v>
          </cell>
          <cell r="J137" t="str">
            <v>string</v>
          </cell>
          <cell r="K137" t="str">
            <v>n/m</v>
          </cell>
          <cell r="Q137" t="str">
            <v/>
          </cell>
          <cell r="R137" t="str">
            <v/>
          </cell>
          <cell r="S137" t="str">
            <v/>
          </cell>
          <cell r="T137" t="str">
            <v/>
          </cell>
          <cell r="U137" t="str">
            <v/>
          </cell>
          <cell r="V137" t="str">
            <v/>
          </cell>
          <cell r="W137" t="str">
            <v/>
          </cell>
          <cell r="X137" t="str">
            <v/>
          </cell>
          <cell r="Y137" t="str">
            <v/>
          </cell>
          <cell r="Z137" t="str">
            <v/>
          </cell>
          <cell r="AA137" t="str">
            <v/>
          </cell>
          <cell r="AB137" t="str">
            <v/>
          </cell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 t="str">
            <v/>
          </cell>
          <cell r="AH137" t="str">
            <v/>
          </cell>
          <cell r="AI137" t="str">
            <v/>
          </cell>
          <cell r="AJ137" t="str">
            <v/>
          </cell>
          <cell r="AK137" t="str">
            <v/>
          </cell>
          <cell r="AL137" t="str">
            <v/>
          </cell>
          <cell r="AM137" t="str">
            <v/>
          </cell>
        </row>
        <row r="138">
          <cell r="F138" t="str">
            <v>Income Statement ( income +ve, expenses -ve)</v>
          </cell>
        </row>
        <row r="139">
          <cell r="A139" t="str">
            <v>12781</v>
          </cell>
          <cell r="E139" t="str">
            <v>|-4142|22|&gt;= 0|</v>
          </cell>
          <cell r="F139" t="str">
            <v>Sales Revenue</v>
          </cell>
          <cell r="J139" t="str">
            <v/>
          </cell>
          <cell r="K139" t="str">
            <v/>
          </cell>
          <cell r="Q139" t="str">
            <v/>
          </cell>
          <cell r="R139" t="str">
            <v/>
          </cell>
          <cell r="S139" t="str">
            <v/>
          </cell>
          <cell r="T139" t="str">
            <v/>
          </cell>
          <cell r="U139" t="str">
            <v/>
          </cell>
          <cell r="V139" t="str">
            <v/>
          </cell>
          <cell r="W139" t="str">
            <v/>
          </cell>
          <cell r="X139" t="str">
            <v/>
          </cell>
          <cell r="Y139" t="str">
            <v/>
          </cell>
          <cell r="Z139" t="str">
            <v/>
          </cell>
          <cell r="AA139" t="str">
            <v/>
          </cell>
          <cell r="AB139" t="str">
            <v/>
          </cell>
          <cell r="AC139" t="str">
            <v/>
          </cell>
          <cell r="AD139" t="str">
            <v/>
          </cell>
          <cell r="AE139" t="str">
            <v/>
          </cell>
          <cell r="AF139">
            <v>262.37791620000002</v>
          </cell>
          <cell r="AG139">
            <v>218.79471249999997</v>
          </cell>
          <cell r="AH139">
            <v>232.69532768000002</v>
          </cell>
          <cell r="AI139">
            <v>269.577</v>
          </cell>
          <cell r="AJ139" t="str">
            <v/>
          </cell>
          <cell r="AK139" t="str">
            <v/>
          </cell>
          <cell r="AL139">
            <v>983.44495638000001</v>
          </cell>
          <cell r="AM139">
            <v>210.05620965</v>
          </cell>
        </row>
        <row r="140">
          <cell r="A140" t="str">
            <v>12565</v>
          </cell>
          <cell r="E140" t="str">
            <v>|-4142|22|&gt;= 0|</v>
          </cell>
          <cell r="F140" t="str">
            <v>Other Revenue</v>
          </cell>
          <cell r="J140" t="str">
            <v/>
          </cell>
          <cell r="K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  <cell r="V140" t="str">
            <v/>
          </cell>
          <cell r="W140" t="str">
            <v/>
          </cell>
          <cell r="X140" t="str">
            <v/>
          </cell>
          <cell r="Y140" t="str">
            <v/>
          </cell>
          <cell r="Z140" t="str">
            <v/>
          </cell>
          <cell r="AA140" t="str">
            <v/>
          </cell>
          <cell r="AB140" t="str">
            <v/>
          </cell>
          <cell r="AC140" t="str">
            <v/>
          </cell>
          <cell r="AD140" t="str">
            <v/>
          </cell>
          <cell r="AE140" t="str">
            <v/>
          </cell>
          <cell r="AF140" t="str">
            <v/>
          </cell>
          <cell r="AG140" t="str">
            <v/>
          </cell>
          <cell r="AH140" t="str">
            <v/>
          </cell>
          <cell r="AI140" t="str">
            <v/>
          </cell>
          <cell r="AJ140" t="str">
            <v/>
          </cell>
          <cell r="AK140" t="str">
            <v/>
          </cell>
          <cell r="AL140" t="str">
            <v/>
          </cell>
          <cell r="AM140" t="str">
            <v/>
          </cell>
        </row>
        <row r="141">
          <cell r="A141" t="str">
            <v>12783</v>
          </cell>
          <cell r="E141" t="str">
            <v>|37|22|&gt;= 0|</v>
          </cell>
          <cell r="F141" t="str">
            <v>Total Revenue</v>
          </cell>
          <cell r="J141" t="str">
            <v/>
          </cell>
          <cell r="K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  <cell r="V141" t="str">
            <v/>
          </cell>
          <cell r="W141" t="str">
            <v/>
          </cell>
          <cell r="X141" t="str">
            <v/>
          </cell>
          <cell r="Y141" t="str">
            <v/>
          </cell>
          <cell r="Z141" t="str">
            <v/>
          </cell>
          <cell r="AA141" t="str">
            <v/>
          </cell>
          <cell r="AB141" t="str">
            <v/>
          </cell>
          <cell r="AC141" t="str">
            <v/>
          </cell>
          <cell r="AD141" t="str">
            <v/>
          </cell>
          <cell r="AE141" t="str">
            <v/>
          </cell>
          <cell r="AF141">
            <v>262.37791620000002</v>
          </cell>
          <cell r="AG141">
            <v>218.79471249999997</v>
          </cell>
          <cell r="AH141">
            <v>232.69532768000002</v>
          </cell>
          <cell r="AI141">
            <v>269.577</v>
          </cell>
          <cell r="AJ141" t="str">
            <v/>
          </cell>
          <cell r="AK141" t="str">
            <v/>
          </cell>
          <cell r="AL141">
            <v>983.44495638000001</v>
          </cell>
          <cell r="AM141">
            <v>210.05620965</v>
          </cell>
        </row>
        <row r="142">
          <cell r="A142" t="str">
            <v>12784</v>
          </cell>
          <cell r="E142" t="str">
            <v>|-4142|23|&lt;= 0|</v>
          </cell>
          <cell r="F142" t="str">
            <v>Cost of goods sold</v>
          </cell>
          <cell r="J142" t="str">
            <v/>
          </cell>
          <cell r="K142" t="str">
            <v/>
          </cell>
          <cell r="Q142" t="str">
            <v/>
          </cell>
          <cell r="R142" t="str">
            <v>US GAAP</v>
          </cell>
          <cell r="S142" t="str">
            <v>US GAAP</v>
          </cell>
          <cell r="T142" t="str">
            <v>US GAAP</v>
          </cell>
          <cell r="U142" t="str">
            <v>US GAAP</v>
          </cell>
          <cell r="V142" t="str">
            <v>US GAAP</v>
          </cell>
          <cell r="W142" t="str">
            <v>US GAAP</v>
          </cell>
          <cell r="X142" t="str">
            <v>US GAAP</v>
          </cell>
          <cell r="Y142" t="str">
            <v>US GAAP</v>
          </cell>
          <cell r="Z142" t="str">
            <v>US GAAP</v>
          </cell>
          <cell r="AA142" t="str">
            <v>US GAAP</v>
          </cell>
          <cell r="AB142" t="str">
            <v>US GAAP</v>
          </cell>
          <cell r="AC142" t="str">
            <v>US GAAP</v>
          </cell>
          <cell r="AD142" t="str">
            <v>US GAAP</v>
          </cell>
          <cell r="AE142" t="str">
            <v>US GAAP</v>
          </cell>
          <cell r="AF142">
            <v>-59.972000000000001</v>
          </cell>
          <cell r="AG142">
            <v>-57.738999999999997</v>
          </cell>
          <cell r="AH142">
            <v>-59.5</v>
          </cell>
          <cell r="AI142">
            <v>-58.795000000000002</v>
          </cell>
          <cell r="AJ142" t="str">
            <v>US GAAP</v>
          </cell>
          <cell r="AK142" t="str">
            <v>US GAAP</v>
          </cell>
          <cell r="AL142">
            <v>-236.00600000000003</v>
          </cell>
          <cell r="AM142">
            <v>-56.551000000000002</v>
          </cell>
        </row>
        <row r="143">
          <cell r="A143" t="str">
            <v>12939</v>
          </cell>
          <cell r="F143" t="str">
            <v>Gross Profit</v>
          </cell>
          <cell r="J143" t="str">
            <v/>
          </cell>
          <cell r="K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  <cell r="V143" t="str">
            <v/>
          </cell>
          <cell r="W143" t="str">
            <v/>
          </cell>
          <cell r="X143" t="str">
            <v/>
          </cell>
          <cell r="Y143" t="str">
            <v/>
          </cell>
          <cell r="Z143" t="str">
            <v/>
          </cell>
          <cell r="AA143" t="str">
            <v/>
          </cell>
          <cell r="AB143" t="str">
            <v/>
          </cell>
          <cell r="AC143" t="str">
            <v/>
          </cell>
          <cell r="AD143" t="str">
            <v/>
          </cell>
          <cell r="AE143" t="str">
            <v/>
          </cell>
          <cell r="AF143">
            <v>202.40591620000001</v>
          </cell>
          <cell r="AG143">
            <v>161.05571249999997</v>
          </cell>
          <cell r="AH143">
            <v>173.19532768000002</v>
          </cell>
          <cell r="AI143">
            <v>210.78199999999998</v>
          </cell>
          <cell r="AJ143" t="str">
            <v/>
          </cell>
          <cell r="AK143" t="str">
            <v/>
          </cell>
          <cell r="AL143">
            <v>747.43895638000004</v>
          </cell>
          <cell r="AM143">
            <v>153.50520964999998</v>
          </cell>
        </row>
        <row r="144">
          <cell r="A144" t="str">
            <v>13960</v>
          </cell>
          <cell r="F144" t="str">
            <v>Exploration Expense (Oils &amp; Gas  ind.)</v>
          </cell>
          <cell r="J144" t="str">
            <v/>
          </cell>
          <cell r="K144" t="str">
            <v/>
          </cell>
          <cell r="Q144" t="str">
            <v/>
          </cell>
        </row>
        <row r="145">
          <cell r="A145" t="str">
            <v>12785</v>
          </cell>
          <cell r="E145" t="str">
            <v>|-4142|23|&lt;= 0|</v>
          </cell>
          <cell r="F145" t="str">
            <v>S,G &amp; A</v>
          </cell>
          <cell r="J145" t="str">
            <v/>
          </cell>
          <cell r="K145" t="str">
            <v/>
          </cell>
          <cell r="Q145" t="str">
            <v/>
          </cell>
          <cell r="AF145">
            <v>-9.1419999999999995</v>
          </cell>
          <cell r="AG145">
            <v>-9.5</v>
          </cell>
          <cell r="AH145">
            <v>-9.5</v>
          </cell>
          <cell r="AI145">
            <v>-11.452999999999999</v>
          </cell>
          <cell r="AL145">
            <v>-39.594999999999999</v>
          </cell>
          <cell r="AM145">
            <v>-9.9659999999999993</v>
          </cell>
        </row>
        <row r="146">
          <cell r="A146" t="str">
            <v>12786</v>
          </cell>
          <cell r="E146" t="str">
            <v>|-4142|23|&lt;= 0|</v>
          </cell>
          <cell r="F146" t="str">
            <v>R &amp; D Costs</v>
          </cell>
          <cell r="J146" t="str">
            <v/>
          </cell>
          <cell r="K146" t="str">
            <v/>
          </cell>
          <cell r="Q146" t="str">
            <v/>
          </cell>
        </row>
        <row r="147">
          <cell r="A147" t="str">
            <v>12516</v>
          </cell>
          <cell r="F147" t="str">
            <v>Depreciation &amp; Amort.</v>
          </cell>
          <cell r="J147" t="str">
            <v/>
          </cell>
          <cell r="K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  <cell r="V147" t="str">
            <v/>
          </cell>
          <cell r="W147" t="str">
            <v/>
          </cell>
          <cell r="X147" t="str">
            <v/>
          </cell>
          <cell r="Y147" t="str">
            <v/>
          </cell>
          <cell r="Z147" t="str">
            <v/>
          </cell>
          <cell r="AA147" t="str">
            <v/>
          </cell>
          <cell r="AB147" t="str">
            <v/>
          </cell>
          <cell r="AC147" t="str">
            <v/>
          </cell>
          <cell r="AD147" t="str">
            <v/>
          </cell>
          <cell r="AE147" t="str">
            <v/>
          </cell>
          <cell r="AF147">
            <v>-89.317999999999998</v>
          </cell>
          <cell r="AG147">
            <v>-93.480999999999995</v>
          </cell>
          <cell r="AH147">
            <v>-99</v>
          </cell>
          <cell r="AI147">
            <v>-100.447</v>
          </cell>
          <cell r="AJ147" t="str">
            <v/>
          </cell>
          <cell r="AK147" t="str">
            <v/>
          </cell>
          <cell r="AL147">
            <v>-382.24599999999998</v>
          </cell>
          <cell r="AM147">
            <v>-98.372</v>
          </cell>
        </row>
        <row r="148">
          <cell r="A148" t="str">
            <v>12788</v>
          </cell>
          <cell r="E148" t="str">
            <v>|-4142|12|NOTBLANK |23|&lt;= 0|</v>
          </cell>
          <cell r="F148" t="str">
            <v>Depreciation</v>
          </cell>
          <cell r="J148" t="str">
            <v/>
          </cell>
          <cell r="K148" t="str">
            <v/>
          </cell>
          <cell r="Q148" t="str">
            <v/>
          </cell>
          <cell r="AF148">
            <v>-89.317999999999998</v>
          </cell>
          <cell r="AG148">
            <v>-93.480999999999995</v>
          </cell>
          <cell r="AH148">
            <v>-99</v>
          </cell>
          <cell r="AI148">
            <v>-100.447</v>
          </cell>
          <cell r="AL148">
            <v>-382.24599999999998</v>
          </cell>
          <cell r="AM148">
            <v>-98.372</v>
          </cell>
        </row>
        <row r="149">
          <cell r="A149" t="str">
            <v>30389</v>
          </cell>
          <cell r="F149" t="str">
            <v>Total amortization</v>
          </cell>
          <cell r="J149" t="str">
            <v/>
          </cell>
          <cell r="K149" t="str">
            <v/>
          </cell>
          <cell r="Q149" t="str">
            <v/>
          </cell>
          <cell r="R149" t="str">
            <v/>
          </cell>
          <cell r="S149" t="str">
            <v/>
          </cell>
          <cell r="T149" t="str">
            <v/>
          </cell>
          <cell r="U149" t="str">
            <v/>
          </cell>
          <cell r="V149" t="str">
            <v/>
          </cell>
          <cell r="W149" t="str">
            <v/>
          </cell>
          <cell r="X149" t="str">
            <v/>
          </cell>
          <cell r="Y149" t="str">
            <v/>
          </cell>
          <cell r="Z149" t="str">
            <v/>
          </cell>
          <cell r="AA149" t="str">
            <v/>
          </cell>
          <cell r="AB149" t="str">
            <v/>
          </cell>
          <cell r="AC149" t="str">
            <v/>
          </cell>
          <cell r="AD149" t="str">
            <v/>
          </cell>
          <cell r="AE149" t="str">
            <v/>
          </cell>
          <cell r="AF149" t="str">
            <v/>
          </cell>
          <cell r="AG149" t="str">
            <v/>
          </cell>
          <cell r="AH149" t="str">
            <v/>
          </cell>
          <cell r="AI149" t="str">
            <v/>
          </cell>
          <cell r="AJ149" t="str">
            <v/>
          </cell>
          <cell r="AK149" t="str">
            <v/>
          </cell>
          <cell r="AL149" t="str">
            <v/>
          </cell>
          <cell r="AM149" t="str">
            <v/>
          </cell>
        </row>
        <row r="150">
          <cell r="A150" t="str">
            <v>12789</v>
          </cell>
          <cell r="E150" t="str">
            <v>|-4142|23|&lt;= 0|</v>
          </cell>
          <cell r="F150" t="str">
            <v>Goodwill Amortization</v>
          </cell>
          <cell r="J150" t="str">
            <v/>
          </cell>
          <cell r="K150" t="str">
            <v/>
          </cell>
          <cell r="Q150" t="str">
            <v/>
          </cell>
          <cell r="AF150">
            <v>35795</v>
          </cell>
          <cell r="AK150">
            <v>36160</v>
          </cell>
        </row>
        <row r="151">
          <cell r="A151" t="str">
            <v>12790</v>
          </cell>
          <cell r="E151" t="str">
            <v>|-4142|23|&lt;= 0|</v>
          </cell>
          <cell r="F151" t="str">
            <v>Other Amortization</v>
          </cell>
          <cell r="J151" t="str">
            <v/>
          </cell>
          <cell r="K151" t="str">
            <v/>
          </cell>
          <cell r="Q151" t="str">
            <v/>
          </cell>
        </row>
        <row r="152">
          <cell r="A152" t="str">
            <v>12791</v>
          </cell>
          <cell r="E152" t="str">
            <v>|-4142|23|&lt;= 0|</v>
          </cell>
          <cell r="F152" t="str">
            <v>Other operating expenses</v>
          </cell>
          <cell r="J152" t="str">
            <v/>
          </cell>
          <cell r="K152" t="str">
            <v/>
          </cell>
          <cell r="Q152" t="str">
            <v/>
          </cell>
          <cell r="AF152">
            <v>-1.247999999999998</v>
          </cell>
          <cell r="AG152">
            <v>1.6980000000000062</v>
          </cell>
          <cell r="AH152">
            <v>1.5</v>
          </cell>
          <cell r="AI152">
            <v>-2.1719999999999997</v>
          </cell>
          <cell r="AL152">
            <v>-0.22199999999998443</v>
          </cell>
          <cell r="AM152">
            <v>3.526999999999997</v>
          </cell>
        </row>
        <row r="153">
          <cell r="A153" t="str">
            <v>30936</v>
          </cell>
          <cell r="E153" t="str">
            <v>|37|28|= 0|</v>
          </cell>
          <cell r="F153" t="str">
            <v>Include Depreciation in total op. expenses calculation?</v>
          </cell>
          <cell r="J153" t="str">
            <v>string</v>
          </cell>
          <cell r="K153" t="str">
            <v>actual</v>
          </cell>
          <cell r="Q153" t="str">
            <v/>
          </cell>
          <cell r="R153" t="str">
            <v>Yes</v>
          </cell>
          <cell r="S153" t="str">
            <v>Yes</v>
          </cell>
          <cell r="T153" t="str">
            <v>Yes</v>
          </cell>
          <cell r="U153" t="str">
            <v>Yes</v>
          </cell>
          <cell r="V153" t="str">
            <v>Yes</v>
          </cell>
          <cell r="W153" t="str">
            <v>Yes</v>
          </cell>
          <cell r="X153" t="str">
            <v>Yes</v>
          </cell>
          <cell r="Y153" t="str">
            <v>Yes</v>
          </cell>
          <cell r="Z153" t="str">
            <v>Yes</v>
          </cell>
          <cell r="AA153" t="str">
            <v>Yes</v>
          </cell>
          <cell r="AB153" t="str">
            <v>Yes</v>
          </cell>
          <cell r="AC153" t="str">
            <v>Yes</v>
          </cell>
          <cell r="AD153" t="str">
            <v>Yes</v>
          </cell>
          <cell r="AE153" t="str">
            <v>Yes</v>
          </cell>
          <cell r="AF153" t="str">
            <v>Yes</v>
          </cell>
          <cell r="AG153" t="str">
            <v>Yes</v>
          </cell>
          <cell r="AH153" t="str">
            <v>Yes</v>
          </cell>
          <cell r="AI153" t="str">
            <v>Yes</v>
          </cell>
          <cell r="AJ153" t="str">
            <v>Yes</v>
          </cell>
          <cell r="AK153" t="str">
            <v>Yes</v>
          </cell>
          <cell r="AL153" t="str">
            <v>Yes</v>
          </cell>
          <cell r="AM153" t="str">
            <v>Yes</v>
          </cell>
        </row>
        <row r="154">
          <cell r="A154" t="str">
            <v>30937</v>
          </cell>
          <cell r="E154" t="str">
            <v>|37|28|= TRUE|</v>
          </cell>
          <cell r="F154" t="str">
            <v>Include total amortiz. in total op. expesnes calculation?</v>
          </cell>
          <cell r="J154" t="str">
            <v>string</v>
          </cell>
          <cell r="K154" t="str">
            <v>actual</v>
          </cell>
          <cell r="Q154" t="str">
            <v/>
          </cell>
          <cell r="R154" t="str">
            <v>Yes</v>
          </cell>
          <cell r="S154" t="str">
            <v>Yes</v>
          </cell>
          <cell r="T154" t="str">
            <v>Yes</v>
          </cell>
          <cell r="U154" t="str">
            <v>Yes</v>
          </cell>
          <cell r="V154" t="str">
            <v>Yes</v>
          </cell>
          <cell r="W154" t="str">
            <v>Yes</v>
          </cell>
          <cell r="X154" t="str">
            <v>Yes</v>
          </cell>
          <cell r="Y154" t="str">
            <v>Yes</v>
          </cell>
          <cell r="Z154" t="str">
            <v>Yes</v>
          </cell>
          <cell r="AA154" t="str">
            <v>Yes</v>
          </cell>
          <cell r="AB154" t="str">
            <v>Yes</v>
          </cell>
          <cell r="AC154" t="str">
            <v>Yes</v>
          </cell>
          <cell r="AD154" t="str">
            <v>Yes</v>
          </cell>
          <cell r="AE154" t="str">
            <v>Yes</v>
          </cell>
          <cell r="AF154" t="str">
            <v>Yes</v>
          </cell>
          <cell r="AG154" t="str">
            <v>Yes</v>
          </cell>
          <cell r="AH154" t="str">
            <v>Yes</v>
          </cell>
          <cell r="AI154" t="str">
            <v>Yes</v>
          </cell>
          <cell r="AJ154" t="str">
            <v>Yes</v>
          </cell>
          <cell r="AK154" t="str">
            <v>Yes</v>
          </cell>
          <cell r="AL154" t="str">
            <v>Yes</v>
          </cell>
          <cell r="AM154" t="str">
            <v>Yes</v>
          </cell>
        </row>
        <row r="155">
          <cell r="A155" t="str">
            <v>12792</v>
          </cell>
          <cell r="F155" t="str">
            <v>Total operating expenses</v>
          </cell>
          <cell r="J155" t="str">
            <v/>
          </cell>
          <cell r="K155" t="str">
            <v/>
          </cell>
          <cell r="Q155" t="str">
            <v/>
          </cell>
          <cell r="R155" t="str">
            <v/>
          </cell>
          <cell r="S155" t="str">
            <v/>
          </cell>
          <cell r="T155" t="str">
            <v/>
          </cell>
          <cell r="U155" t="str">
            <v/>
          </cell>
          <cell r="V155" t="str">
            <v/>
          </cell>
          <cell r="W155" t="str">
            <v/>
          </cell>
          <cell r="X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 t="str">
            <v/>
          </cell>
          <cell r="AD155" t="str">
            <v/>
          </cell>
          <cell r="AE155" t="str">
            <v/>
          </cell>
          <cell r="AF155">
            <v>-159.68</v>
          </cell>
          <cell r="AG155">
            <v>-159.02199999999999</v>
          </cell>
          <cell r="AH155">
            <v>-166.5</v>
          </cell>
          <cell r="AI155">
            <v>-172.86699999999999</v>
          </cell>
          <cell r="AJ155" t="str">
            <v/>
          </cell>
          <cell r="AK155" t="str">
            <v/>
          </cell>
          <cell r="AL155">
            <v>-658.06899999999996</v>
          </cell>
          <cell r="AM155">
            <v>-161.36200000000002</v>
          </cell>
        </row>
        <row r="156">
          <cell r="A156" t="str">
            <v>12793</v>
          </cell>
          <cell r="E156" t="str">
            <v>|-4142|22|&gt;= 0|</v>
          </cell>
          <cell r="F156" t="str">
            <v>Share of associates profit/(loss)</v>
          </cell>
          <cell r="J156" t="str">
            <v/>
          </cell>
          <cell r="K156" t="str">
            <v/>
          </cell>
          <cell r="Q156" t="str">
            <v/>
          </cell>
        </row>
        <row r="157">
          <cell r="A157" t="str">
            <v>12794</v>
          </cell>
          <cell r="E157" t="str">
            <v>|-4142|22|&gt;= 0|</v>
          </cell>
          <cell r="F157" t="str">
            <v>Operating profit</v>
          </cell>
          <cell r="J157" t="str">
            <v/>
          </cell>
          <cell r="K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  <cell r="V157" t="str">
            <v/>
          </cell>
          <cell r="W157" t="str">
            <v/>
          </cell>
          <cell r="X157" t="str">
            <v/>
          </cell>
          <cell r="Y157" t="str">
            <v/>
          </cell>
          <cell r="Z157" t="str">
            <v/>
          </cell>
          <cell r="AA157" t="str">
            <v/>
          </cell>
          <cell r="AB157" t="str">
            <v/>
          </cell>
          <cell r="AC157" t="str">
            <v/>
          </cell>
          <cell r="AD157" t="str">
            <v/>
          </cell>
          <cell r="AE157" t="str">
            <v/>
          </cell>
          <cell r="AF157">
            <v>102.69791620000001</v>
          </cell>
          <cell r="AG157">
            <v>59.772712499999983</v>
          </cell>
          <cell r="AH157">
            <v>66.19532768000002</v>
          </cell>
          <cell r="AI157">
            <v>96.710000000000008</v>
          </cell>
          <cell r="AJ157" t="str">
            <v/>
          </cell>
          <cell r="AK157" t="str">
            <v/>
          </cell>
          <cell r="AL157">
            <v>325.37595638000005</v>
          </cell>
          <cell r="AM157">
            <v>48.694209649999976</v>
          </cell>
        </row>
        <row r="158">
          <cell r="A158" t="str">
            <v>12911</v>
          </cell>
          <cell r="E158" t="str">
            <v>|37|22|&gt;= 0|</v>
          </cell>
          <cell r="F158" t="str">
            <v>Adjustments to operating profit</v>
          </cell>
          <cell r="J158" t="str">
            <v/>
          </cell>
          <cell r="K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  <cell r="V158" t="str">
            <v/>
          </cell>
          <cell r="W158" t="str">
            <v/>
          </cell>
          <cell r="X158" t="str">
            <v/>
          </cell>
          <cell r="Y158" t="str">
            <v/>
          </cell>
          <cell r="Z158" t="str">
            <v/>
          </cell>
          <cell r="AA158" t="str">
            <v/>
          </cell>
          <cell r="AB158" t="str">
            <v/>
          </cell>
          <cell r="AC158" t="str">
            <v/>
          </cell>
          <cell r="AD158" t="str">
            <v/>
          </cell>
          <cell r="AE158" t="str">
            <v/>
          </cell>
          <cell r="AF158" t="str">
            <v/>
          </cell>
          <cell r="AG158" t="str">
            <v/>
          </cell>
          <cell r="AH158" t="str">
            <v/>
          </cell>
          <cell r="AI158" t="str">
            <v/>
          </cell>
          <cell r="AJ158" t="str">
            <v/>
          </cell>
          <cell r="AK158" t="str">
            <v/>
          </cell>
          <cell r="AL158" t="str">
            <v/>
          </cell>
          <cell r="AM158" t="str">
            <v/>
          </cell>
        </row>
        <row r="159">
          <cell r="A159" t="str">
            <v>30647</v>
          </cell>
          <cell r="E159" t="str">
            <v>|-4142|23|&lt;= 0|</v>
          </cell>
          <cell r="F159" t="str">
            <v>EBIT Reported</v>
          </cell>
          <cell r="J159" t="str">
            <v/>
          </cell>
          <cell r="K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  <cell r="V159" t="str">
            <v/>
          </cell>
          <cell r="W159" t="str">
            <v/>
          </cell>
          <cell r="X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 t="str">
            <v/>
          </cell>
          <cell r="AD159" t="str">
            <v/>
          </cell>
          <cell r="AE159" t="str">
            <v/>
          </cell>
          <cell r="AF159">
            <v>102.69791620000001</v>
          </cell>
          <cell r="AG159">
            <v>59.772712499999983</v>
          </cell>
          <cell r="AH159">
            <v>66.19532768000002</v>
          </cell>
          <cell r="AI159">
            <v>96.710000000000008</v>
          </cell>
          <cell r="AJ159" t="str">
            <v/>
          </cell>
          <cell r="AK159" t="str">
            <v/>
          </cell>
          <cell r="AL159">
            <v>325.37595638000005</v>
          </cell>
          <cell r="AM159">
            <v>48.694209649999976</v>
          </cell>
        </row>
        <row r="160">
          <cell r="A160" t="str">
            <v>12801</v>
          </cell>
          <cell r="F160" t="str">
            <v>EBITDA Reported</v>
          </cell>
          <cell r="J160" t="str">
            <v/>
          </cell>
          <cell r="K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  <cell r="V160" t="str">
            <v/>
          </cell>
          <cell r="W160" t="str">
            <v/>
          </cell>
          <cell r="X160" t="str">
            <v/>
          </cell>
          <cell r="Y160" t="str">
            <v/>
          </cell>
          <cell r="Z160" t="str">
            <v/>
          </cell>
          <cell r="AA160" t="str">
            <v/>
          </cell>
          <cell r="AB160" t="str">
            <v/>
          </cell>
          <cell r="AC160" t="str">
            <v/>
          </cell>
          <cell r="AD160" t="str">
            <v/>
          </cell>
          <cell r="AE160" t="str">
            <v/>
          </cell>
          <cell r="AF160">
            <v>192.01591619999999</v>
          </cell>
          <cell r="AG160">
            <v>153.25371249999998</v>
          </cell>
          <cell r="AH160">
            <v>165.19532768000002</v>
          </cell>
          <cell r="AI160">
            <v>197.15700000000001</v>
          </cell>
          <cell r="AJ160" t="str">
            <v/>
          </cell>
          <cell r="AK160" t="str">
            <v/>
          </cell>
          <cell r="AL160">
            <v>707.62195638000003</v>
          </cell>
          <cell r="AM160">
            <v>147.06620964999996</v>
          </cell>
        </row>
        <row r="161">
          <cell r="A161" t="str">
            <v>12802</v>
          </cell>
          <cell r="E161" t="str">
            <v>|-4142|23|&lt;= 0|</v>
          </cell>
          <cell r="F161" t="str">
            <v>Financial Income/Expense</v>
          </cell>
          <cell r="J161" t="str">
            <v/>
          </cell>
          <cell r="K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  <cell r="V161" t="str">
            <v/>
          </cell>
          <cell r="W161" t="str">
            <v/>
          </cell>
          <cell r="X161" t="str">
            <v/>
          </cell>
          <cell r="Y161" t="str">
            <v/>
          </cell>
          <cell r="Z161" t="str">
            <v/>
          </cell>
          <cell r="AA161" t="str">
            <v/>
          </cell>
          <cell r="AB161" t="str">
            <v/>
          </cell>
          <cell r="AC161" t="str">
            <v/>
          </cell>
          <cell r="AD161" t="str">
            <v/>
          </cell>
          <cell r="AE161" t="str">
            <v/>
          </cell>
          <cell r="AF161">
            <v>-14.632999999999999</v>
          </cell>
          <cell r="AG161">
            <v>-16.140999999999998</v>
          </cell>
          <cell r="AH161">
            <v>-16.3</v>
          </cell>
          <cell r="AI161">
            <v>-21.277000000000001</v>
          </cell>
          <cell r="AJ161" t="str">
            <v/>
          </cell>
          <cell r="AK161" t="str">
            <v/>
          </cell>
          <cell r="AL161">
            <v>-68.350999999999999</v>
          </cell>
          <cell r="AM161">
            <v>-18.470999999999997</v>
          </cell>
        </row>
        <row r="162">
          <cell r="A162" t="str">
            <v>12803</v>
          </cell>
          <cell r="E162" t="str">
            <v>|-4142|12|NOTBLANK |23|&lt;= 0|</v>
          </cell>
          <cell r="F162" t="str">
            <v>Interest Expense</v>
          </cell>
          <cell r="J162" t="str">
            <v/>
          </cell>
          <cell r="K162" t="str">
            <v/>
          </cell>
          <cell r="Q162" t="str">
            <v/>
          </cell>
          <cell r="AF162">
            <v>-23.640999999999998</v>
          </cell>
          <cell r="AG162">
            <v>-26.073</v>
          </cell>
          <cell r="AH162">
            <v>-26</v>
          </cell>
          <cell r="AI162">
            <v>-32.075000000000003</v>
          </cell>
          <cell r="AL162">
            <v>-107.789</v>
          </cell>
          <cell r="AM162">
            <v>-30.143999999999998</v>
          </cell>
        </row>
        <row r="163">
          <cell r="A163" t="str">
            <v>12804</v>
          </cell>
          <cell r="E163" t="str">
            <v>|-4142|22|&gt;= 0|</v>
          </cell>
          <cell r="F163" t="str">
            <v>Interest Income</v>
          </cell>
          <cell r="J163" t="str">
            <v/>
          </cell>
          <cell r="K163" t="str">
            <v/>
          </cell>
          <cell r="Q163" t="str">
            <v/>
          </cell>
          <cell r="AF163">
            <v>0.36799999999999999</v>
          </cell>
          <cell r="AG163">
            <v>0.77400000000000002</v>
          </cell>
          <cell r="AH163">
            <v>0.7</v>
          </cell>
          <cell r="AI163">
            <v>1.206</v>
          </cell>
          <cell r="AL163">
            <v>3.048</v>
          </cell>
          <cell r="AM163">
            <v>0.82299999999999995</v>
          </cell>
        </row>
        <row r="164">
          <cell r="A164" t="str">
            <v>12805</v>
          </cell>
          <cell r="E164" t="str">
            <v>|-4142|49|&lt;= 0|</v>
          </cell>
          <cell r="F164" t="str">
            <v>Other Financial Income/Expense</v>
          </cell>
          <cell r="J164" t="str">
            <v/>
          </cell>
          <cell r="K164" t="str">
            <v/>
          </cell>
          <cell r="Q164" t="str">
            <v/>
          </cell>
          <cell r="AF164">
            <v>8.64</v>
          </cell>
          <cell r="AG164">
            <v>9.1579999999999995</v>
          </cell>
          <cell r="AH164">
            <v>9</v>
          </cell>
          <cell r="AI164">
            <v>9.5920000000000005</v>
          </cell>
          <cell r="AL164">
            <v>36.39</v>
          </cell>
          <cell r="AM164">
            <v>10.85</v>
          </cell>
        </row>
        <row r="165">
          <cell r="A165" t="str">
            <v>12806</v>
          </cell>
          <cell r="F165" t="str">
            <v>Foreign exchange gain / (loss)</v>
          </cell>
          <cell r="J165" t="str">
            <v/>
          </cell>
          <cell r="K165" t="str">
            <v/>
          </cell>
          <cell r="Q165" t="str">
            <v/>
          </cell>
        </row>
        <row r="166">
          <cell r="A166" t="str">
            <v>12807</v>
          </cell>
          <cell r="E166" t="str">
            <v>|-4142|23|&lt;= 0|</v>
          </cell>
          <cell r="F166" t="str">
            <v>Pretax income before extraords (reported)</v>
          </cell>
          <cell r="J166" t="str">
            <v/>
          </cell>
          <cell r="K166" t="str">
            <v/>
          </cell>
          <cell r="Q166" t="str">
            <v/>
          </cell>
          <cell r="R166" t="str">
            <v/>
          </cell>
          <cell r="S166" t="str">
            <v/>
          </cell>
          <cell r="T166" t="str">
            <v/>
          </cell>
          <cell r="U166" t="str">
            <v/>
          </cell>
          <cell r="V166" t="str">
            <v/>
          </cell>
          <cell r="W166" t="str">
            <v/>
          </cell>
          <cell r="X166" t="str">
            <v/>
          </cell>
          <cell r="Y166" t="str">
            <v/>
          </cell>
          <cell r="Z166" t="str">
            <v/>
          </cell>
          <cell r="AA166" t="str">
            <v/>
          </cell>
          <cell r="AB166" t="str">
            <v/>
          </cell>
          <cell r="AC166" t="str">
            <v/>
          </cell>
          <cell r="AD166" t="str">
            <v/>
          </cell>
          <cell r="AE166" t="str">
            <v/>
          </cell>
          <cell r="AF166">
            <v>88.064916200000013</v>
          </cell>
          <cell r="AG166">
            <v>43.631712499999985</v>
          </cell>
          <cell r="AH166">
            <v>49.895327680000022</v>
          </cell>
          <cell r="AI166">
            <v>75.433000000000007</v>
          </cell>
          <cell r="AJ166" t="str">
            <v/>
          </cell>
          <cell r="AK166" t="str">
            <v/>
          </cell>
          <cell r="AL166">
            <v>257.02495638000005</v>
          </cell>
          <cell r="AM166">
            <v>30.22320964999998</v>
          </cell>
        </row>
        <row r="167">
          <cell r="A167" t="str">
            <v>12810</v>
          </cell>
          <cell r="E167" t="str">
            <v>|37|23|&lt;= 0|</v>
          </cell>
          <cell r="F167" t="str">
            <v>Income tax expense (reported)</v>
          </cell>
          <cell r="J167" t="str">
            <v/>
          </cell>
          <cell r="K167" t="str">
            <v/>
          </cell>
          <cell r="Q167" t="str">
            <v/>
          </cell>
          <cell r="R167" t="str">
            <v/>
          </cell>
          <cell r="S167" t="str">
            <v/>
          </cell>
          <cell r="T167" t="str">
            <v/>
          </cell>
          <cell r="U167" t="str">
            <v/>
          </cell>
          <cell r="V167" t="str">
            <v/>
          </cell>
          <cell r="W167" t="str">
            <v/>
          </cell>
          <cell r="X167" t="str">
            <v/>
          </cell>
          <cell r="Y167" t="str">
            <v/>
          </cell>
          <cell r="Z167" t="str">
            <v/>
          </cell>
          <cell r="AA167" t="str">
            <v/>
          </cell>
          <cell r="AB167" t="str">
            <v/>
          </cell>
          <cell r="AC167" t="str">
            <v/>
          </cell>
          <cell r="AD167" t="str">
            <v/>
          </cell>
          <cell r="AE167" t="str">
            <v/>
          </cell>
          <cell r="AF167">
            <v>-35.204999999999998</v>
          </cell>
          <cell r="AG167">
            <v>-17.882999999999999</v>
          </cell>
          <cell r="AH167">
            <v>-20.457084348800009</v>
          </cell>
          <cell r="AI167">
            <v>-29.925000000000001</v>
          </cell>
          <cell r="AJ167" t="str">
            <v/>
          </cell>
          <cell r="AK167" t="str">
            <v/>
          </cell>
          <cell r="AL167">
            <v>-103.4700843488</v>
          </cell>
          <cell r="AM167">
            <v>-12.76</v>
          </cell>
        </row>
        <row r="168">
          <cell r="A168" t="str">
            <v>12808</v>
          </cell>
          <cell r="E168" t="str">
            <v>|37|23|&lt;= 0|</v>
          </cell>
          <cell r="F168" t="str">
            <v>Current Income tax payable</v>
          </cell>
          <cell r="J168" t="str">
            <v/>
          </cell>
          <cell r="K168" t="str">
            <v/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  <cell r="V168" t="str">
            <v/>
          </cell>
          <cell r="W168" t="str">
            <v/>
          </cell>
          <cell r="X168" t="str">
            <v/>
          </cell>
          <cell r="Y168" t="str">
            <v/>
          </cell>
          <cell r="Z168" t="str">
            <v/>
          </cell>
          <cell r="AA168" t="str">
            <v/>
          </cell>
          <cell r="AB168" t="str">
            <v/>
          </cell>
          <cell r="AC168" t="str">
            <v/>
          </cell>
          <cell r="AD168" t="str">
            <v/>
          </cell>
          <cell r="AE168" t="str">
            <v/>
          </cell>
          <cell r="AF168">
            <v>-8.4229999999999983</v>
          </cell>
          <cell r="AG168">
            <v>-8.1579999999999995</v>
          </cell>
          <cell r="AH168">
            <v>-5.1142710872000023</v>
          </cell>
          <cell r="AI168">
            <v>-7.4812499999999993</v>
          </cell>
          <cell r="AJ168" t="str">
            <v/>
          </cell>
          <cell r="AK168" t="str">
            <v/>
          </cell>
          <cell r="AL168">
            <v>-25.867521087200004</v>
          </cell>
          <cell r="AM168">
            <v>-7.4950000000000001</v>
          </cell>
        </row>
        <row r="169">
          <cell r="A169" t="str">
            <v>12809</v>
          </cell>
          <cell r="E169" t="str">
            <v>|-4142|49|&lt;= 0|</v>
          </cell>
          <cell r="F169" t="str">
            <v>Deferred Tax</v>
          </cell>
          <cell r="J169" t="str">
            <v/>
          </cell>
          <cell r="K169" t="str">
            <v/>
          </cell>
          <cell r="Q169" t="str">
            <v/>
          </cell>
          <cell r="AF169">
            <v>-26.782</v>
          </cell>
          <cell r="AG169">
            <v>-9.7249999999999996</v>
          </cell>
          <cell r="AH169">
            <v>-15.342813261600007</v>
          </cell>
          <cell r="AI169">
            <v>-22.443750000000001</v>
          </cell>
          <cell r="AL169">
            <v>-77.602563261599997</v>
          </cell>
          <cell r="AM169">
            <v>-5.2649999999999997</v>
          </cell>
        </row>
        <row r="170">
          <cell r="A170" t="str">
            <v>30393</v>
          </cell>
          <cell r="F170" t="str">
            <v>Post-tax contribution from associates</v>
          </cell>
          <cell r="J170" t="str">
            <v/>
          </cell>
          <cell r="K170" t="str">
            <v/>
          </cell>
          <cell r="Q170" t="str">
            <v/>
          </cell>
          <cell r="R170" t="str">
            <v/>
          </cell>
          <cell r="S170" t="str">
            <v/>
          </cell>
          <cell r="T170" t="str">
            <v/>
          </cell>
          <cell r="U170" t="str">
            <v/>
          </cell>
          <cell r="V170" t="str">
            <v/>
          </cell>
          <cell r="W170" t="str">
            <v/>
          </cell>
          <cell r="X170" t="str">
            <v/>
          </cell>
          <cell r="Y170" t="str">
            <v/>
          </cell>
          <cell r="Z170" t="str">
            <v/>
          </cell>
          <cell r="AA170" t="str">
            <v/>
          </cell>
          <cell r="AB170" t="str">
            <v/>
          </cell>
          <cell r="AC170" t="str">
            <v/>
          </cell>
          <cell r="AD170" t="str">
            <v/>
          </cell>
          <cell r="AE170" t="str">
            <v/>
          </cell>
          <cell r="AF170" t="str">
            <v/>
          </cell>
          <cell r="AG170" t="str">
            <v/>
          </cell>
          <cell r="AH170" t="str">
            <v/>
          </cell>
          <cell r="AI170" t="str">
            <v/>
          </cell>
          <cell r="AJ170" t="str">
            <v/>
          </cell>
          <cell r="AK170" t="str">
            <v/>
          </cell>
          <cell r="AL170" t="str">
            <v/>
          </cell>
          <cell r="AM170" t="str">
            <v/>
          </cell>
        </row>
        <row r="171">
          <cell r="A171" t="str">
            <v>12811</v>
          </cell>
          <cell r="F171" t="str">
            <v>Minority Interest</v>
          </cell>
          <cell r="J171" t="str">
            <v/>
          </cell>
          <cell r="K171" t="str">
            <v/>
          </cell>
          <cell r="Q171" t="str">
            <v/>
          </cell>
        </row>
        <row r="172">
          <cell r="A172" t="str">
            <v>30396</v>
          </cell>
          <cell r="F172" t="str">
            <v>Net Income before exceptionals (GAAP)</v>
          </cell>
          <cell r="J172" t="str">
            <v/>
          </cell>
          <cell r="K172" t="str">
            <v/>
          </cell>
          <cell r="Q172" t="str">
            <v/>
          </cell>
          <cell r="R172" t="str">
            <v/>
          </cell>
          <cell r="S172" t="str">
            <v/>
          </cell>
          <cell r="T172" t="str">
            <v/>
          </cell>
          <cell r="U172" t="str">
            <v/>
          </cell>
          <cell r="V172" t="str">
            <v/>
          </cell>
          <cell r="W172" t="str">
            <v/>
          </cell>
          <cell r="X172" t="str">
            <v/>
          </cell>
          <cell r="Y172" t="str">
            <v/>
          </cell>
          <cell r="Z172" t="str">
            <v/>
          </cell>
          <cell r="AA172" t="str">
            <v/>
          </cell>
          <cell r="AB172" t="str">
            <v/>
          </cell>
          <cell r="AC172" t="str">
            <v/>
          </cell>
          <cell r="AD172" t="str">
            <v/>
          </cell>
          <cell r="AE172" t="str">
            <v/>
          </cell>
          <cell r="AF172">
            <v>52.859916200000015</v>
          </cell>
          <cell r="AG172">
            <v>25.748712499999986</v>
          </cell>
          <cell r="AH172">
            <v>29.438243331200013</v>
          </cell>
          <cell r="AI172">
            <v>45.50800000000001</v>
          </cell>
          <cell r="AJ172" t="str">
            <v/>
          </cell>
          <cell r="AK172" t="str">
            <v/>
          </cell>
          <cell r="AL172">
            <v>153.55487203120003</v>
          </cell>
          <cell r="AM172">
            <v>17.463209649999982</v>
          </cell>
        </row>
        <row r="173">
          <cell r="A173" t="str">
            <v>30397</v>
          </cell>
          <cell r="F173" t="str">
            <v>Effect of discontinued operations</v>
          </cell>
          <cell r="J173" t="str">
            <v/>
          </cell>
          <cell r="K173" t="str">
            <v/>
          </cell>
          <cell r="Q173" t="str">
            <v/>
          </cell>
        </row>
        <row r="174">
          <cell r="A174" t="str">
            <v>30398</v>
          </cell>
          <cell r="F174" t="str">
            <v>Effect of accounting Changes</v>
          </cell>
          <cell r="J174" t="str">
            <v/>
          </cell>
          <cell r="K174" t="str">
            <v/>
          </cell>
          <cell r="Q174" t="str">
            <v/>
          </cell>
        </row>
        <row r="175">
          <cell r="A175" t="str">
            <v>30399</v>
          </cell>
          <cell r="F175" t="str">
            <v>Effect of extraordinary items</v>
          </cell>
          <cell r="J175" t="str">
            <v/>
          </cell>
          <cell r="K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  <cell r="V175" t="str">
            <v/>
          </cell>
          <cell r="W175" t="str">
            <v/>
          </cell>
          <cell r="X175" t="str">
            <v/>
          </cell>
          <cell r="Y175" t="str">
            <v/>
          </cell>
          <cell r="Z175" t="str">
            <v/>
          </cell>
          <cell r="AA175" t="str">
            <v/>
          </cell>
          <cell r="AB175" t="str">
            <v/>
          </cell>
          <cell r="AC175" t="str">
            <v/>
          </cell>
          <cell r="AD175" t="str">
            <v/>
          </cell>
          <cell r="AE175" t="str">
            <v/>
          </cell>
          <cell r="AF175" t="str">
            <v/>
          </cell>
          <cell r="AG175" t="str">
            <v/>
          </cell>
          <cell r="AH175" t="str">
            <v/>
          </cell>
          <cell r="AI175" t="str">
            <v/>
          </cell>
          <cell r="AJ175" t="str">
            <v/>
          </cell>
          <cell r="AK175" t="str">
            <v/>
          </cell>
          <cell r="AL175">
            <v>0</v>
          </cell>
          <cell r="AM175">
            <v>0</v>
          </cell>
        </row>
        <row r="176">
          <cell r="A176" t="str">
            <v>30709</v>
          </cell>
          <cell r="E176" t="str">
            <v>|-4142|12|NOTBLANK |23|&lt;= 0|</v>
          </cell>
          <cell r="F176" t="str">
            <v>Other exceptional items (Equiv. under non-US GAAP)</v>
          </cell>
          <cell r="J176" t="str">
            <v/>
          </cell>
          <cell r="K176" t="str">
            <v/>
          </cell>
          <cell r="Q176" t="str">
            <v/>
          </cell>
        </row>
        <row r="177">
          <cell r="A177" t="str">
            <v>12814</v>
          </cell>
          <cell r="E177" t="str">
            <v>|-4142|22|&gt;= 0|</v>
          </cell>
          <cell r="F177" t="str">
            <v>Total post-tax exceptionals</v>
          </cell>
          <cell r="J177" t="str">
            <v/>
          </cell>
          <cell r="K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  <cell r="V177" t="str">
            <v/>
          </cell>
          <cell r="W177" t="str">
            <v/>
          </cell>
          <cell r="X177" t="str">
            <v/>
          </cell>
          <cell r="Y177" t="str">
            <v/>
          </cell>
          <cell r="Z177" t="str">
            <v/>
          </cell>
          <cell r="AA177" t="str">
            <v/>
          </cell>
          <cell r="AB177" t="str">
            <v/>
          </cell>
          <cell r="AC177" t="str">
            <v/>
          </cell>
          <cell r="AD177" t="str">
            <v/>
          </cell>
          <cell r="AE177" t="str">
            <v/>
          </cell>
          <cell r="AF177" t="str">
            <v/>
          </cell>
          <cell r="AG177" t="str">
            <v/>
          </cell>
          <cell r="AH177" t="str">
            <v/>
          </cell>
          <cell r="AI177" t="str">
            <v/>
          </cell>
          <cell r="AJ177" t="str">
            <v/>
          </cell>
          <cell r="AK177" t="str">
            <v/>
          </cell>
          <cell r="AL177">
            <v>0</v>
          </cell>
          <cell r="AM177">
            <v>0</v>
          </cell>
        </row>
        <row r="178">
          <cell r="A178" t="str">
            <v>14864</v>
          </cell>
          <cell r="F178" t="str">
            <v>Net Income inc. exceptional items</v>
          </cell>
          <cell r="J178" t="str">
            <v/>
          </cell>
          <cell r="K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  <cell r="V178" t="str">
            <v/>
          </cell>
          <cell r="W178" t="str">
            <v/>
          </cell>
          <cell r="X178" t="str">
            <v/>
          </cell>
          <cell r="Y178" t="str">
            <v/>
          </cell>
          <cell r="Z178" t="str">
            <v/>
          </cell>
          <cell r="AA178" t="str">
            <v/>
          </cell>
          <cell r="AB178" t="str">
            <v/>
          </cell>
          <cell r="AC178" t="str">
            <v/>
          </cell>
          <cell r="AD178" t="str">
            <v/>
          </cell>
          <cell r="AE178" t="str">
            <v/>
          </cell>
          <cell r="AF178">
            <v>52.859916200000015</v>
          </cell>
          <cell r="AG178">
            <v>25.748712499999986</v>
          </cell>
          <cell r="AH178">
            <v>29.438243331200013</v>
          </cell>
          <cell r="AI178">
            <v>45.50800000000001</v>
          </cell>
          <cell r="AJ178" t="str">
            <v/>
          </cell>
          <cell r="AK178" t="str">
            <v/>
          </cell>
          <cell r="AL178">
            <v>153.55487203120003</v>
          </cell>
          <cell r="AM178">
            <v>17.463209649999982</v>
          </cell>
        </row>
        <row r="179">
          <cell r="A179" t="str">
            <v>12812</v>
          </cell>
          <cell r="E179" t="str">
            <v>|-4142|23|&lt;= 0|</v>
          </cell>
          <cell r="F179" t="str">
            <v>Preferred dividends</v>
          </cell>
          <cell r="J179" t="str">
            <v/>
          </cell>
          <cell r="K179" t="str">
            <v/>
          </cell>
          <cell r="Q179" t="str">
            <v/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L179">
            <v>0</v>
          </cell>
          <cell r="AM179">
            <v>0</v>
          </cell>
        </row>
        <row r="180">
          <cell r="A180" t="str">
            <v>12817</v>
          </cell>
          <cell r="F180" t="str">
            <v>Net Income attrib. to ord s/holders pre exceptionals</v>
          </cell>
          <cell r="J180" t="str">
            <v/>
          </cell>
          <cell r="K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  <cell r="V180" t="str">
            <v/>
          </cell>
          <cell r="W180" t="str">
            <v/>
          </cell>
          <cell r="X180" t="str">
            <v/>
          </cell>
          <cell r="Y180" t="str">
            <v/>
          </cell>
          <cell r="Z180" t="str">
            <v/>
          </cell>
          <cell r="AA180" t="str">
            <v/>
          </cell>
          <cell r="AB180" t="str">
            <v/>
          </cell>
          <cell r="AC180" t="str">
            <v/>
          </cell>
          <cell r="AD180" t="str">
            <v/>
          </cell>
          <cell r="AE180" t="str">
            <v/>
          </cell>
          <cell r="AF180">
            <v>52.859916200000015</v>
          </cell>
          <cell r="AG180">
            <v>25.748712499999986</v>
          </cell>
          <cell r="AH180">
            <v>29.438243331200013</v>
          </cell>
          <cell r="AI180">
            <v>45.50800000000001</v>
          </cell>
          <cell r="AJ180" t="str">
            <v/>
          </cell>
          <cell r="AK180" t="str">
            <v/>
          </cell>
          <cell r="AL180">
            <v>153.55487203120003</v>
          </cell>
          <cell r="AM180">
            <v>17.463209649999982</v>
          </cell>
        </row>
        <row r="181">
          <cell r="A181" t="str">
            <v/>
          </cell>
          <cell r="B181" t="str">
            <v/>
          </cell>
          <cell r="F181" t="str">
            <v>Profit before tax - Adjusted</v>
          </cell>
          <cell r="G181" t="str">
            <v/>
          </cell>
          <cell r="J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  <cell r="V181" t="str">
            <v/>
          </cell>
          <cell r="W181" t="str">
            <v/>
          </cell>
          <cell r="X181" t="str">
            <v/>
          </cell>
          <cell r="Y181" t="str">
            <v/>
          </cell>
          <cell r="Z181" t="str">
            <v/>
          </cell>
          <cell r="AA181" t="str">
            <v/>
          </cell>
          <cell r="AB181" t="str">
            <v/>
          </cell>
          <cell r="AC181" t="str">
            <v/>
          </cell>
          <cell r="AD181" t="str">
            <v/>
          </cell>
          <cell r="AE181" t="str">
            <v/>
          </cell>
          <cell r="AF181" t="str">
            <v/>
          </cell>
          <cell r="AG181" t="str">
            <v/>
          </cell>
          <cell r="AH181" t="str">
            <v/>
          </cell>
          <cell r="AI181" t="str">
            <v/>
          </cell>
          <cell r="AJ181" t="str">
            <v/>
          </cell>
          <cell r="AK181" t="str">
            <v/>
          </cell>
          <cell r="AL181" t="str">
            <v/>
          </cell>
          <cell r="AM181" t="str">
            <v/>
          </cell>
        </row>
        <row r="182">
          <cell r="A182" t="str">
            <v>55828</v>
          </cell>
          <cell r="E182" t="str">
            <v>|-4142|46|NOTBLANK |</v>
          </cell>
          <cell r="F182" t="str">
            <v>Adjustments to EBIT</v>
          </cell>
          <cell r="J182" t="str">
            <v/>
          </cell>
          <cell r="K182" t="str">
            <v>mm</v>
          </cell>
          <cell r="Q182" t="str">
            <v/>
          </cell>
        </row>
        <row r="183">
          <cell r="A183" t="str">
            <v>12532</v>
          </cell>
          <cell r="F183" t="str">
            <v>EBIT Reported</v>
          </cell>
          <cell r="J183" t="str">
            <v/>
          </cell>
          <cell r="K183" t="str">
            <v>mm</v>
          </cell>
          <cell r="Q183" t="str">
            <v/>
          </cell>
          <cell r="R183" t="str">
            <v/>
          </cell>
          <cell r="S183" t="str">
            <v/>
          </cell>
          <cell r="T183" t="str">
            <v/>
          </cell>
          <cell r="U183" t="str">
            <v/>
          </cell>
          <cell r="V183" t="str">
            <v/>
          </cell>
          <cell r="W183" t="str">
            <v/>
          </cell>
          <cell r="X183" t="str">
            <v/>
          </cell>
          <cell r="Y183" t="str">
            <v/>
          </cell>
          <cell r="Z183" t="str">
            <v/>
          </cell>
          <cell r="AA183" t="str">
            <v/>
          </cell>
          <cell r="AB183" t="str">
            <v/>
          </cell>
          <cell r="AC183" t="str">
            <v/>
          </cell>
          <cell r="AD183" t="str">
            <v/>
          </cell>
          <cell r="AE183" t="str">
            <v/>
          </cell>
          <cell r="AF183">
            <v>102.69791620000001</v>
          </cell>
          <cell r="AG183">
            <v>59.772712499999983</v>
          </cell>
          <cell r="AH183">
            <v>66.19532768000002</v>
          </cell>
          <cell r="AI183">
            <v>96.710000000000008</v>
          </cell>
          <cell r="AJ183" t="str">
            <v/>
          </cell>
          <cell r="AK183" t="str">
            <v/>
          </cell>
          <cell r="AL183">
            <v>325.37595638000005</v>
          </cell>
          <cell r="AM183">
            <v>48.694209649999976</v>
          </cell>
        </row>
        <row r="184">
          <cell r="A184" t="str">
            <v>28367</v>
          </cell>
          <cell r="F184" t="str">
            <v>Financial income treated as operational</v>
          </cell>
          <cell r="G184" t="str">
            <v/>
          </cell>
          <cell r="J184" t="str">
            <v/>
          </cell>
          <cell r="K184" t="str">
            <v/>
          </cell>
          <cell r="Q184" t="str">
            <v/>
          </cell>
        </row>
        <row r="185">
          <cell r="A185" t="str">
            <v>28366</v>
          </cell>
          <cell r="E185" t="str">
            <v>|-4142|23|&lt;= 0|</v>
          </cell>
          <cell r="F185" t="str">
            <v>Financial expense treated as operational</v>
          </cell>
          <cell r="G185" t="str">
            <v/>
          </cell>
          <cell r="J185" t="str">
            <v/>
          </cell>
          <cell r="K185" t="str">
            <v/>
          </cell>
          <cell r="Q185" t="str">
            <v/>
          </cell>
        </row>
        <row r="186">
          <cell r="A186" t="str">
            <v>30402</v>
          </cell>
          <cell r="F186" t="str">
            <v>Add: Total financials treated as operational</v>
          </cell>
          <cell r="J186" t="str">
            <v/>
          </cell>
          <cell r="K186" t="str">
            <v/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  <cell r="V186" t="str">
            <v/>
          </cell>
          <cell r="W186" t="str">
            <v/>
          </cell>
          <cell r="X186" t="str">
            <v/>
          </cell>
          <cell r="Y186" t="str">
            <v/>
          </cell>
          <cell r="Z186" t="str">
            <v/>
          </cell>
          <cell r="AA186" t="str">
            <v/>
          </cell>
          <cell r="AB186" t="str">
            <v/>
          </cell>
          <cell r="AC186" t="str">
            <v/>
          </cell>
          <cell r="AD186" t="str">
            <v/>
          </cell>
          <cell r="AE186" t="str">
            <v/>
          </cell>
          <cell r="AF186" t="str">
            <v/>
          </cell>
          <cell r="AG186" t="str">
            <v/>
          </cell>
          <cell r="AH186" t="str">
            <v/>
          </cell>
          <cell r="AI186" t="str">
            <v/>
          </cell>
          <cell r="AJ186" t="str">
            <v/>
          </cell>
          <cell r="AK186" t="str">
            <v/>
          </cell>
          <cell r="AL186" t="str">
            <v/>
          </cell>
          <cell r="AM186" t="str">
            <v/>
          </cell>
        </row>
        <row r="187">
          <cell r="A187" t="str">
            <v>12796</v>
          </cell>
          <cell r="E187" t="str">
            <v>|-4142|23|&lt;= 0|</v>
          </cell>
          <cell r="F187" t="str">
            <v>Restructuring Costs</v>
          </cell>
          <cell r="J187" t="str">
            <v/>
          </cell>
          <cell r="K187" t="str">
            <v/>
          </cell>
          <cell r="Q187" t="str">
            <v/>
          </cell>
        </row>
        <row r="188">
          <cell r="A188" t="str">
            <v>12797</v>
          </cell>
          <cell r="E188" t="str">
            <v>|-4142|23|&lt;= 0|</v>
          </cell>
          <cell r="F188" t="str">
            <v>Asset Writedowns</v>
          </cell>
          <cell r="J188" t="str">
            <v/>
          </cell>
          <cell r="K188" t="str">
            <v/>
          </cell>
          <cell r="Q188" t="str">
            <v/>
          </cell>
        </row>
        <row r="189">
          <cell r="A189" t="str">
            <v>12798</v>
          </cell>
          <cell r="F189" t="str">
            <v>Gain/Loss on sale of assets</v>
          </cell>
          <cell r="J189" t="str">
            <v/>
          </cell>
          <cell r="K189" t="str">
            <v/>
          </cell>
          <cell r="Q189" t="str">
            <v/>
          </cell>
        </row>
        <row r="190">
          <cell r="A190" t="str">
            <v>12799</v>
          </cell>
          <cell r="F190" t="str">
            <v>Other non-recurring items</v>
          </cell>
          <cell r="J190" t="str">
            <v/>
          </cell>
          <cell r="K190" t="str">
            <v/>
          </cell>
          <cell r="Q190" t="str">
            <v/>
          </cell>
          <cell r="AF190">
            <v>-1.988</v>
          </cell>
          <cell r="AG190">
            <v>1.2829999999999999</v>
          </cell>
          <cell r="AH190">
            <v>1</v>
          </cell>
          <cell r="AI190">
            <v>-3.05</v>
          </cell>
          <cell r="AJ190">
            <v>-2.7549999999999999</v>
          </cell>
          <cell r="AK190">
            <v>2.6339999999999999</v>
          </cell>
          <cell r="AL190">
            <v>-6.29</v>
          </cell>
          <cell r="AM190">
            <v>-1.107</v>
          </cell>
        </row>
        <row r="191">
          <cell r="A191" t="str">
            <v>12795</v>
          </cell>
          <cell r="F191" t="str">
            <v>Total pretax non-recurring items</v>
          </cell>
          <cell r="J191" t="str">
            <v/>
          </cell>
          <cell r="K191" t="str">
            <v/>
          </cell>
          <cell r="Q191" t="str">
            <v/>
          </cell>
          <cell r="R191" t="str">
            <v/>
          </cell>
          <cell r="S191" t="str">
            <v/>
          </cell>
          <cell r="T191" t="str">
            <v/>
          </cell>
          <cell r="U191" t="str">
            <v/>
          </cell>
          <cell r="V191" t="str">
            <v/>
          </cell>
          <cell r="W191" t="str">
            <v/>
          </cell>
          <cell r="X191" t="str">
            <v/>
          </cell>
          <cell r="Y191" t="str">
            <v/>
          </cell>
          <cell r="Z191" t="str">
            <v/>
          </cell>
          <cell r="AA191" t="str">
            <v/>
          </cell>
          <cell r="AB191" t="str">
            <v/>
          </cell>
          <cell r="AC191" t="str">
            <v/>
          </cell>
          <cell r="AD191" t="str">
            <v/>
          </cell>
          <cell r="AE191" t="str">
            <v/>
          </cell>
          <cell r="AF191">
            <v>-1.988</v>
          </cell>
          <cell r="AG191">
            <v>1.2829999999999999</v>
          </cell>
          <cell r="AH191">
            <v>1</v>
          </cell>
          <cell r="AI191">
            <v>-3.05</v>
          </cell>
          <cell r="AJ191">
            <v>-2.7549999999999999</v>
          </cell>
          <cell r="AK191">
            <v>2.6339999999999999</v>
          </cell>
          <cell r="AL191">
            <v>-6.29</v>
          </cell>
          <cell r="AM191">
            <v>-1.107</v>
          </cell>
        </row>
        <row r="192">
          <cell r="A192" t="str">
            <v>12910</v>
          </cell>
          <cell r="E192" t="str">
            <v>|37|24|NUMERIC |</v>
          </cell>
          <cell r="F192" t="str">
            <v>EBIT Adjusted</v>
          </cell>
          <cell r="J192" t="str">
            <v/>
          </cell>
          <cell r="K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  <cell r="V192" t="str">
            <v/>
          </cell>
          <cell r="W192" t="str">
            <v/>
          </cell>
          <cell r="X192" t="str">
            <v/>
          </cell>
          <cell r="Y192" t="str">
            <v/>
          </cell>
          <cell r="Z192" t="str">
            <v/>
          </cell>
          <cell r="AA192" t="str">
            <v/>
          </cell>
          <cell r="AB192" t="str">
            <v/>
          </cell>
          <cell r="AC192" t="str">
            <v/>
          </cell>
          <cell r="AD192" t="str">
            <v/>
          </cell>
          <cell r="AE192" t="str">
            <v/>
          </cell>
          <cell r="AF192">
            <v>104.68591620000001</v>
          </cell>
          <cell r="AG192">
            <v>58.489712499999982</v>
          </cell>
          <cell r="AH192">
            <v>65.19532768000002</v>
          </cell>
          <cell r="AI192">
            <v>99.76</v>
          </cell>
          <cell r="AJ192" t="str">
            <v/>
          </cell>
          <cell r="AK192" t="str">
            <v/>
          </cell>
          <cell r="AL192">
            <v>331.66595638000007</v>
          </cell>
          <cell r="AM192">
            <v>49.801209649999976</v>
          </cell>
        </row>
        <row r="193">
          <cell r="A193" t="str">
            <v>12793</v>
          </cell>
          <cell r="F193" t="str">
            <v>EBITDA Adjusted</v>
          </cell>
          <cell r="J193" t="str">
            <v/>
          </cell>
          <cell r="Q193" t="str">
            <v/>
          </cell>
        </row>
        <row r="194">
          <cell r="A194" t="str">
            <v>30647</v>
          </cell>
          <cell r="F194" t="str">
            <v>EBITDA Reported</v>
          </cell>
          <cell r="J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  <cell r="V194" t="str">
            <v/>
          </cell>
          <cell r="W194" t="str">
            <v/>
          </cell>
          <cell r="X194" t="str">
            <v/>
          </cell>
          <cell r="Y194" t="str">
            <v/>
          </cell>
          <cell r="Z194" t="str">
            <v/>
          </cell>
          <cell r="AA194" t="str">
            <v/>
          </cell>
          <cell r="AB194" t="str">
            <v/>
          </cell>
          <cell r="AC194" t="str">
            <v/>
          </cell>
          <cell r="AD194" t="str">
            <v/>
          </cell>
          <cell r="AE194" t="str">
            <v/>
          </cell>
          <cell r="AF194">
            <v>192.01591619999999</v>
          </cell>
          <cell r="AG194">
            <v>153.25371249999998</v>
          </cell>
          <cell r="AH194">
            <v>165.19532768000002</v>
          </cell>
          <cell r="AI194">
            <v>197.15700000000001</v>
          </cell>
          <cell r="AJ194" t="str">
            <v/>
          </cell>
          <cell r="AK194" t="str">
            <v/>
          </cell>
          <cell r="AL194">
            <v>707.62195638000003</v>
          </cell>
          <cell r="AM194">
            <v>147.06620964999996</v>
          </cell>
        </row>
        <row r="195">
          <cell r="A195" t="str">
            <v>12965</v>
          </cell>
          <cell r="F195" t="str">
            <v>EBITDA Adjusted</v>
          </cell>
          <cell r="J195" t="str">
            <v/>
          </cell>
          <cell r="K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  <cell r="V195" t="str">
            <v/>
          </cell>
          <cell r="W195" t="str">
            <v/>
          </cell>
          <cell r="X195" t="str">
            <v/>
          </cell>
          <cell r="Y195" t="str">
            <v/>
          </cell>
          <cell r="Z195" t="str">
            <v/>
          </cell>
          <cell r="AA195" t="str">
            <v/>
          </cell>
          <cell r="AB195" t="str">
            <v/>
          </cell>
          <cell r="AC195" t="str">
            <v/>
          </cell>
          <cell r="AD195" t="str">
            <v/>
          </cell>
          <cell r="AE195" t="str">
            <v/>
          </cell>
          <cell r="AF195">
            <v>194.00391619999999</v>
          </cell>
          <cell r="AG195">
            <v>151.97071249999999</v>
          </cell>
          <cell r="AH195">
            <v>164.19532768000002</v>
          </cell>
          <cell r="AI195">
            <v>200.20699999999999</v>
          </cell>
          <cell r="AJ195" t="str">
            <v/>
          </cell>
          <cell r="AK195" t="str">
            <v/>
          </cell>
          <cell r="AL195">
            <v>713.91195637999999</v>
          </cell>
          <cell r="AM195">
            <v>148.17320964999999</v>
          </cell>
        </row>
        <row r="196">
          <cell r="A196" t="str">
            <v>30402</v>
          </cell>
          <cell r="F196" t="str">
            <v>Adjustments to Net Income</v>
          </cell>
          <cell r="J196" t="str">
            <v/>
          </cell>
          <cell r="Q196" t="str">
            <v/>
          </cell>
        </row>
        <row r="197">
          <cell r="A197" t="str">
            <v>12796</v>
          </cell>
          <cell r="E197" t="str">
            <v>|-4142|23|&lt;= 0|</v>
          </cell>
          <cell r="F197" t="str">
            <v>Net Income inc. exceptional items</v>
          </cell>
          <cell r="J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  <cell r="V197" t="str">
            <v/>
          </cell>
          <cell r="W197" t="str">
            <v/>
          </cell>
          <cell r="X197" t="str">
            <v/>
          </cell>
          <cell r="Y197" t="str">
            <v/>
          </cell>
          <cell r="Z197" t="str">
            <v/>
          </cell>
          <cell r="AA197" t="str">
            <v/>
          </cell>
          <cell r="AB197" t="str">
            <v/>
          </cell>
          <cell r="AC197" t="str">
            <v/>
          </cell>
          <cell r="AD197" t="str">
            <v/>
          </cell>
          <cell r="AE197" t="str">
            <v/>
          </cell>
          <cell r="AF197">
            <v>52.859916200000015</v>
          </cell>
          <cell r="AG197">
            <v>25.748712499999986</v>
          </cell>
          <cell r="AH197">
            <v>29.438243331200013</v>
          </cell>
          <cell r="AI197">
            <v>45.50800000000001</v>
          </cell>
          <cell r="AJ197" t="str">
            <v/>
          </cell>
          <cell r="AK197" t="str">
            <v/>
          </cell>
          <cell r="AL197">
            <v>153.55487203120003</v>
          </cell>
          <cell r="AM197">
            <v>17.463209649999982</v>
          </cell>
        </row>
        <row r="198">
          <cell r="A198" t="str">
            <v>30404</v>
          </cell>
          <cell r="E198" t="str">
            <v>|-4142|23|&lt;= 0|</v>
          </cell>
          <cell r="F198" t="str">
            <v>Non-recurring items after tax</v>
          </cell>
          <cell r="J198" t="str">
            <v/>
          </cell>
          <cell r="K198" t="str">
            <v/>
          </cell>
          <cell r="Q198" t="str">
            <v/>
          </cell>
        </row>
        <row r="199">
          <cell r="A199" t="str">
            <v>30405</v>
          </cell>
          <cell r="F199" t="str">
            <v>Reversal exceptionals post tax</v>
          </cell>
          <cell r="J199" t="str">
            <v/>
          </cell>
          <cell r="K199" t="str">
            <v/>
          </cell>
          <cell r="Q199" t="str">
            <v/>
          </cell>
          <cell r="R199" t="str">
            <v/>
          </cell>
          <cell r="AF199" t="str">
            <v/>
          </cell>
          <cell r="AG199" t="str">
            <v/>
          </cell>
          <cell r="AH199" t="str">
            <v/>
          </cell>
          <cell r="AI199" t="str">
            <v/>
          </cell>
          <cell r="AJ199" t="str">
            <v/>
          </cell>
          <cell r="AK199" t="str">
            <v/>
          </cell>
          <cell r="AL199">
            <v>0</v>
          </cell>
          <cell r="AM199">
            <v>0</v>
          </cell>
        </row>
        <row r="200">
          <cell r="A200" t="str">
            <v>30406</v>
          </cell>
          <cell r="F200" t="str">
            <v>Reversal of goodwill amort.</v>
          </cell>
          <cell r="J200" t="str">
            <v/>
          </cell>
          <cell r="K200" t="str">
            <v/>
          </cell>
          <cell r="Q200" t="str">
            <v/>
          </cell>
          <cell r="R200" t="str">
            <v/>
          </cell>
          <cell r="AF200" t="str">
            <v/>
          </cell>
          <cell r="AG200" t="str">
            <v/>
          </cell>
          <cell r="AH200" t="str">
            <v/>
          </cell>
          <cell r="AI200" t="str">
            <v/>
          </cell>
          <cell r="AJ200" t="str">
            <v/>
          </cell>
          <cell r="AK200" t="str">
            <v/>
          </cell>
          <cell r="AL200" t="str">
            <v/>
          </cell>
          <cell r="AM200" t="str">
            <v/>
          </cell>
        </row>
        <row r="201">
          <cell r="A201" t="str">
            <v>30407</v>
          </cell>
          <cell r="F201" t="str">
            <v>Other adjustments to net income</v>
          </cell>
          <cell r="J201" t="str">
            <v/>
          </cell>
          <cell r="K201" t="str">
            <v/>
          </cell>
          <cell r="Q201" t="str">
            <v/>
          </cell>
          <cell r="AL201">
            <v>0</v>
          </cell>
          <cell r="AM201">
            <v>0</v>
          </cell>
        </row>
        <row r="202">
          <cell r="A202" t="str">
            <v>30403</v>
          </cell>
          <cell r="F202" t="str">
            <v>Total adjustments to net income, net of  tax</v>
          </cell>
          <cell r="J202" t="str">
            <v/>
          </cell>
          <cell r="K202" t="str">
            <v/>
          </cell>
          <cell r="Q202" t="str">
            <v/>
          </cell>
          <cell r="R202" t="str">
            <v/>
          </cell>
          <cell r="S202" t="str">
            <v/>
          </cell>
          <cell r="T202" t="str">
            <v/>
          </cell>
          <cell r="U202" t="str">
            <v/>
          </cell>
          <cell r="V202" t="str">
            <v/>
          </cell>
          <cell r="W202" t="str">
            <v/>
          </cell>
          <cell r="X202" t="str">
            <v/>
          </cell>
          <cell r="Y202" t="str">
            <v/>
          </cell>
          <cell r="Z202" t="str">
            <v/>
          </cell>
          <cell r="AA202" t="str">
            <v/>
          </cell>
          <cell r="AB202" t="str">
            <v/>
          </cell>
          <cell r="AC202" t="str">
            <v/>
          </cell>
          <cell r="AD202" t="str">
            <v/>
          </cell>
          <cell r="AE202" t="str">
            <v/>
          </cell>
          <cell r="AF202" t="str">
            <v/>
          </cell>
          <cell r="AG202" t="str">
            <v/>
          </cell>
          <cell r="AH202" t="str">
            <v/>
          </cell>
          <cell r="AI202" t="str">
            <v/>
          </cell>
          <cell r="AJ202" t="str">
            <v/>
          </cell>
          <cell r="AK202" t="str">
            <v/>
          </cell>
          <cell r="AL202">
            <v>0</v>
          </cell>
          <cell r="AM202">
            <v>0</v>
          </cell>
        </row>
        <row r="203">
          <cell r="A203" t="str">
            <v>15298</v>
          </cell>
          <cell r="F203" t="str">
            <v>Preferred dividends (reported from above)</v>
          </cell>
          <cell r="J203" t="str">
            <v/>
          </cell>
          <cell r="K203" t="str">
            <v/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  <cell r="V203" t="str">
            <v/>
          </cell>
          <cell r="W203" t="str">
            <v/>
          </cell>
          <cell r="X203" t="str">
            <v/>
          </cell>
          <cell r="Y203" t="str">
            <v/>
          </cell>
          <cell r="Z203" t="str">
            <v/>
          </cell>
          <cell r="AA203" t="str">
            <v/>
          </cell>
          <cell r="AB203" t="str">
            <v/>
          </cell>
          <cell r="AC203" t="str">
            <v/>
          </cell>
          <cell r="AD203" t="str">
            <v/>
          </cell>
          <cell r="AE203" t="str">
            <v/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 t="str">
            <v/>
          </cell>
          <cell r="AK203" t="str">
            <v/>
          </cell>
          <cell r="AL203">
            <v>0</v>
          </cell>
          <cell r="AM203">
            <v>0</v>
          </cell>
        </row>
        <row r="204">
          <cell r="A204" t="str">
            <v>12813</v>
          </cell>
          <cell r="F204" t="str">
            <v>Net Income Adjusted</v>
          </cell>
          <cell r="J204" t="str">
            <v/>
          </cell>
          <cell r="K204" t="str">
            <v/>
          </cell>
          <cell r="Q204" t="str">
            <v/>
          </cell>
          <cell r="R204" t="str">
            <v/>
          </cell>
          <cell r="S204" t="str">
            <v/>
          </cell>
          <cell r="T204" t="str">
            <v/>
          </cell>
          <cell r="U204" t="str">
            <v/>
          </cell>
          <cell r="V204" t="str">
            <v/>
          </cell>
          <cell r="W204" t="str">
            <v/>
          </cell>
          <cell r="X204" t="str">
            <v/>
          </cell>
          <cell r="Y204" t="str">
            <v/>
          </cell>
          <cell r="Z204" t="str">
            <v/>
          </cell>
          <cell r="AA204" t="str">
            <v/>
          </cell>
          <cell r="AB204" t="str">
            <v/>
          </cell>
          <cell r="AC204" t="str">
            <v/>
          </cell>
          <cell r="AD204" t="str">
            <v/>
          </cell>
          <cell r="AE204" t="str">
            <v/>
          </cell>
          <cell r="AF204">
            <v>52.859916200000015</v>
          </cell>
          <cell r="AG204">
            <v>25.748712499999986</v>
          </cell>
          <cell r="AH204">
            <v>29.438243331200013</v>
          </cell>
          <cell r="AI204">
            <v>45.50800000000001</v>
          </cell>
          <cell r="AJ204" t="str">
            <v/>
          </cell>
          <cell r="AK204" t="str">
            <v/>
          </cell>
          <cell r="AL204">
            <v>153.55487203120003</v>
          </cell>
          <cell r="AM204">
            <v>17.463209649999982</v>
          </cell>
        </row>
        <row r="205">
          <cell r="A205" t="str">
            <v>30410</v>
          </cell>
          <cell r="F205" t="str">
            <v>Dilution adjustment to EPS numerator</v>
          </cell>
          <cell r="J205" t="str">
            <v/>
          </cell>
          <cell r="K205" t="str">
            <v/>
          </cell>
          <cell r="Q205" t="str">
            <v/>
          </cell>
        </row>
        <row r="206">
          <cell r="A206" t="str">
            <v/>
          </cell>
          <cell r="B206" t="str">
            <v/>
          </cell>
          <cell r="F206" t="str">
            <v>EBIT Reported</v>
          </cell>
          <cell r="G206" t="str">
            <v/>
          </cell>
          <cell r="J206" t="str">
            <v/>
          </cell>
          <cell r="Q206" t="str">
            <v/>
          </cell>
          <cell r="R206" t="str">
            <v/>
          </cell>
          <cell r="S206" t="str">
            <v/>
          </cell>
          <cell r="T206" t="str">
            <v/>
          </cell>
          <cell r="U206" t="str">
            <v/>
          </cell>
          <cell r="V206" t="str">
            <v/>
          </cell>
          <cell r="W206" t="str">
            <v/>
          </cell>
          <cell r="X206" t="str">
            <v/>
          </cell>
          <cell r="Y206" t="str">
            <v/>
          </cell>
          <cell r="Z206" t="str">
            <v/>
          </cell>
          <cell r="AA206" t="str">
            <v/>
          </cell>
          <cell r="AB206" t="str">
            <v/>
          </cell>
          <cell r="AC206" t="str">
            <v/>
          </cell>
          <cell r="AD206" t="str">
            <v/>
          </cell>
          <cell r="AE206" t="str">
            <v/>
          </cell>
          <cell r="AF206">
            <v>102.69791620000001</v>
          </cell>
          <cell r="AG206">
            <v>59.772712499999983</v>
          </cell>
          <cell r="AH206">
            <v>66.19532768000002</v>
          </cell>
          <cell r="AI206">
            <v>96.710000000000008</v>
          </cell>
          <cell r="AJ206" t="str">
            <v/>
          </cell>
          <cell r="AK206" t="str">
            <v/>
          </cell>
          <cell r="AL206">
            <v>325.37595638000005</v>
          </cell>
          <cell r="AM206">
            <v>48.694209649999976</v>
          </cell>
        </row>
        <row r="207">
          <cell r="A207" t="str">
            <v>30396</v>
          </cell>
          <cell r="F207" t="str">
            <v>Supplementary measures</v>
          </cell>
          <cell r="J207" t="str">
            <v/>
          </cell>
          <cell r="Q207" t="str">
            <v/>
          </cell>
          <cell r="R207" t="str">
            <v/>
          </cell>
          <cell r="S207" t="str">
            <v/>
          </cell>
          <cell r="T207" t="str">
            <v/>
          </cell>
          <cell r="U207" t="str">
            <v/>
          </cell>
          <cell r="V207" t="str">
            <v/>
          </cell>
          <cell r="W207" t="str">
            <v/>
          </cell>
          <cell r="X207" t="str">
            <v/>
          </cell>
          <cell r="Y207" t="str">
            <v/>
          </cell>
          <cell r="Z207" t="str">
            <v/>
          </cell>
          <cell r="AA207" t="str">
            <v/>
          </cell>
          <cell r="AB207" t="str">
            <v/>
          </cell>
          <cell r="AC207" t="str">
            <v/>
          </cell>
          <cell r="AD207" t="str">
            <v/>
          </cell>
          <cell r="AE207" t="str">
            <v/>
          </cell>
          <cell r="AF207" t="str">
            <v/>
          </cell>
          <cell r="AG207" t="str">
            <v/>
          </cell>
          <cell r="AH207" t="str">
            <v/>
          </cell>
          <cell r="AI207" t="str">
            <v/>
          </cell>
          <cell r="AJ207" t="str">
            <v/>
          </cell>
          <cell r="AK207" t="str">
            <v/>
          </cell>
          <cell r="AL207" t="str">
            <v/>
          </cell>
          <cell r="AM207" t="str">
            <v/>
          </cell>
        </row>
        <row r="208">
          <cell r="A208" t="str">
            <v>50070</v>
          </cell>
          <cell r="F208" t="str">
            <v>Restricted Stock</v>
          </cell>
          <cell r="J208" t="str">
            <v/>
          </cell>
          <cell r="K208" t="str">
            <v/>
          </cell>
          <cell r="Q208" t="str">
            <v/>
          </cell>
        </row>
        <row r="209">
          <cell r="A209" t="str">
            <v>50071</v>
          </cell>
          <cell r="F209" t="str">
            <v>Stock Options</v>
          </cell>
          <cell r="J209" t="str">
            <v/>
          </cell>
          <cell r="K209" t="str">
            <v/>
          </cell>
          <cell r="Q209" t="str">
            <v/>
          </cell>
        </row>
        <row r="210">
          <cell r="A210" t="str">
            <v>50072</v>
          </cell>
          <cell r="F210" t="str">
            <v>Total equity-based compensation</v>
          </cell>
          <cell r="J210" t="str">
            <v/>
          </cell>
          <cell r="K210" t="str">
            <v/>
          </cell>
          <cell r="Q210" t="str">
            <v/>
          </cell>
        </row>
        <row r="211">
          <cell r="A211" t="str">
            <v>50073</v>
          </cell>
          <cell r="F211" t="str">
            <v>Expense options at fair value?</v>
          </cell>
          <cell r="J211" t="str">
            <v>string</v>
          </cell>
          <cell r="K211" t="str">
            <v>actual</v>
          </cell>
          <cell r="Q211" t="str">
            <v/>
          </cell>
          <cell r="R211" t="str">
            <v>o</v>
          </cell>
          <cell r="S211" t="str">
            <v>o</v>
          </cell>
          <cell r="T211" t="str">
            <v>o</v>
          </cell>
          <cell r="U211" t="str">
            <v>o</v>
          </cell>
          <cell r="V211" t="str">
            <v>o</v>
          </cell>
          <cell r="W211" t="str">
            <v>o</v>
          </cell>
          <cell r="X211" t="str">
            <v>o</v>
          </cell>
          <cell r="Y211" t="str">
            <v>o</v>
          </cell>
          <cell r="Z211" t="str">
            <v>o</v>
          </cell>
          <cell r="AA211" t="str">
            <v>o</v>
          </cell>
          <cell r="AB211" t="str">
            <v>o</v>
          </cell>
          <cell r="AC211" t="str">
            <v>o</v>
          </cell>
          <cell r="AD211" t="str">
            <v>o</v>
          </cell>
          <cell r="AE211" t="str">
            <v>o</v>
          </cell>
          <cell r="AF211" t="str">
            <v>o</v>
          </cell>
          <cell r="AG211" t="str">
            <v>o</v>
          </cell>
          <cell r="AH211" t="str">
            <v>o</v>
          </cell>
          <cell r="AI211" t="str">
            <v>o</v>
          </cell>
          <cell r="AJ211" t="str">
            <v>o</v>
          </cell>
          <cell r="AK211" t="str">
            <v>o</v>
          </cell>
          <cell r="AL211" t="str">
            <v>o</v>
          </cell>
          <cell r="AM211" t="str">
            <v>o</v>
          </cell>
        </row>
        <row r="212">
          <cell r="A212" t="str">
            <v>29387</v>
          </cell>
          <cell r="F212" t="str">
            <v>Proportional Revenue</v>
          </cell>
          <cell r="G212" t="str">
            <v/>
          </cell>
          <cell r="J212" t="str">
            <v/>
          </cell>
          <cell r="K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  <cell r="V212" t="str">
            <v/>
          </cell>
          <cell r="W212" t="str">
            <v/>
          </cell>
          <cell r="X212" t="str">
            <v/>
          </cell>
          <cell r="Y212" t="str">
            <v/>
          </cell>
          <cell r="Z212" t="str">
            <v/>
          </cell>
          <cell r="AA212" t="str">
            <v/>
          </cell>
          <cell r="AB212" t="str">
            <v/>
          </cell>
          <cell r="AC212" t="str">
            <v/>
          </cell>
          <cell r="AD212" t="str">
            <v/>
          </cell>
          <cell r="AE212" t="str">
            <v/>
          </cell>
          <cell r="AF212" t="str">
            <v/>
          </cell>
          <cell r="AG212" t="str">
            <v/>
          </cell>
          <cell r="AH212" t="str">
            <v/>
          </cell>
          <cell r="AI212" t="str">
            <v/>
          </cell>
          <cell r="AJ212" t="str">
            <v/>
          </cell>
          <cell r="AK212" t="str">
            <v/>
          </cell>
          <cell r="AL212" t="str">
            <v/>
          </cell>
          <cell r="AM212" t="str">
            <v/>
          </cell>
        </row>
        <row r="213">
          <cell r="A213" t="str">
            <v>30408</v>
          </cell>
          <cell r="F213" t="str">
            <v>Revenue from Discont. Ops</v>
          </cell>
          <cell r="G213" t="str">
            <v/>
          </cell>
          <cell r="J213" t="str">
            <v/>
          </cell>
          <cell r="K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  <cell r="V213" t="str">
            <v/>
          </cell>
          <cell r="W213" t="str">
            <v/>
          </cell>
          <cell r="X213" t="str">
            <v/>
          </cell>
          <cell r="Y213" t="str">
            <v/>
          </cell>
          <cell r="Z213" t="str">
            <v/>
          </cell>
          <cell r="AA213" t="str">
            <v/>
          </cell>
          <cell r="AB213" t="str">
            <v/>
          </cell>
          <cell r="AC213" t="str">
            <v/>
          </cell>
          <cell r="AD213" t="str">
            <v/>
          </cell>
          <cell r="AE213" t="str">
            <v/>
          </cell>
          <cell r="AF213" t="str">
            <v/>
          </cell>
          <cell r="AG213" t="str">
            <v/>
          </cell>
          <cell r="AH213" t="str">
            <v/>
          </cell>
          <cell r="AI213" t="str">
            <v/>
          </cell>
          <cell r="AJ213" t="str">
            <v/>
          </cell>
          <cell r="AK213" t="str">
            <v/>
          </cell>
          <cell r="AL213" t="str">
            <v/>
          </cell>
          <cell r="AM213" t="str">
            <v/>
          </cell>
        </row>
        <row r="214">
          <cell r="A214" t="str">
            <v>30409</v>
          </cell>
          <cell r="F214" t="str">
            <v>Profit before tax - Adjusted</v>
          </cell>
          <cell r="J214" t="str">
            <v/>
          </cell>
          <cell r="K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  <cell r="V214" t="str">
            <v/>
          </cell>
          <cell r="W214" t="str">
            <v/>
          </cell>
          <cell r="X214" t="str">
            <v/>
          </cell>
          <cell r="Y214" t="str">
            <v/>
          </cell>
          <cell r="Z214" t="str">
            <v/>
          </cell>
          <cell r="AA214" t="str">
            <v/>
          </cell>
          <cell r="AB214" t="str">
            <v/>
          </cell>
          <cell r="AC214" t="str">
            <v/>
          </cell>
          <cell r="AD214" t="str">
            <v/>
          </cell>
          <cell r="AE214" t="str">
            <v/>
          </cell>
          <cell r="AF214" t="str">
            <v/>
          </cell>
          <cell r="AG214" t="str">
            <v/>
          </cell>
          <cell r="AH214" t="str">
            <v/>
          </cell>
          <cell r="AI214" t="str">
            <v/>
          </cell>
          <cell r="AJ214" t="str">
            <v/>
          </cell>
          <cell r="AK214" t="str">
            <v/>
          </cell>
          <cell r="AL214" t="str">
            <v/>
          </cell>
          <cell r="AM214" t="str">
            <v/>
          </cell>
        </row>
        <row r="215">
          <cell r="A215" t="str">
            <v>30392</v>
          </cell>
          <cell r="B215" t="str">
            <v/>
          </cell>
          <cell r="F215" t="str">
            <v>Tax on non-recurring items</v>
          </cell>
          <cell r="G215" t="str">
            <v/>
          </cell>
          <cell r="J215" t="str">
            <v/>
          </cell>
          <cell r="K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  <cell r="V215" t="str">
            <v/>
          </cell>
          <cell r="W215" t="str">
            <v/>
          </cell>
          <cell r="X215" t="str">
            <v/>
          </cell>
          <cell r="Y215" t="str">
            <v/>
          </cell>
          <cell r="Z215" t="str">
            <v/>
          </cell>
          <cell r="AA215" t="str">
            <v/>
          </cell>
          <cell r="AB215" t="str">
            <v/>
          </cell>
          <cell r="AC215" t="str">
            <v/>
          </cell>
          <cell r="AD215" t="str">
            <v/>
          </cell>
          <cell r="AE215" t="str">
            <v/>
          </cell>
          <cell r="AF215" t="str">
            <v/>
          </cell>
          <cell r="AG215" t="str">
            <v/>
          </cell>
          <cell r="AH215" t="str">
            <v/>
          </cell>
          <cell r="AI215" t="str">
            <v/>
          </cell>
          <cell r="AJ215" t="str">
            <v/>
          </cell>
          <cell r="AK215" t="str">
            <v/>
          </cell>
          <cell r="AL215" t="str">
            <v/>
          </cell>
          <cell r="AM215" t="str">
            <v/>
          </cell>
        </row>
        <row r="216">
          <cell r="A216" t="str">
            <v>29388</v>
          </cell>
          <cell r="F216" t="str">
            <v>Proportional EBITDA</v>
          </cell>
          <cell r="J216" t="str">
            <v/>
          </cell>
          <cell r="K216" t="str">
            <v/>
          </cell>
          <cell r="Q216" t="str">
            <v/>
          </cell>
        </row>
        <row r="217">
          <cell r="A217" t="str">
            <v>14204</v>
          </cell>
          <cell r="F217" t="str">
            <v>Headcount</v>
          </cell>
          <cell r="G217" t="str">
            <v/>
          </cell>
          <cell r="J217" t="str">
            <v>numeric</v>
          </cell>
          <cell r="K217" t="str">
            <v>actual</v>
          </cell>
          <cell r="Q217" t="str">
            <v/>
          </cell>
        </row>
        <row r="218">
          <cell r="A218" t="str">
            <v>14845</v>
          </cell>
          <cell r="F218" t="str">
            <v>Personnel Costs</v>
          </cell>
          <cell r="G218" t="str">
            <v/>
          </cell>
          <cell r="J218" t="str">
            <v/>
          </cell>
          <cell r="K218" t="str">
            <v/>
          </cell>
          <cell r="Q218" t="str">
            <v/>
          </cell>
        </row>
        <row r="219">
          <cell r="A219" t="str">
            <v>13961</v>
          </cell>
          <cell r="F219" t="str">
            <v>Capitalized Interest</v>
          </cell>
          <cell r="J219" t="str">
            <v/>
          </cell>
          <cell r="K219" t="str">
            <v/>
          </cell>
          <cell r="Q219" t="str">
            <v/>
          </cell>
          <cell r="R219" t="str">
            <v>o</v>
          </cell>
          <cell r="S219" t="str">
            <v>o</v>
          </cell>
          <cell r="T219" t="str">
            <v>o</v>
          </cell>
          <cell r="U219" t="str">
            <v>o</v>
          </cell>
          <cell r="V219" t="str">
            <v>o</v>
          </cell>
          <cell r="W219" t="str">
            <v>o</v>
          </cell>
          <cell r="X219" t="str">
            <v>o</v>
          </cell>
          <cell r="Y219" t="str">
            <v>o</v>
          </cell>
          <cell r="Z219" t="str">
            <v>o</v>
          </cell>
          <cell r="AA219" t="str">
            <v>o</v>
          </cell>
          <cell r="AB219" t="str">
            <v>o</v>
          </cell>
          <cell r="AC219" t="str">
            <v>o</v>
          </cell>
          <cell r="AD219" t="str">
            <v>o</v>
          </cell>
          <cell r="AE219" t="str">
            <v>o</v>
          </cell>
          <cell r="AF219" t="str">
            <v>o</v>
          </cell>
          <cell r="AG219" t="str">
            <v>o</v>
          </cell>
          <cell r="AH219" t="str">
            <v>o</v>
          </cell>
          <cell r="AI219" t="str">
            <v>o</v>
          </cell>
          <cell r="AJ219" t="str">
            <v>o</v>
          </cell>
          <cell r="AK219" t="str">
            <v>o</v>
          </cell>
          <cell r="AL219" t="str">
            <v>o</v>
          </cell>
          <cell r="AM219" t="str">
            <v>o</v>
          </cell>
        </row>
        <row r="220">
          <cell r="A220" t="str">
            <v>30421</v>
          </cell>
          <cell r="F220" t="str">
            <v>Standard Tax Rate %</v>
          </cell>
          <cell r="J220" t="str">
            <v>%</v>
          </cell>
          <cell r="K220" t="str">
            <v>actual</v>
          </cell>
          <cell r="Q220" t="str">
            <v/>
          </cell>
        </row>
        <row r="221">
          <cell r="A221" t="str">
            <v>30420</v>
          </cell>
          <cell r="F221" t="str">
            <v>Cash tax rate %</v>
          </cell>
          <cell r="J221" t="str">
            <v>%</v>
          </cell>
          <cell r="K221" t="str">
            <v>actual</v>
          </cell>
          <cell r="Q221" t="str">
            <v/>
          </cell>
          <cell r="R221" t="str">
            <v/>
          </cell>
          <cell r="S221" t="str">
            <v/>
          </cell>
          <cell r="T221" t="str">
            <v/>
          </cell>
          <cell r="U221" t="str">
            <v/>
          </cell>
          <cell r="V221" t="str">
            <v/>
          </cell>
          <cell r="W221" t="str">
            <v/>
          </cell>
          <cell r="X221" t="str">
            <v/>
          </cell>
          <cell r="Y221" t="str">
            <v/>
          </cell>
          <cell r="Z221" t="str">
            <v/>
          </cell>
          <cell r="AA221" t="str">
            <v/>
          </cell>
          <cell r="AB221" t="str">
            <v/>
          </cell>
          <cell r="AC221" t="str">
            <v/>
          </cell>
          <cell r="AD221" t="str">
            <v/>
          </cell>
          <cell r="AE221" t="str">
            <v/>
          </cell>
          <cell r="AF221" t="str">
            <v/>
          </cell>
          <cell r="AG221" t="str">
            <v/>
          </cell>
          <cell r="AH221" t="str">
            <v/>
          </cell>
          <cell r="AI221" t="str">
            <v/>
          </cell>
          <cell r="AJ221" t="str">
            <v/>
          </cell>
          <cell r="AK221" t="str">
            <v/>
          </cell>
          <cell r="AL221" t="str">
            <v/>
          </cell>
          <cell r="AM221" t="str">
            <v/>
          </cell>
        </row>
        <row r="222">
          <cell r="A222" t="str">
            <v>30419</v>
          </cell>
          <cell r="F222" t="str">
            <v>Tax rate on ordinary activities %</v>
          </cell>
          <cell r="J222" t="str">
            <v>%</v>
          </cell>
          <cell r="K222" t="str">
            <v>actual</v>
          </cell>
          <cell r="Q222" t="str">
            <v/>
          </cell>
          <cell r="R222" t="str">
            <v/>
          </cell>
          <cell r="S222" t="str">
            <v/>
          </cell>
          <cell r="T222" t="str">
            <v/>
          </cell>
          <cell r="U222" t="str">
            <v/>
          </cell>
          <cell r="V222" t="str">
            <v/>
          </cell>
          <cell r="W222" t="str">
            <v/>
          </cell>
          <cell r="X222" t="str">
            <v/>
          </cell>
          <cell r="Y222" t="str">
            <v/>
          </cell>
          <cell r="Z222" t="str">
            <v/>
          </cell>
          <cell r="AA222" t="str">
            <v/>
          </cell>
          <cell r="AB222" t="str">
            <v/>
          </cell>
          <cell r="AC222" t="str">
            <v/>
          </cell>
          <cell r="AD222" t="str">
            <v/>
          </cell>
          <cell r="AE222" t="str">
            <v/>
          </cell>
          <cell r="AF222" t="str">
            <v/>
          </cell>
          <cell r="AG222" t="str">
            <v/>
          </cell>
          <cell r="AH222" t="str">
            <v/>
          </cell>
          <cell r="AI222" t="str">
            <v/>
          </cell>
          <cell r="AJ222" t="str">
            <v/>
          </cell>
          <cell r="AK222" t="str">
            <v/>
          </cell>
          <cell r="AL222" t="str">
            <v/>
          </cell>
          <cell r="AM222" t="str">
            <v/>
          </cell>
        </row>
        <row r="223">
          <cell r="A223" t="str">
            <v>12537</v>
          </cell>
          <cell r="F223" t="str">
            <v>Cash taxes paid</v>
          </cell>
          <cell r="J223" t="str">
            <v/>
          </cell>
          <cell r="K223" t="str">
            <v/>
          </cell>
          <cell r="Q223" t="str">
            <v/>
          </cell>
          <cell r="R223" t="str">
            <v/>
          </cell>
          <cell r="S223" t="str">
            <v/>
          </cell>
          <cell r="T223" t="str">
            <v/>
          </cell>
          <cell r="U223" t="str">
            <v/>
          </cell>
          <cell r="V223" t="str">
            <v/>
          </cell>
          <cell r="W223" t="str">
            <v/>
          </cell>
          <cell r="X223" t="str">
            <v/>
          </cell>
          <cell r="Y223" t="str">
            <v/>
          </cell>
          <cell r="Z223" t="str">
            <v/>
          </cell>
          <cell r="AA223" t="str">
            <v/>
          </cell>
          <cell r="AB223" t="str">
            <v/>
          </cell>
          <cell r="AC223" t="str">
            <v/>
          </cell>
          <cell r="AD223" t="str">
            <v/>
          </cell>
          <cell r="AE223" t="str">
            <v/>
          </cell>
          <cell r="AF223" t="str">
            <v/>
          </cell>
          <cell r="AG223" t="str">
            <v/>
          </cell>
          <cell r="AH223" t="str">
            <v/>
          </cell>
          <cell r="AI223" t="str">
            <v/>
          </cell>
          <cell r="AJ223" t="str">
            <v/>
          </cell>
          <cell r="AK223" t="str">
            <v/>
          </cell>
          <cell r="AL223" t="str">
            <v/>
          </cell>
          <cell r="AM223" t="str">
            <v/>
          </cell>
        </row>
        <row r="224">
          <cell r="F224" t="str">
            <v>Income Statement Error Trapping</v>
          </cell>
        </row>
        <row r="225">
          <cell r="A225" t="str">
            <v>30712</v>
          </cell>
          <cell r="F225" t="str">
            <v>Complete Income Statement?</v>
          </cell>
          <cell r="G225" t="str">
            <v/>
          </cell>
          <cell r="J225" t="str">
            <v>string</v>
          </cell>
          <cell r="K225" t="str">
            <v>n/m</v>
          </cell>
          <cell r="Q225" t="str">
            <v/>
          </cell>
          <cell r="R225" t="str">
            <v/>
          </cell>
          <cell r="S225" t="str">
            <v/>
          </cell>
          <cell r="T225" t="str">
            <v/>
          </cell>
          <cell r="U225" t="str">
            <v/>
          </cell>
          <cell r="V225" t="str">
            <v/>
          </cell>
          <cell r="W225" t="str">
            <v/>
          </cell>
          <cell r="X225" t="str">
            <v/>
          </cell>
          <cell r="Y225" t="str">
            <v/>
          </cell>
          <cell r="Z225" t="str">
            <v/>
          </cell>
          <cell r="AA225" t="str">
            <v/>
          </cell>
          <cell r="AB225" t="str">
            <v/>
          </cell>
          <cell r="AC225" t="str">
            <v/>
          </cell>
          <cell r="AD225" t="str">
            <v/>
          </cell>
          <cell r="AE225" t="str">
            <v/>
          </cell>
          <cell r="AF225" t="str">
            <v/>
          </cell>
          <cell r="AG225" t="str">
            <v/>
          </cell>
          <cell r="AH225" t="str">
            <v/>
          </cell>
          <cell r="AI225" t="str">
            <v/>
          </cell>
          <cell r="AJ225" t="str">
            <v/>
          </cell>
          <cell r="AK225" t="str">
            <v/>
          </cell>
          <cell r="AL225" t="str">
            <v/>
          </cell>
          <cell r="AM225" t="str">
            <v/>
          </cell>
        </row>
        <row r="226">
          <cell r="A226" t="str">
            <v>30711</v>
          </cell>
          <cell r="F226" t="str">
            <v>Total revenue &gt; EBIT?</v>
          </cell>
          <cell r="J226" t="str">
            <v>string</v>
          </cell>
          <cell r="K226" t="str">
            <v>n/m</v>
          </cell>
          <cell r="Q226" t="str">
            <v/>
          </cell>
          <cell r="R226" t="str">
            <v/>
          </cell>
          <cell r="S226" t="str">
            <v/>
          </cell>
          <cell r="T226" t="str">
            <v/>
          </cell>
          <cell r="U226" t="str">
            <v/>
          </cell>
          <cell r="V226" t="str">
            <v/>
          </cell>
          <cell r="W226" t="str">
            <v/>
          </cell>
          <cell r="X226" t="str">
            <v/>
          </cell>
          <cell r="Y226" t="str">
            <v/>
          </cell>
          <cell r="Z226" t="str">
            <v/>
          </cell>
          <cell r="AA226" t="str">
            <v/>
          </cell>
          <cell r="AB226" t="str">
            <v/>
          </cell>
          <cell r="AC226" t="str">
            <v/>
          </cell>
          <cell r="AD226" t="str">
            <v/>
          </cell>
          <cell r="AE226" t="str">
            <v/>
          </cell>
          <cell r="AF226" t="str">
            <v/>
          </cell>
          <cell r="AG226" t="str">
            <v/>
          </cell>
          <cell r="AH226" t="str">
            <v/>
          </cell>
          <cell r="AI226" t="str">
            <v/>
          </cell>
          <cell r="AJ226" t="str">
            <v/>
          </cell>
          <cell r="AK226" t="str">
            <v/>
          </cell>
          <cell r="AL226" t="str">
            <v/>
          </cell>
          <cell r="AM226" t="str">
            <v/>
          </cell>
        </row>
        <row r="227">
          <cell r="A227" t="str">
            <v>30710</v>
          </cell>
          <cell r="F227" t="str">
            <v>Income Statement  OK?</v>
          </cell>
          <cell r="J227" t="str">
            <v>string</v>
          </cell>
          <cell r="K227" t="str">
            <v>n/m</v>
          </cell>
          <cell r="Q227" t="str">
            <v/>
          </cell>
          <cell r="R227" t="str">
            <v/>
          </cell>
          <cell r="S227" t="str">
            <v/>
          </cell>
          <cell r="T227" t="str">
            <v/>
          </cell>
          <cell r="U227" t="str">
            <v/>
          </cell>
          <cell r="V227" t="str">
            <v/>
          </cell>
          <cell r="W227" t="str">
            <v/>
          </cell>
          <cell r="X227" t="str">
            <v/>
          </cell>
          <cell r="Y227" t="str">
            <v/>
          </cell>
          <cell r="Z227" t="str">
            <v/>
          </cell>
          <cell r="AA227" t="str">
            <v/>
          </cell>
          <cell r="AB227" t="str">
            <v/>
          </cell>
          <cell r="AC227" t="str">
            <v/>
          </cell>
          <cell r="AD227" t="str">
            <v/>
          </cell>
          <cell r="AE227" t="str">
            <v/>
          </cell>
          <cell r="AF227" t="str">
            <v/>
          </cell>
          <cell r="AG227" t="str">
            <v/>
          </cell>
          <cell r="AH227" t="str">
            <v/>
          </cell>
          <cell r="AI227" t="str">
            <v/>
          </cell>
          <cell r="AJ227" t="str">
            <v/>
          </cell>
          <cell r="AK227" t="str">
            <v/>
          </cell>
          <cell r="AL227" t="str">
            <v/>
          </cell>
          <cell r="AM227" t="str">
            <v/>
          </cell>
        </row>
        <row r="228">
          <cell r="A228" t="str">
            <v>30408</v>
          </cell>
          <cell r="F228" t="str">
            <v>CASH FLOW  (all inflows +ve; all outflows -ve)</v>
          </cell>
          <cell r="G228" t="str">
            <v/>
          </cell>
          <cell r="J228" t="str">
            <v/>
          </cell>
        </row>
        <row r="229">
          <cell r="A229" t="str">
            <v/>
          </cell>
          <cell r="B229" t="str">
            <v/>
          </cell>
          <cell r="F229" t="str">
            <v>EBITDA Reported</v>
          </cell>
          <cell r="G229" t="str">
            <v/>
          </cell>
          <cell r="J229" t="str">
            <v/>
          </cell>
          <cell r="R229" t="str">
            <v/>
          </cell>
          <cell r="S229" t="str">
            <v/>
          </cell>
          <cell r="T229" t="str">
            <v/>
          </cell>
          <cell r="U229" t="str">
            <v/>
          </cell>
          <cell r="V229" t="str">
            <v/>
          </cell>
          <cell r="W229" t="str">
            <v/>
          </cell>
          <cell r="X229" t="str">
            <v/>
          </cell>
          <cell r="Y229" t="str">
            <v/>
          </cell>
          <cell r="Z229" t="str">
            <v/>
          </cell>
          <cell r="AA229" t="str">
            <v/>
          </cell>
          <cell r="AB229" t="str">
            <v/>
          </cell>
          <cell r="AC229" t="str">
            <v/>
          </cell>
          <cell r="AD229" t="str">
            <v/>
          </cell>
          <cell r="AE229" t="str">
            <v/>
          </cell>
          <cell r="AF229">
            <v>192.01591619999999</v>
          </cell>
          <cell r="AG229">
            <v>153.25371249999998</v>
          </cell>
          <cell r="AH229">
            <v>165.19532768000002</v>
          </cell>
          <cell r="AI229">
            <v>197.15700000000001</v>
          </cell>
          <cell r="AJ229" t="str">
            <v/>
          </cell>
          <cell r="AK229" t="str">
            <v/>
          </cell>
          <cell r="AL229">
            <v>707.62195638000003</v>
          </cell>
          <cell r="AM229">
            <v>147.06620964999996</v>
          </cell>
        </row>
        <row r="230">
          <cell r="A230" t="str">
            <v>30367</v>
          </cell>
          <cell r="F230" t="str">
            <v>Net income before exceptionals (GAAP)</v>
          </cell>
          <cell r="J230" t="str">
            <v/>
          </cell>
          <cell r="K230" t="str">
            <v/>
          </cell>
          <cell r="Q230" t="str">
            <v/>
          </cell>
          <cell r="R230" t="str">
            <v/>
          </cell>
          <cell r="S230" t="str">
            <v/>
          </cell>
          <cell r="T230" t="str">
            <v/>
          </cell>
          <cell r="U230" t="str">
            <v/>
          </cell>
          <cell r="V230" t="str">
            <v/>
          </cell>
          <cell r="W230" t="str">
            <v/>
          </cell>
          <cell r="X230" t="str">
            <v/>
          </cell>
          <cell r="Y230" t="str">
            <v/>
          </cell>
          <cell r="Z230" t="str">
            <v/>
          </cell>
          <cell r="AA230" t="str">
            <v/>
          </cell>
          <cell r="AB230" t="str">
            <v/>
          </cell>
          <cell r="AC230" t="str">
            <v/>
          </cell>
          <cell r="AD230" t="str">
            <v/>
          </cell>
          <cell r="AE230" t="str">
            <v/>
          </cell>
          <cell r="AF230">
            <v>52.859916200000015</v>
          </cell>
          <cell r="AG230">
            <v>25.748712499999986</v>
          </cell>
          <cell r="AH230">
            <v>29.438243331200013</v>
          </cell>
          <cell r="AI230">
            <v>45.50800000000001</v>
          </cell>
          <cell r="AJ230" t="str">
            <v/>
          </cell>
          <cell r="AK230" t="str">
            <v/>
          </cell>
          <cell r="AL230">
            <v>153.55487203120003</v>
          </cell>
          <cell r="AM230">
            <v>17.463209649999982</v>
          </cell>
        </row>
        <row r="231">
          <cell r="A231" t="str">
            <v>30368</v>
          </cell>
          <cell r="F231" t="str">
            <v>Total Dep &amp; Amort. CF</v>
          </cell>
          <cell r="J231" t="str">
            <v/>
          </cell>
          <cell r="K231" t="str">
            <v/>
          </cell>
          <cell r="Q231" t="str">
            <v/>
          </cell>
          <cell r="R231" t="str">
            <v/>
          </cell>
          <cell r="S231" t="str">
            <v/>
          </cell>
          <cell r="T231" t="str">
            <v/>
          </cell>
          <cell r="U231" t="str">
            <v/>
          </cell>
          <cell r="V231" t="str">
            <v/>
          </cell>
          <cell r="W231" t="str">
            <v/>
          </cell>
          <cell r="X231" t="str">
            <v/>
          </cell>
          <cell r="Y231" t="str">
            <v/>
          </cell>
          <cell r="Z231" t="str">
            <v/>
          </cell>
          <cell r="AA231" t="str">
            <v/>
          </cell>
          <cell r="AB231" t="str">
            <v/>
          </cell>
          <cell r="AC231" t="str">
            <v/>
          </cell>
          <cell r="AD231" t="str">
            <v/>
          </cell>
          <cell r="AE231" t="str">
            <v/>
          </cell>
          <cell r="AF231">
            <v>89.317999999999998</v>
          </cell>
          <cell r="AG231">
            <v>93.480999999999995</v>
          </cell>
          <cell r="AH231">
            <v>99</v>
          </cell>
          <cell r="AI231">
            <v>100.447</v>
          </cell>
          <cell r="AJ231" t="str">
            <v/>
          </cell>
          <cell r="AK231" t="str">
            <v/>
          </cell>
          <cell r="AL231">
            <v>382.24599999999998</v>
          </cell>
          <cell r="AM231">
            <v>98.372</v>
          </cell>
        </row>
        <row r="232">
          <cell r="A232" t="str">
            <v>30369</v>
          </cell>
          <cell r="F232" t="str">
            <v>Deferred taxes (from above)</v>
          </cell>
          <cell r="G232" t="str">
            <v/>
          </cell>
          <cell r="J232" t="str">
            <v/>
          </cell>
          <cell r="K232" t="str">
            <v/>
          </cell>
          <cell r="Q232" t="str">
            <v/>
          </cell>
          <cell r="R232" t="str">
            <v/>
          </cell>
          <cell r="S232" t="str">
            <v/>
          </cell>
          <cell r="T232" t="str">
            <v/>
          </cell>
          <cell r="U232" t="str">
            <v/>
          </cell>
          <cell r="V232" t="str">
            <v/>
          </cell>
          <cell r="W232" t="str">
            <v/>
          </cell>
          <cell r="X232" t="str">
            <v/>
          </cell>
          <cell r="Y232" t="str">
            <v/>
          </cell>
          <cell r="Z232" t="str">
            <v/>
          </cell>
          <cell r="AA232" t="str">
            <v/>
          </cell>
          <cell r="AB232" t="str">
            <v/>
          </cell>
          <cell r="AC232" t="str">
            <v/>
          </cell>
          <cell r="AD232" t="str">
            <v/>
          </cell>
          <cell r="AE232" t="str">
            <v/>
          </cell>
          <cell r="AF232">
            <v>26.782</v>
          </cell>
          <cell r="AG232">
            <v>9.7249999999999996</v>
          </cell>
          <cell r="AH232">
            <v>15.342813261600007</v>
          </cell>
          <cell r="AI232">
            <v>22.443750000000001</v>
          </cell>
          <cell r="AJ232" t="str">
            <v/>
          </cell>
          <cell r="AK232" t="str">
            <v/>
          </cell>
          <cell r="AL232">
            <v>77.602563261599997</v>
          </cell>
          <cell r="AM232">
            <v>5.2649999999999997</v>
          </cell>
        </row>
        <row r="233">
          <cell r="A233" t="str">
            <v>12818</v>
          </cell>
          <cell r="F233" t="str">
            <v>Change in Non-Cash Working Cap</v>
          </cell>
          <cell r="G233" t="str">
            <v/>
          </cell>
          <cell r="J233" t="str">
            <v/>
          </cell>
          <cell r="K233" t="str">
            <v/>
          </cell>
          <cell r="Q233" t="str">
            <v/>
          </cell>
        </row>
        <row r="234">
          <cell r="A234" t="str">
            <v>12819</v>
          </cell>
          <cell r="F234" t="str">
            <v>Inc/ (dec.)  in Provisions etc</v>
          </cell>
          <cell r="J234" t="str">
            <v/>
          </cell>
          <cell r="K234" t="str">
            <v/>
          </cell>
          <cell r="Q234" t="str">
            <v/>
          </cell>
          <cell r="R234" t="str">
            <v/>
          </cell>
          <cell r="S234" t="str">
            <v/>
          </cell>
          <cell r="T234" t="str">
            <v/>
          </cell>
          <cell r="U234" t="str">
            <v/>
          </cell>
          <cell r="V234" t="str">
            <v/>
          </cell>
          <cell r="W234" t="str">
            <v/>
          </cell>
          <cell r="X234" t="str">
            <v/>
          </cell>
          <cell r="Y234" t="str">
            <v/>
          </cell>
          <cell r="Z234" t="str">
            <v/>
          </cell>
          <cell r="AA234" t="str">
            <v/>
          </cell>
          <cell r="AB234" t="str">
            <v/>
          </cell>
          <cell r="AC234" t="str">
            <v/>
          </cell>
          <cell r="AD234" t="str">
            <v/>
          </cell>
          <cell r="AE234" t="str">
            <v/>
          </cell>
          <cell r="AF234" t="str">
            <v/>
          </cell>
          <cell r="AG234" t="str">
            <v/>
          </cell>
          <cell r="AH234" t="str">
            <v/>
          </cell>
          <cell r="AI234" t="str">
            <v/>
          </cell>
          <cell r="AJ234" t="str">
            <v/>
          </cell>
          <cell r="AK234" t="str">
            <v/>
          </cell>
          <cell r="AL234" t="str">
            <v/>
          </cell>
          <cell r="AM234" t="str">
            <v/>
          </cell>
        </row>
        <row r="237">
          <cell r="A237" t="str">
            <v>30433</v>
          </cell>
          <cell r="F237" t="str">
            <v>Minority Interest</v>
          </cell>
          <cell r="J237" t="str">
            <v/>
          </cell>
          <cell r="K237" t="str">
            <v/>
          </cell>
          <cell r="Q237" t="str">
            <v/>
          </cell>
          <cell r="R237" t="str">
            <v/>
          </cell>
          <cell r="S237" t="str">
            <v/>
          </cell>
          <cell r="T237" t="str">
            <v/>
          </cell>
          <cell r="U237" t="str">
            <v/>
          </cell>
          <cell r="V237" t="str">
            <v/>
          </cell>
          <cell r="W237" t="str">
            <v/>
          </cell>
          <cell r="X237" t="str">
            <v/>
          </cell>
          <cell r="Y237" t="str">
            <v/>
          </cell>
          <cell r="Z237" t="str">
            <v/>
          </cell>
          <cell r="AA237" t="str">
            <v/>
          </cell>
          <cell r="AB237" t="str">
            <v/>
          </cell>
          <cell r="AC237" t="str">
            <v/>
          </cell>
          <cell r="AD237" t="str">
            <v/>
          </cell>
          <cell r="AE237" t="str">
            <v/>
          </cell>
          <cell r="AF237" t="str">
            <v/>
          </cell>
          <cell r="AG237" t="str">
            <v/>
          </cell>
          <cell r="AH237" t="str">
            <v/>
          </cell>
          <cell r="AI237" t="str">
            <v/>
          </cell>
          <cell r="AJ237" t="str">
            <v/>
          </cell>
          <cell r="AK237" t="str">
            <v/>
          </cell>
          <cell r="AL237" t="str">
            <v/>
          </cell>
          <cell r="AM237" t="str">
            <v/>
          </cell>
        </row>
        <row r="238">
          <cell r="A238" t="str">
            <v>12822</v>
          </cell>
          <cell r="E238" t="str">
            <v>|-4142|22|&gt;= 0|</v>
          </cell>
          <cell r="F238" t="str">
            <v>Associate dividends received</v>
          </cell>
          <cell r="J238" t="str">
            <v/>
          </cell>
          <cell r="K238" t="str">
            <v/>
          </cell>
          <cell r="Q238" t="str">
            <v/>
          </cell>
        </row>
        <row r="239">
          <cell r="A239" t="str">
            <v>12823</v>
          </cell>
          <cell r="F239" t="str">
            <v>Other Operating Non-Cash Items</v>
          </cell>
          <cell r="J239" t="str">
            <v/>
          </cell>
          <cell r="K239" t="str">
            <v/>
          </cell>
          <cell r="Q239" t="str">
            <v/>
          </cell>
        </row>
        <row r="240">
          <cell r="A240" t="str">
            <v>12825</v>
          </cell>
          <cell r="E240" t="str">
            <v>|37|24|NUMERIC |</v>
          </cell>
          <cell r="F240" t="str">
            <v>Operating Cash Flow</v>
          </cell>
          <cell r="J240" t="str">
            <v/>
          </cell>
          <cell r="K240" t="str">
            <v/>
          </cell>
          <cell r="Q240" t="str">
            <v/>
          </cell>
          <cell r="R240" t="str">
            <v/>
          </cell>
          <cell r="S240" t="str">
            <v/>
          </cell>
          <cell r="T240" t="str">
            <v/>
          </cell>
          <cell r="U240" t="str">
            <v/>
          </cell>
          <cell r="V240" t="str">
            <v/>
          </cell>
          <cell r="W240" t="str">
            <v/>
          </cell>
          <cell r="X240" t="str">
            <v/>
          </cell>
          <cell r="Y240" t="str">
            <v/>
          </cell>
          <cell r="Z240" t="str">
            <v/>
          </cell>
          <cell r="AA240" t="str">
            <v/>
          </cell>
          <cell r="AB240" t="str">
            <v/>
          </cell>
          <cell r="AC240" t="str">
            <v/>
          </cell>
          <cell r="AD240" t="str">
            <v/>
          </cell>
          <cell r="AE240" t="str">
            <v/>
          </cell>
          <cell r="AF240">
            <v>168.95991620000004</v>
          </cell>
          <cell r="AG240">
            <v>128.95471249999997</v>
          </cell>
          <cell r="AH240">
            <v>143.78105659280001</v>
          </cell>
          <cell r="AI240">
            <v>168.39875000000001</v>
          </cell>
          <cell r="AJ240" t="str">
            <v/>
          </cell>
          <cell r="AK240" t="str">
            <v/>
          </cell>
          <cell r="AL240">
            <v>613.40343529280005</v>
          </cell>
          <cell r="AM240">
            <v>121.10020964999998</v>
          </cell>
        </row>
        <row r="241">
          <cell r="A241" t="str">
            <v>30713</v>
          </cell>
          <cell r="F241" t="str">
            <v>Operating cash flow from discontinued operations</v>
          </cell>
          <cell r="J241" t="str">
            <v/>
          </cell>
          <cell r="K241" t="str">
            <v/>
          </cell>
          <cell r="Q241" t="str">
            <v/>
          </cell>
          <cell r="R241" t="str">
            <v/>
          </cell>
          <cell r="S241" t="str">
            <v/>
          </cell>
          <cell r="T241" t="str">
            <v/>
          </cell>
          <cell r="U241" t="str">
            <v/>
          </cell>
          <cell r="V241" t="str">
            <v/>
          </cell>
          <cell r="W241" t="str">
            <v/>
          </cell>
          <cell r="X241" t="str">
            <v/>
          </cell>
          <cell r="Y241" t="str">
            <v/>
          </cell>
          <cell r="Z241" t="str">
            <v/>
          </cell>
          <cell r="AA241" t="str">
            <v/>
          </cell>
          <cell r="AB241" t="str">
            <v/>
          </cell>
          <cell r="AC241" t="str">
            <v/>
          </cell>
          <cell r="AD241" t="str">
            <v/>
          </cell>
          <cell r="AE241" t="str">
            <v/>
          </cell>
          <cell r="AF241" t="str">
            <v/>
          </cell>
          <cell r="AG241" t="str">
            <v/>
          </cell>
          <cell r="AH241" t="str">
            <v/>
          </cell>
          <cell r="AI241" t="str">
            <v/>
          </cell>
          <cell r="AJ241" t="str">
            <v/>
          </cell>
          <cell r="AK241" t="str">
            <v/>
          </cell>
          <cell r="AL241" t="str">
            <v/>
          </cell>
          <cell r="AM241" t="str">
            <v/>
          </cell>
        </row>
        <row r="242">
          <cell r="A242" t="str">
            <v>12826</v>
          </cell>
          <cell r="E242" t="str">
            <v>|-4142|23|&lt;= 0|</v>
          </cell>
          <cell r="F242" t="str">
            <v>Capital Expenditure</v>
          </cell>
          <cell r="J242" t="str">
            <v/>
          </cell>
          <cell r="K242" t="str">
            <v/>
          </cell>
          <cell r="Q242" t="str">
            <v/>
          </cell>
        </row>
        <row r="243">
          <cell r="A243" t="str">
            <v>12504</v>
          </cell>
          <cell r="F243" t="str">
            <v>Sale of Fixed Assets</v>
          </cell>
          <cell r="J243" t="str">
            <v/>
          </cell>
          <cell r="K243" t="str">
            <v/>
          </cell>
          <cell r="Q243" t="str">
            <v/>
          </cell>
        </row>
        <row r="244">
          <cell r="A244" t="str">
            <v>12828</v>
          </cell>
          <cell r="B244" t="str">
            <v/>
          </cell>
          <cell r="F244" t="str">
            <v>Acquisitions/Disposals of investments</v>
          </cell>
          <cell r="G244" t="str">
            <v/>
          </cell>
          <cell r="J244" t="str">
            <v/>
          </cell>
          <cell r="K244" t="str">
            <v/>
          </cell>
          <cell r="Q244" t="str">
            <v/>
          </cell>
          <cell r="R244" t="str">
            <v/>
          </cell>
          <cell r="S244" t="str">
            <v/>
          </cell>
          <cell r="T244" t="str">
            <v/>
          </cell>
          <cell r="U244" t="str">
            <v/>
          </cell>
          <cell r="V244" t="str">
            <v/>
          </cell>
          <cell r="W244" t="str">
            <v/>
          </cell>
          <cell r="X244" t="str">
            <v/>
          </cell>
          <cell r="Y244" t="str">
            <v/>
          </cell>
          <cell r="Z244" t="str">
            <v/>
          </cell>
          <cell r="AA244" t="str">
            <v/>
          </cell>
          <cell r="AB244" t="str">
            <v/>
          </cell>
          <cell r="AC244" t="str">
            <v/>
          </cell>
          <cell r="AD244" t="str">
            <v/>
          </cell>
          <cell r="AE244" t="str">
            <v/>
          </cell>
          <cell r="AF244" t="str">
            <v/>
          </cell>
          <cell r="AG244" t="str">
            <v/>
          </cell>
          <cell r="AH244" t="str">
            <v/>
          </cell>
          <cell r="AI244" t="str">
            <v/>
          </cell>
          <cell r="AJ244" t="str">
            <v/>
          </cell>
          <cell r="AK244" t="str">
            <v/>
          </cell>
          <cell r="AL244" t="str">
            <v/>
          </cell>
          <cell r="AM244" t="str">
            <v/>
          </cell>
        </row>
        <row r="245">
          <cell r="A245" t="str">
            <v>30371</v>
          </cell>
          <cell r="F245" t="str">
            <v>Other Investing Cash Items</v>
          </cell>
          <cell r="J245" t="str">
            <v/>
          </cell>
          <cell r="K245" t="str">
            <v/>
          </cell>
          <cell r="Q245" t="str">
            <v/>
          </cell>
          <cell r="R245" t="str">
            <v/>
          </cell>
          <cell r="S245" t="str">
            <v/>
          </cell>
          <cell r="T245" t="str">
            <v/>
          </cell>
          <cell r="U245" t="str">
            <v/>
          </cell>
          <cell r="V245" t="str">
            <v/>
          </cell>
          <cell r="W245" t="str">
            <v/>
          </cell>
          <cell r="X245" t="str">
            <v/>
          </cell>
          <cell r="Y245" t="str">
            <v/>
          </cell>
          <cell r="Z245" t="str">
            <v/>
          </cell>
          <cell r="AA245" t="str">
            <v/>
          </cell>
          <cell r="AB245" t="str">
            <v/>
          </cell>
          <cell r="AC245" t="str">
            <v/>
          </cell>
          <cell r="AD245" t="str">
            <v/>
          </cell>
          <cell r="AE245" t="str">
            <v/>
          </cell>
          <cell r="AF245" t="str">
            <v/>
          </cell>
          <cell r="AG245" t="str">
            <v/>
          </cell>
          <cell r="AH245" t="str">
            <v/>
          </cell>
          <cell r="AI245" t="str">
            <v/>
          </cell>
          <cell r="AJ245" t="str">
            <v/>
          </cell>
          <cell r="AK245" t="str">
            <v/>
          </cell>
          <cell r="AL245" t="str">
            <v/>
          </cell>
          <cell r="AM245" t="str">
            <v/>
          </cell>
        </row>
        <row r="246">
          <cell r="A246" t="str">
            <v>12558</v>
          </cell>
          <cell r="F246" t="str">
            <v>Cash Flow from Investing</v>
          </cell>
          <cell r="J246" t="str">
            <v/>
          </cell>
          <cell r="K246" t="str">
            <v/>
          </cell>
          <cell r="Q246" t="str">
            <v/>
          </cell>
          <cell r="R246" t="str">
            <v/>
          </cell>
          <cell r="S246" t="str">
            <v/>
          </cell>
          <cell r="T246" t="str">
            <v/>
          </cell>
          <cell r="U246" t="str">
            <v/>
          </cell>
          <cell r="V246" t="str">
            <v/>
          </cell>
          <cell r="W246" t="str">
            <v/>
          </cell>
          <cell r="X246" t="str">
            <v/>
          </cell>
          <cell r="Y246" t="str">
            <v/>
          </cell>
          <cell r="Z246" t="str">
            <v/>
          </cell>
          <cell r="AA246" t="str">
            <v/>
          </cell>
          <cell r="AB246" t="str">
            <v/>
          </cell>
          <cell r="AC246" t="str">
            <v/>
          </cell>
          <cell r="AD246" t="str">
            <v/>
          </cell>
          <cell r="AE246" t="str">
            <v/>
          </cell>
          <cell r="AF246" t="str">
            <v/>
          </cell>
          <cell r="AG246" t="str">
            <v/>
          </cell>
          <cell r="AH246" t="str">
            <v/>
          </cell>
          <cell r="AI246" t="str">
            <v/>
          </cell>
          <cell r="AJ246" t="str">
            <v/>
          </cell>
          <cell r="AK246" t="str">
            <v/>
          </cell>
          <cell r="AL246" t="str">
            <v/>
          </cell>
          <cell r="AM246" t="str">
            <v/>
          </cell>
        </row>
        <row r="247">
          <cell r="A247" t="str">
            <v>12912</v>
          </cell>
          <cell r="F247" t="str">
            <v>Net Share Issue/Repurchase</v>
          </cell>
          <cell r="J247" t="str">
            <v/>
          </cell>
          <cell r="K247" t="str">
            <v/>
          </cell>
          <cell r="Q247" t="str">
            <v/>
          </cell>
        </row>
        <row r="248">
          <cell r="A248" t="str">
            <v>12830</v>
          </cell>
          <cell r="E248" t="str">
            <v>|-4142|12|NOTBLANK |23|&lt;= 0|</v>
          </cell>
          <cell r="F248" t="str">
            <v>Dividends Paid</v>
          </cell>
          <cell r="J248" t="str">
            <v/>
          </cell>
          <cell r="K248" t="str">
            <v/>
          </cell>
          <cell r="Q248" t="str">
            <v/>
          </cell>
        </row>
        <row r="249">
          <cell r="A249" t="str">
            <v>30372</v>
          </cell>
          <cell r="F249" t="str">
            <v>Change in Debt</v>
          </cell>
          <cell r="J249" t="str">
            <v/>
          </cell>
          <cell r="K249" t="str">
            <v/>
          </cell>
          <cell r="Q249" t="str">
            <v/>
          </cell>
        </row>
        <row r="250">
          <cell r="A250" t="str">
            <v>30714</v>
          </cell>
          <cell r="F250" t="str">
            <v>Other financing cash flow</v>
          </cell>
          <cell r="J250" t="str">
            <v/>
          </cell>
          <cell r="K250" t="str">
            <v/>
          </cell>
          <cell r="Q250" t="str">
            <v/>
          </cell>
        </row>
        <row r="251">
          <cell r="A251" t="str">
            <v>30373</v>
          </cell>
          <cell r="F251" t="str">
            <v>Cash Flow From Financing</v>
          </cell>
          <cell r="J251" t="str">
            <v/>
          </cell>
          <cell r="K251" t="str">
            <v/>
          </cell>
          <cell r="Q251" t="str">
            <v/>
          </cell>
          <cell r="R251" t="str">
            <v/>
          </cell>
          <cell r="S251" t="str">
            <v/>
          </cell>
          <cell r="T251" t="str">
            <v/>
          </cell>
          <cell r="U251" t="str">
            <v/>
          </cell>
          <cell r="V251" t="str">
            <v/>
          </cell>
          <cell r="W251" t="str">
            <v/>
          </cell>
          <cell r="X251" t="str">
            <v/>
          </cell>
          <cell r="Y251" t="str">
            <v/>
          </cell>
          <cell r="Z251" t="str">
            <v/>
          </cell>
          <cell r="AA251" t="str">
            <v/>
          </cell>
          <cell r="AB251" t="str">
            <v/>
          </cell>
          <cell r="AC251" t="str">
            <v/>
          </cell>
          <cell r="AD251" t="str">
            <v/>
          </cell>
          <cell r="AE251" t="str">
            <v/>
          </cell>
          <cell r="AF251" t="str">
            <v/>
          </cell>
          <cell r="AG251" t="str">
            <v/>
          </cell>
          <cell r="AH251" t="str">
            <v/>
          </cell>
          <cell r="AI251" t="str">
            <v/>
          </cell>
          <cell r="AJ251" t="str">
            <v/>
          </cell>
          <cell r="AK251" t="str">
            <v/>
          </cell>
          <cell r="AL251" t="str">
            <v/>
          </cell>
          <cell r="AM251" t="str">
            <v/>
          </cell>
        </row>
        <row r="252">
          <cell r="A252" t="str">
            <v>12831</v>
          </cell>
          <cell r="F252" t="str">
            <v>Other cash items</v>
          </cell>
          <cell r="J252" t="str">
            <v/>
          </cell>
          <cell r="K252" t="str">
            <v/>
          </cell>
          <cell r="Q252" t="str">
            <v/>
          </cell>
        </row>
        <row r="253">
          <cell r="A253" t="str">
            <v>30374</v>
          </cell>
          <cell r="E253" t="str">
            <v>|-4142|22|&gt;= 0|</v>
          </cell>
          <cell r="F253" t="str">
            <v>Change in Cash &amp; Equiv.</v>
          </cell>
          <cell r="J253" t="str">
            <v/>
          </cell>
          <cell r="K253" t="str">
            <v/>
          </cell>
          <cell r="Q253" t="str">
            <v/>
          </cell>
          <cell r="R253" t="str">
            <v/>
          </cell>
          <cell r="S253" t="str">
            <v/>
          </cell>
          <cell r="T253" t="str">
            <v/>
          </cell>
          <cell r="U253" t="str">
            <v/>
          </cell>
          <cell r="V253" t="str">
            <v/>
          </cell>
          <cell r="W253" t="str">
            <v/>
          </cell>
          <cell r="X253" t="str">
            <v/>
          </cell>
          <cell r="Y253" t="str">
            <v/>
          </cell>
          <cell r="Z253" t="str">
            <v/>
          </cell>
          <cell r="AA253" t="str">
            <v/>
          </cell>
          <cell r="AB253" t="str">
            <v/>
          </cell>
          <cell r="AC253" t="str">
            <v/>
          </cell>
          <cell r="AD253" t="str">
            <v/>
          </cell>
          <cell r="AE253" t="str">
            <v/>
          </cell>
          <cell r="AF253">
            <v>168.95991620000004</v>
          </cell>
          <cell r="AG253">
            <v>128.95471249999997</v>
          </cell>
          <cell r="AH253">
            <v>143.78105659280001</v>
          </cell>
          <cell r="AI253">
            <v>168.39875000000001</v>
          </cell>
          <cell r="AJ253" t="str">
            <v/>
          </cell>
          <cell r="AK253" t="str">
            <v/>
          </cell>
          <cell r="AL253">
            <v>613.40343529280005</v>
          </cell>
          <cell r="AM253">
            <v>121.10020964999998</v>
          </cell>
        </row>
        <row r="254">
          <cell r="A254" t="str">
            <v>30375</v>
          </cell>
          <cell r="F254" t="str">
            <v>Non-Cash changes to Debt</v>
          </cell>
          <cell r="J254" t="str">
            <v/>
          </cell>
          <cell r="K254" t="str">
            <v/>
          </cell>
          <cell r="Q254" t="str">
            <v/>
          </cell>
          <cell r="R254" t="str">
            <v/>
          </cell>
          <cell r="S254" t="str">
            <v/>
          </cell>
          <cell r="T254" t="str">
            <v/>
          </cell>
          <cell r="U254" t="str">
            <v/>
          </cell>
          <cell r="V254" t="str">
            <v/>
          </cell>
          <cell r="W254" t="str">
            <v/>
          </cell>
          <cell r="X254" t="str">
            <v/>
          </cell>
          <cell r="Y254" t="str">
            <v/>
          </cell>
          <cell r="Z254" t="str">
            <v/>
          </cell>
          <cell r="AA254" t="str">
            <v/>
          </cell>
          <cell r="AB254" t="str">
            <v/>
          </cell>
          <cell r="AC254" t="str">
            <v/>
          </cell>
          <cell r="AD254" t="str">
            <v/>
          </cell>
          <cell r="AE254" t="str">
            <v/>
          </cell>
          <cell r="AF254" t="str">
            <v/>
          </cell>
          <cell r="AG254" t="str">
            <v/>
          </cell>
          <cell r="AH254" t="str">
            <v/>
          </cell>
          <cell r="AI254" t="str">
            <v/>
          </cell>
          <cell r="AJ254" t="str">
            <v/>
          </cell>
          <cell r="AK254" t="str">
            <v/>
          </cell>
          <cell r="AL254" t="str">
            <v/>
          </cell>
          <cell r="AM254" t="str">
            <v/>
          </cell>
        </row>
        <row r="255">
          <cell r="A255" t="str">
            <v>12825</v>
          </cell>
          <cell r="E255" t="str">
            <v>|-4142|24|NUMERIC |</v>
          </cell>
          <cell r="F255" t="str">
            <v>Cash flow error trapping</v>
          </cell>
          <cell r="J255" t="str">
            <v/>
          </cell>
          <cell r="Q255" t="str">
            <v/>
          </cell>
        </row>
        <row r="256">
          <cell r="A256" t="str">
            <v>30715</v>
          </cell>
          <cell r="E256" t="str">
            <v>|37|28|= TRUE|</v>
          </cell>
          <cell r="F256" t="str">
            <v>Cash flow complete?</v>
          </cell>
          <cell r="J256" t="str">
            <v>string</v>
          </cell>
          <cell r="K256" t="str">
            <v>n/m</v>
          </cell>
          <cell r="Q256" t="str">
            <v/>
          </cell>
          <cell r="R256" t="str">
            <v/>
          </cell>
          <cell r="S256" t="str">
            <v/>
          </cell>
          <cell r="T256" t="str">
            <v/>
          </cell>
          <cell r="U256" t="str">
            <v/>
          </cell>
          <cell r="V256" t="str">
            <v/>
          </cell>
          <cell r="W256" t="str">
            <v/>
          </cell>
          <cell r="X256" t="str">
            <v/>
          </cell>
          <cell r="Y256" t="str">
            <v/>
          </cell>
          <cell r="Z256" t="str">
            <v/>
          </cell>
          <cell r="AA256" t="str">
            <v/>
          </cell>
          <cell r="AB256" t="str">
            <v/>
          </cell>
          <cell r="AC256" t="str">
            <v/>
          </cell>
          <cell r="AD256" t="str">
            <v/>
          </cell>
          <cell r="AE256" t="str">
            <v/>
          </cell>
          <cell r="AF256" t="str">
            <v/>
          </cell>
          <cell r="AG256" t="str">
            <v/>
          </cell>
          <cell r="AH256" t="str">
            <v/>
          </cell>
          <cell r="AI256" t="str">
            <v/>
          </cell>
          <cell r="AJ256" t="str">
            <v/>
          </cell>
          <cell r="AK256" t="str">
            <v/>
          </cell>
          <cell r="AL256" t="str">
            <v/>
          </cell>
          <cell r="AM256" t="str">
            <v/>
          </cell>
        </row>
        <row r="257">
          <cell r="A257" t="str">
            <v/>
          </cell>
          <cell r="B257" t="str">
            <v/>
          </cell>
          <cell r="E257" t="str">
            <v>|-4142|23|&lt;= 0|</v>
          </cell>
          <cell r="F257" t="str">
            <v>Net Income inc. exceptional items</v>
          </cell>
          <cell r="G257" t="str">
            <v/>
          </cell>
          <cell r="J257" t="str">
            <v/>
          </cell>
          <cell r="Q257" t="str">
            <v/>
          </cell>
          <cell r="R257" t="str">
            <v/>
          </cell>
          <cell r="S257" t="str">
            <v/>
          </cell>
          <cell r="T257" t="str">
            <v/>
          </cell>
          <cell r="U257" t="str">
            <v/>
          </cell>
          <cell r="V257" t="str">
            <v/>
          </cell>
          <cell r="W257" t="str">
            <v/>
          </cell>
          <cell r="X257" t="str">
            <v/>
          </cell>
          <cell r="Y257" t="str">
            <v/>
          </cell>
          <cell r="Z257" t="str">
            <v/>
          </cell>
          <cell r="AA257" t="str">
            <v/>
          </cell>
          <cell r="AB257" t="str">
            <v/>
          </cell>
          <cell r="AC257" t="str">
            <v/>
          </cell>
          <cell r="AD257" t="str">
            <v/>
          </cell>
          <cell r="AE257" t="str">
            <v/>
          </cell>
          <cell r="AF257">
            <v>52.859916200000015</v>
          </cell>
          <cell r="AG257">
            <v>25.748712499999986</v>
          </cell>
          <cell r="AH257">
            <v>29.438243331200013</v>
          </cell>
          <cell r="AI257">
            <v>45.50800000000001</v>
          </cell>
          <cell r="AJ257" t="str">
            <v/>
          </cell>
          <cell r="AK257" t="str">
            <v/>
          </cell>
          <cell r="AL257">
            <v>153.55487203120003</v>
          </cell>
          <cell r="AM257">
            <v>17.463209649999982</v>
          </cell>
        </row>
        <row r="258">
          <cell r="A258" t="str">
            <v>12504</v>
          </cell>
          <cell r="F258" t="str">
            <v>BALANCE SHEET  (all entries +ve except RE and Eqty. adj)</v>
          </cell>
          <cell r="J258" t="str">
            <v/>
          </cell>
          <cell r="Q258" t="str">
            <v/>
          </cell>
        </row>
        <row r="259">
          <cell r="A259" t="str">
            <v>12833</v>
          </cell>
          <cell r="E259" t="str">
            <v>|-4142|12|NOTBLANK |22|&gt;= 0|</v>
          </cell>
          <cell r="F259" t="str">
            <v>Cash &amp; Marketable securities</v>
          </cell>
          <cell r="J259" t="str">
            <v/>
          </cell>
          <cell r="K259" t="str">
            <v/>
          </cell>
          <cell r="Q259" t="str">
            <v/>
          </cell>
          <cell r="AL259">
            <v>9.6859999999999999</v>
          </cell>
        </row>
        <row r="260">
          <cell r="A260" t="str">
            <v>12834</v>
          </cell>
          <cell r="E260" t="str">
            <v>|-4142|22|&gt;= 0|</v>
          </cell>
          <cell r="F260" t="str">
            <v>accounts receivables</v>
          </cell>
          <cell r="J260" t="str">
            <v/>
          </cell>
          <cell r="K260" t="str">
            <v/>
          </cell>
          <cell r="Q260" t="str">
            <v/>
          </cell>
          <cell r="R260" t="str">
            <v/>
          </cell>
          <cell r="S260" t="str">
            <v/>
          </cell>
          <cell r="T260" t="str">
            <v/>
          </cell>
          <cell r="U260" t="str">
            <v/>
          </cell>
          <cell r="V260" t="str">
            <v/>
          </cell>
          <cell r="W260" t="str">
            <v/>
          </cell>
          <cell r="X260" t="str">
            <v/>
          </cell>
          <cell r="Y260" t="str">
            <v/>
          </cell>
          <cell r="Z260" t="str">
            <v/>
          </cell>
          <cell r="AA260" t="str">
            <v/>
          </cell>
          <cell r="AB260" t="str">
            <v/>
          </cell>
          <cell r="AC260" t="str">
            <v/>
          </cell>
          <cell r="AD260" t="str">
            <v/>
          </cell>
          <cell r="AE260" t="str">
            <v/>
          </cell>
          <cell r="AF260" t="str">
            <v/>
          </cell>
          <cell r="AG260" t="str">
            <v/>
          </cell>
          <cell r="AH260" t="str">
            <v/>
          </cell>
          <cell r="AI260" t="str">
            <v/>
          </cell>
          <cell r="AJ260" t="str">
            <v/>
          </cell>
          <cell r="AK260" t="str">
            <v/>
          </cell>
          <cell r="AL260" t="str">
            <v/>
          </cell>
          <cell r="AM260" t="str">
            <v/>
          </cell>
        </row>
        <row r="261">
          <cell r="A261" t="str">
            <v>12835</v>
          </cell>
          <cell r="E261" t="str">
            <v>|-4142|22|&gt;= 0|</v>
          </cell>
          <cell r="F261" t="str">
            <v>Inventories</v>
          </cell>
          <cell r="J261" t="str">
            <v/>
          </cell>
          <cell r="K261" t="str">
            <v/>
          </cell>
          <cell r="Q261" t="str">
            <v/>
          </cell>
        </row>
        <row r="262">
          <cell r="A262" t="str">
            <v>12836</v>
          </cell>
          <cell r="E262" t="str">
            <v>|-4142|22|&gt;= 0|</v>
          </cell>
          <cell r="F262" t="str">
            <v>Investments- current</v>
          </cell>
          <cell r="J262" t="str">
            <v/>
          </cell>
          <cell r="K262" t="str">
            <v/>
          </cell>
          <cell r="Q262" t="str">
            <v/>
          </cell>
        </row>
        <row r="263">
          <cell r="A263" t="str">
            <v>12837</v>
          </cell>
          <cell r="E263" t="str">
            <v>|-4142|22|&gt;= 0|</v>
          </cell>
          <cell r="F263" t="str">
            <v>Other current assets</v>
          </cell>
          <cell r="J263" t="str">
            <v/>
          </cell>
          <cell r="K263" t="str">
            <v/>
          </cell>
          <cell r="Q263" t="str">
            <v/>
          </cell>
          <cell r="AL263">
            <v>338.64300000000003</v>
          </cell>
        </row>
        <row r="264">
          <cell r="A264" t="str">
            <v>12838</v>
          </cell>
          <cell r="F264" t="str">
            <v>Total current assets</v>
          </cell>
          <cell r="J264" t="str">
            <v/>
          </cell>
          <cell r="K264" t="str">
            <v/>
          </cell>
          <cell r="Q264" t="str">
            <v/>
          </cell>
          <cell r="R264" t="str">
            <v/>
          </cell>
          <cell r="S264" t="str">
            <v/>
          </cell>
          <cell r="T264" t="str">
            <v/>
          </cell>
          <cell r="U264" t="str">
            <v/>
          </cell>
          <cell r="V264" t="str">
            <v/>
          </cell>
          <cell r="W264" t="str">
            <v/>
          </cell>
          <cell r="X264" t="str">
            <v/>
          </cell>
          <cell r="Y264" t="str">
            <v/>
          </cell>
          <cell r="Z264" t="str">
            <v/>
          </cell>
          <cell r="AA264" t="str">
            <v/>
          </cell>
          <cell r="AB264" t="str">
            <v/>
          </cell>
          <cell r="AC264" t="str">
            <v/>
          </cell>
          <cell r="AD264" t="str">
            <v/>
          </cell>
          <cell r="AE264" t="str">
            <v/>
          </cell>
          <cell r="AF264" t="str">
            <v/>
          </cell>
          <cell r="AG264" t="str">
            <v/>
          </cell>
          <cell r="AH264" t="str">
            <v/>
          </cell>
          <cell r="AI264" t="str">
            <v/>
          </cell>
          <cell r="AJ264" t="str">
            <v/>
          </cell>
          <cell r="AK264" t="str">
            <v/>
          </cell>
          <cell r="AL264">
            <v>348.32900000000001</v>
          </cell>
          <cell r="AM264" t="str">
            <v/>
          </cell>
        </row>
        <row r="265">
          <cell r="A265" t="str">
            <v>12839</v>
          </cell>
          <cell r="F265" t="str">
            <v>Gross Fixed Assets</v>
          </cell>
          <cell r="J265" t="str">
            <v/>
          </cell>
          <cell r="K265" t="str">
            <v/>
          </cell>
          <cell r="Q265" t="str">
            <v/>
          </cell>
          <cell r="R265" t="str">
            <v/>
          </cell>
          <cell r="S265" t="str">
            <v/>
          </cell>
          <cell r="T265" t="str">
            <v/>
          </cell>
          <cell r="U265" t="str">
            <v/>
          </cell>
          <cell r="V265" t="str">
            <v/>
          </cell>
          <cell r="W265" t="str">
            <v/>
          </cell>
          <cell r="X265" t="str">
            <v/>
          </cell>
          <cell r="Y265" t="str">
            <v/>
          </cell>
          <cell r="Z265" t="str">
            <v/>
          </cell>
          <cell r="AA265" t="str">
            <v/>
          </cell>
          <cell r="AB265" t="str">
            <v/>
          </cell>
          <cell r="AC265" t="str">
            <v/>
          </cell>
          <cell r="AD265" t="str">
            <v/>
          </cell>
          <cell r="AE265" t="str">
            <v/>
          </cell>
          <cell r="AF265" t="str">
            <v/>
          </cell>
          <cell r="AG265" t="str">
            <v/>
          </cell>
          <cell r="AH265" t="str">
            <v/>
          </cell>
          <cell r="AI265" t="str">
            <v/>
          </cell>
          <cell r="AJ265" t="str">
            <v/>
          </cell>
          <cell r="AK265" t="str">
            <v/>
          </cell>
          <cell r="AL265" t="str">
            <v/>
          </cell>
          <cell r="AM265" t="str">
            <v/>
          </cell>
        </row>
        <row r="266">
          <cell r="A266" t="str">
            <v>12840</v>
          </cell>
          <cell r="E266" t="str">
            <v>|-4142|22|&gt;= 0|</v>
          </cell>
          <cell r="F266" t="str">
            <v>Net fixed assets</v>
          </cell>
          <cell r="J266" t="str">
            <v/>
          </cell>
          <cell r="K266" t="str">
            <v/>
          </cell>
          <cell r="Q266" t="str">
            <v/>
          </cell>
        </row>
        <row r="267">
          <cell r="A267" t="str">
            <v>12841</v>
          </cell>
          <cell r="F267" t="str">
            <v>Goodwill- gross</v>
          </cell>
          <cell r="J267" t="str">
            <v/>
          </cell>
          <cell r="K267" t="str">
            <v/>
          </cell>
          <cell r="Q267" t="str">
            <v/>
          </cell>
        </row>
        <row r="268">
          <cell r="A268" t="str">
            <v>12842</v>
          </cell>
          <cell r="E268" t="str">
            <v>|-4142|22|&gt;= 0|</v>
          </cell>
          <cell r="F268" t="str">
            <v>Goodwill- net</v>
          </cell>
          <cell r="J268" t="str">
            <v/>
          </cell>
          <cell r="K268" t="str">
            <v/>
          </cell>
          <cell r="Q268" t="str">
            <v/>
          </cell>
          <cell r="R268" t="str">
            <v/>
          </cell>
          <cell r="S268" t="str">
            <v/>
          </cell>
          <cell r="T268" t="str">
            <v/>
          </cell>
          <cell r="U268" t="str">
            <v/>
          </cell>
          <cell r="V268" t="str">
            <v/>
          </cell>
          <cell r="W268" t="str">
            <v/>
          </cell>
          <cell r="X268" t="str">
            <v/>
          </cell>
          <cell r="Y268" t="str">
            <v/>
          </cell>
          <cell r="Z268" t="str">
            <v/>
          </cell>
          <cell r="AA268" t="str">
            <v/>
          </cell>
          <cell r="AB268" t="str">
            <v/>
          </cell>
          <cell r="AC268" t="str">
            <v/>
          </cell>
          <cell r="AD268" t="str">
            <v/>
          </cell>
          <cell r="AE268" t="str">
            <v/>
          </cell>
          <cell r="AF268" t="str">
            <v/>
          </cell>
          <cell r="AG268" t="str">
            <v/>
          </cell>
          <cell r="AH268" t="str">
            <v/>
          </cell>
          <cell r="AI268" t="str">
            <v/>
          </cell>
          <cell r="AJ268" t="str">
            <v/>
          </cell>
          <cell r="AK268" t="str">
            <v/>
          </cell>
          <cell r="AL268" t="str">
            <v/>
          </cell>
          <cell r="AM268" t="str">
            <v/>
          </cell>
        </row>
        <row r="269">
          <cell r="A269" t="str">
            <v>12843</v>
          </cell>
          <cell r="F269" t="str">
            <v>Other intangibles - gross</v>
          </cell>
          <cell r="J269" t="str">
            <v/>
          </cell>
          <cell r="K269" t="str">
            <v/>
          </cell>
          <cell r="Q269" t="str">
            <v/>
          </cell>
        </row>
        <row r="270">
          <cell r="A270" t="str">
            <v>12844</v>
          </cell>
          <cell r="E270" t="str">
            <v>|-4142|22|&gt;= 0|</v>
          </cell>
          <cell r="F270" t="str">
            <v>Other intangibles- net</v>
          </cell>
          <cell r="J270" t="str">
            <v/>
          </cell>
          <cell r="K270" t="str">
            <v/>
          </cell>
          <cell r="Q270" t="str">
            <v/>
          </cell>
        </row>
        <row r="271">
          <cell r="A271" t="str">
            <v>12499</v>
          </cell>
          <cell r="E271" t="str">
            <v>|37|28|= TRUE|</v>
          </cell>
          <cell r="F271" t="str">
            <v>Total Intangibles- net</v>
          </cell>
          <cell r="J271" t="str">
            <v/>
          </cell>
          <cell r="K271" t="str">
            <v/>
          </cell>
          <cell r="Q271" t="str">
            <v/>
          </cell>
          <cell r="R271" t="str">
            <v/>
          </cell>
          <cell r="S271" t="str">
            <v/>
          </cell>
          <cell r="T271" t="str">
            <v/>
          </cell>
          <cell r="U271" t="str">
            <v/>
          </cell>
          <cell r="V271" t="str">
            <v/>
          </cell>
          <cell r="W271" t="str">
            <v/>
          </cell>
          <cell r="X271" t="str">
            <v/>
          </cell>
          <cell r="Y271" t="str">
            <v/>
          </cell>
          <cell r="Z271" t="str">
            <v/>
          </cell>
          <cell r="AA271" t="str">
            <v/>
          </cell>
          <cell r="AB271" t="str">
            <v/>
          </cell>
          <cell r="AC271" t="str">
            <v/>
          </cell>
          <cell r="AD271" t="str">
            <v/>
          </cell>
          <cell r="AE271" t="str">
            <v/>
          </cell>
          <cell r="AF271" t="str">
            <v/>
          </cell>
          <cell r="AG271" t="str">
            <v/>
          </cell>
          <cell r="AH271" t="str">
            <v/>
          </cell>
          <cell r="AI271" t="str">
            <v/>
          </cell>
          <cell r="AJ271" t="str">
            <v/>
          </cell>
          <cell r="AK271" t="str">
            <v/>
          </cell>
          <cell r="AL271" t="str">
            <v/>
          </cell>
          <cell r="AM271" t="str">
            <v/>
          </cell>
        </row>
        <row r="272">
          <cell r="A272" t="str">
            <v>12846</v>
          </cell>
          <cell r="B272" t="str">
            <v/>
          </cell>
          <cell r="E272" t="str">
            <v>|-4142|22|&gt;= 0|</v>
          </cell>
          <cell r="F272" t="str">
            <v>Other non-current assets</v>
          </cell>
          <cell r="G272" t="str">
            <v/>
          </cell>
          <cell r="J272" t="str">
            <v/>
          </cell>
          <cell r="K272" t="str">
            <v/>
          </cell>
          <cell r="Q272" t="str">
            <v/>
          </cell>
          <cell r="R272" t="str">
            <v/>
          </cell>
          <cell r="S272" t="str">
            <v/>
          </cell>
          <cell r="T272" t="str">
            <v/>
          </cell>
          <cell r="U272" t="str">
            <v/>
          </cell>
          <cell r="V272" t="str">
            <v/>
          </cell>
          <cell r="W272" t="str">
            <v/>
          </cell>
          <cell r="X272" t="str">
            <v/>
          </cell>
          <cell r="Y272" t="str">
            <v/>
          </cell>
          <cell r="Z272" t="str">
            <v/>
          </cell>
          <cell r="AA272" t="str">
            <v/>
          </cell>
          <cell r="AB272" t="str">
            <v/>
          </cell>
          <cell r="AC272" t="str">
            <v/>
          </cell>
          <cell r="AD272" t="str">
            <v/>
          </cell>
          <cell r="AE272" t="str">
            <v/>
          </cell>
          <cell r="AF272" t="str">
            <v/>
          </cell>
          <cell r="AG272" t="str">
            <v/>
          </cell>
          <cell r="AH272" t="str">
            <v/>
          </cell>
          <cell r="AI272" t="str">
            <v/>
          </cell>
          <cell r="AJ272" t="str">
            <v/>
          </cell>
          <cell r="AK272" t="str">
            <v/>
          </cell>
          <cell r="AL272" t="str">
            <v/>
          </cell>
          <cell r="AM272" t="str">
            <v/>
          </cell>
        </row>
        <row r="273">
          <cell r="A273" t="str">
            <v>12845</v>
          </cell>
          <cell r="E273" t="str">
            <v>|-4142|22|&gt;= 0|</v>
          </cell>
          <cell r="F273" t="str">
            <v>Long-term Investments</v>
          </cell>
          <cell r="J273" t="str">
            <v/>
          </cell>
          <cell r="K273" t="str">
            <v/>
          </cell>
          <cell r="Q273" t="str">
            <v/>
          </cell>
        </row>
        <row r="274">
          <cell r="A274" t="str">
            <v>12847</v>
          </cell>
          <cell r="E274" t="str">
            <v>|-4142|12|NOTBLANK |22|&gt;= 0|</v>
          </cell>
          <cell r="F274" t="str">
            <v>Total non-current assets</v>
          </cell>
          <cell r="J274" t="str">
            <v/>
          </cell>
          <cell r="K274" t="str">
            <v/>
          </cell>
          <cell r="Q274" t="str">
            <v/>
          </cell>
          <cell r="R274" t="str">
            <v/>
          </cell>
          <cell r="S274" t="str">
            <v/>
          </cell>
          <cell r="T274" t="str">
            <v/>
          </cell>
          <cell r="U274" t="str">
            <v/>
          </cell>
          <cell r="V274" t="str">
            <v/>
          </cell>
          <cell r="W274" t="str">
            <v/>
          </cell>
          <cell r="X274" t="str">
            <v/>
          </cell>
          <cell r="Y274" t="str">
            <v/>
          </cell>
          <cell r="Z274" t="str">
            <v/>
          </cell>
          <cell r="AA274" t="str">
            <v/>
          </cell>
          <cell r="AB274" t="str">
            <v/>
          </cell>
          <cell r="AC274" t="str">
            <v/>
          </cell>
          <cell r="AD274" t="str">
            <v/>
          </cell>
          <cell r="AE274" t="str">
            <v/>
          </cell>
          <cell r="AF274" t="str">
            <v/>
          </cell>
          <cell r="AG274" t="str">
            <v/>
          </cell>
          <cell r="AH274" t="str">
            <v/>
          </cell>
          <cell r="AI274" t="str">
            <v/>
          </cell>
          <cell r="AJ274" t="str">
            <v/>
          </cell>
          <cell r="AK274" t="str">
            <v/>
          </cell>
          <cell r="AL274" t="str">
            <v/>
          </cell>
          <cell r="AM274" t="str">
            <v/>
          </cell>
        </row>
        <row r="275">
          <cell r="A275" t="str">
            <v>12482</v>
          </cell>
          <cell r="E275" t="str">
            <v>|37|22|&gt;= 0|</v>
          </cell>
          <cell r="F275" t="str">
            <v>Total Assets</v>
          </cell>
          <cell r="J275" t="str">
            <v/>
          </cell>
          <cell r="K275" t="str">
            <v/>
          </cell>
          <cell r="Q275" t="str">
            <v/>
          </cell>
          <cell r="R275" t="str">
            <v/>
          </cell>
          <cell r="S275" t="str">
            <v/>
          </cell>
          <cell r="T275" t="str">
            <v/>
          </cell>
          <cell r="U275" t="str">
            <v/>
          </cell>
          <cell r="V275" t="str">
            <v/>
          </cell>
          <cell r="W275" t="str">
            <v/>
          </cell>
          <cell r="X275" t="str">
            <v/>
          </cell>
          <cell r="Y275" t="str">
            <v/>
          </cell>
          <cell r="Z275" t="str">
            <v/>
          </cell>
          <cell r="AA275" t="str">
            <v/>
          </cell>
          <cell r="AB275" t="str">
            <v/>
          </cell>
          <cell r="AC275" t="str">
            <v/>
          </cell>
          <cell r="AD275" t="str">
            <v/>
          </cell>
          <cell r="AE275" t="str">
            <v/>
          </cell>
          <cell r="AF275" t="str">
            <v/>
          </cell>
          <cell r="AG275" t="str">
            <v/>
          </cell>
          <cell r="AH275" t="str">
            <v/>
          </cell>
          <cell r="AI275" t="str">
            <v/>
          </cell>
          <cell r="AJ275" t="str">
            <v/>
          </cell>
          <cell r="AK275" t="str">
            <v/>
          </cell>
          <cell r="AL275">
            <v>348.32900000000001</v>
          </cell>
          <cell r="AM275" t="str">
            <v/>
          </cell>
        </row>
        <row r="276">
          <cell r="A276" t="str">
            <v>12849</v>
          </cell>
          <cell r="E276" t="str">
            <v>|-4142|12|NOTBLANK |22|&gt;= 0|</v>
          </cell>
          <cell r="F276" t="str">
            <v>Short term debt</v>
          </cell>
          <cell r="J276" t="str">
            <v/>
          </cell>
          <cell r="K276" t="str">
            <v/>
          </cell>
          <cell r="Q276" t="str">
            <v/>
          </cell>
        </row>
        <row r="277">
          <cell r="A277" t="str">
            <v>12946</v>
          </cell>
          <cell r="E277" t="str">
            <v>|-4142|22|&gt;= 0|</v>
          </cell>
          <cell r="F277" t="str">
            <v>Accounts payable</v>
          </cell>
          <cell r="J277" t="str">
            <v/>
          </cell>
          <cell r="K277" t="str">
            <v/>
          </cell>
          <cell r="Q277" t="str">
            <v/>
          </cell>
        </row>
        <row r="278">
          <cell r="A278" t="str">
            <v>12850</v>
          </cell>
          <cell r="E278" t="str">
            <v>|-4142|20|&gt; 0|</v>
          </cell>
          <cell r="F278" t="str">
            <v>Other Curr. Liabilities</v>
          </cell>
          <cell r="J278" t="str">
            <v/>
          </cell>
          <cell r="K278" t="str">
            <v/>
          </cell>
          <cell r="Q278" t="str">
            <v/>
          </cell>
          <cell r="AF278">
            <v>338.64300000000003</v>
          </cell>
        </row>
        <row r="279">
          <cell r="A279" t="str">
            <v>12851</v>
          </cell>
          <cell r="F279" t="str">
            <v>Total current liabilities</v>
          </cell>
          <cell r="J279" t="str">
            <v/>
          </cell>
          <cell r="K279" t="str">
            <v/>
          </cell>
          <cell r="Q279" t="str">
            <v/>
          </cell>
          <cell r="R279" t="str">
            <v/>
          </cell>
          <cell r="S279" t="str">
            <v/>
          </cell>
          <cell r="T279" t="str">
            <v/>
          </cell>
          <cell r="U279" t="str">
            <v/>
          </cell>
          <cell r="V279" t="str">
            <v/>
          </cell>
          <cell r="W279" t="str">
            <v/>
          </cell>
          <cell r="X279" t="str">
            <v/>
          </cell>
          <cell r="Y279" t="str">
            <v/>
          </cell>
          <cell r="Z279" t="str">
            <v/>
          </cell>
          <cell r="AA279" t="str">
            <v/>
          </cell>
          <cell r="AB279" t="str">
            <v/>
          </cell>
          <cell r="AC279" t="str">
            <v/>
          </cell>
          <cell r="AD279" t="str">
            <v/>
          </cell>
          <cell r="AE279" t="str">
            <v/>
          </cell>
          <cell r="AF279" t="str">
            <v/>
          </cell>
          <cell r="AG279" t="str">
            <v/>
          </cell>
          <cell r="AH279" t="str">
            <v/>
          </cell>
          <cell r="AI279" t="str">
            <v/>
          </cell>
          <cell r="AJ279" t="str">
            <v/>
          </cell>
          <cell r="AK279" t="str">
            <v/>
          </cell>
          <cell r="AL279" t="str">
            <v/>
          </cell>
          <cell r="AM279" t="str">
            <v/>
          </cell>
        </row>
        <row r="280">
          <cell r="A280" t="str">
            <v>12852</v>
          </cell>
          <cell r="E280" t="str">
            <v>|37|22|&gt;= 0|</v>
          </cell>
          <cell r="F280" t="str">
            <v>Long term debt</v>
          </cell>
          <cell r="J280" t="str">
            <v/>
          </cell>
          <cell r="K280" t="str">
            <v/>
          </cell>
          <cell r="Q280" t="str">
            <v/>
          </cell>
          <cell r="R280" t="str">
            <v/>
          </cell>
          <cell r="S280" t="str">
            <v/>
          </cell>
          <cell r="T280" t="str">
            <v/>
          </cell>
          <cell r="U280" t="str">
            <v/>
          </cell>
          <cell r="V280" t="str">
            <v/>
          </cell>
          <cell r="W280" t="str">
            <v/>
          </cell>
          <cell r="X280" t="str">
            <v/>
          </cell>
          <cell r="Y280" t="str">
            <v/>
          </cell>
          <cell r="Z280" t="str">
            <v/>
          </cell>
          <cell r="AA280" t="str">
            <v/>
          </cell>
          <cell r="AB280" t="str">
            <v/>
          </cell>
          <cell r="AC280" t="str">
            <v/>
          </cell>
          <cell r="AD280" t="str">
            <v/>
          </cell>
          <cell r="AE280" t="str">
            <v/>
          </cell>
          <cell r="AF280" t="str">
            <v/>
          </cell>
          <cell r="AG280" t="str">
            <v/>
          </cell>
          <cell r="AH280" t="str">
            <v/>
          </cell>
          <cell r="AI280" t="str">
            <v/>
          </cell>
          <cell r="AJ280" t="str">
            <v/>
          </cell>
          <cell r="AK280" t="str">
            <v/>
          </cell>
          <cell r="AL280" t="str">
            <v/>
          </cell>
          <cell r="AM280" t="str">
            <v/>
          </cell>
        </row>
        <row r="281">
          <cell r="A281" t="str">
            <v>12853</v>
          </cell>
          <cell r="E281" t="str">
            <v>|-4142|12|NOTBLANK |22|&gt;= 0|</v>
          </cell>
          <cell r="F281" t="str">
            <v>Long term borrowings</v>
          </cell>
          <cell r="J281" t="str">
            <v/>
          </cell>
          <cell r="K281" t="str">
            <v/>
          </cell>
          <cell r="Q281" t="str">
            <v/>
          </cell>
        </row>
        <row r="282">
          <cell r="A282" t="str">
            <v>12854</v>
          </cell>
          <cell r="E282" t="str">
            <v>|-4142|22|&gt;= 0|</v>
          </cell>
          <cell r="F282" t="str">
            <v>Capitalized lease obligations</v>
          </cell>
          <cell r="J282" t="str">
            <v/>
          </cell>
          <cell r="K282" t="str">
            <v/>
          </cell>
          <cell r="Q282" t="str">
            <v/>
          </cell>
        </row>
        <row r="283">
          <cell r="A283" t="str">
            <v>12855</v>
          </cell>
          <cell r="F283" t="str">
            <v>Liab. Reserves</v>
          </cell>
          <cell r="J283" t="str">
            <v/>
          </cell>
          <cell r="K283" t="str">
            <v/>
          </cell>
          <cell r="Q283" t="str">
            <v/>
          </cell>
          <cell r="R283" t="str">
            <v/>
          </cell>
          <cell r="S283" t="str">
            <v/>
          </cell>
          <cell r="T283" t="str">
            <v/>
          </cell>
          <cell r="U283" t="str">
            <v/>
          </cell>
          <cell r="V283" t="str">
            <v/>
          </cell>
          <cell r="W283" t="str">
            <v/>
          </cell>
          <cell r="X283" t="str">
            <v/>
          </cell>
          <cell r="Y283" t="str">
            <v/>
          </cell>
          <cell r="Z283" t="str">
            <v/>
          </cell>
          <cell r="AA283" t="str">
            <v/>
          </cell>
          <cell r="AB283" t="str">
            <v/>
          </cell>
          <cell r="AC283" t="str">
            <v/>
          </cell>
          <cell r="AD283" t="str">
            <v/>
          </cell>
          <cell r="AE283" t="str">
            <v/>
          </cell>
          <cell r="AF283" t="str">
            <v/>
          </cell>
          <cell r="AG283" t="str">
            <v/>
          </cell>
          <cell r="AH283" t="str">
            <v/>
          </cell>
          <cell r="AI283" t="str">
            <v/>
          </cell>
          <cell r="AJ283" t="str">
            <v/>
          </cell>
          <cell r="AK283" t="str">
            <v/>
          </cell>
          <cell r="AL283" t="str">
            <v/>
          </cell>
          <cell r="AM283" t="str">
            <v/>
          </cell>
        </row>
        <row r="284">
          <cell r="A284" t="str">
            <v>12856</v>
          </cell>
          <cell r="E284" t="str">
            <v>|-4142|30|&gt;= 0|</v>
          </cell>
          <cell r="F284" t="str">
            <v>Provision for Pensions</v>
          </cell>
          <cell r="J284" t="str">
            <v/>
          </cell>
          <cell r="K284" t="str">
            <v/>
          </cell>
          <cell r="Q284" t="str">
            <v/>
          </cell>
        </row>
        <row r="285">
          <cell r="A285" t="str">
            <v>12857</v>
          </cell>
          <cell r="E285" t="str">
            <v>|-4142|22|&gt;= 0|</v>
          </cell>
          <cell r="F285" t="str">
            <v>Post- retirement health</v>
          </cell>
          <cell r="J285" t="str">
            <v/>
          </cell>
          <cell r="K285" t="str">
            <v/>
          </cell>
          <cell r="Q285" t="str">
            <v/>
          </cell>
        </row>
        <row r="286">
          <cell r="A286" t="str">
            <v>12858</v>
          </cell>
          <cell r="E286" t="str">
            <v>|-4142|22|&gt;= 0|</v>
          </cell>
          <cell r="F286" t="str">
            <v>Provision for Deferred Tax</v>
          </cell>
          <cell r="J286" t="str">
            <v/>
          </cell>
          <cell r="K286" t="str">
            <v/>
          </cell>
          <cell r="Q286" t="str">
            <v/>
          </cell>
        </row>
        <row r="287">
          <cell r="A287" t="str">
            <v>12859</v>
          </cell>
          <cell r="E287" t="str">
            <v>|-4142|22|&gt;= 0|</v>
          </cell>
          <cell r="F287" t="str">
            <v>Other reserves</v>
          </cell>
          <cell r="J287" t="str">
            <v/>
          </cell>
          <cell r="K287" t="str">
            <v/>
          </cell>
          <cell r="Q287" t="str">
            <v/>
          </cell>
          <cell r="R287" t="str">
            <v/>
          </cell>
          <cell r="S287" t="str">
            <v/>
          </cell>
          <cell r="T287" t="str">
            <v/>
          </cell>
          <cell r="U287" t="str">
            <v/>
          </cell>
          <cell r="V287" t="str">
            <v/>
          </cell>
          <cell r="W287" t="str">
            <v/>
          </cell>
          <cell r="X287" t="str">
            <v/>
          </cell>
          <cell r="Y287" t="str">
            <v/>
          </cell>
          <cell r="Z287" t="str">
            <v/>
          </cell>
          <cell r="AA287" t="str">
            <v/>
          </cell>
          <cell r="AB287" t="str">
            <v/>
          </cell>
          <cell r="AC287" t="str">
            <v/>
          </cell>
          <cell r="AD287" t="str">
            <v/>
          </cell>
          <cell r="AE287" t="str">
            <v/>
          </cell>
          <cell r="AF287" t="str">
            <v/>
          </cell>
          <cell r="AG287" t="str">
            <v/>
          </cell>
          <cell r="AH287" t="str">
            <v/>
          </cell>
          <cell r="AI287" t="str">
            <v/>
          </cell>
          <cell r="AJ287" t="str">
            <v/>
          </cell>
          <cell r="AK287" t="str">
            <v/>
          </cell>
          <cell r="AL287" t="str">
            <v/>
          </cell>
          <cell r="AM287" t="str">
            <v/>
          </cell>
        </row>
        <row r="288">
          <cell r="A288" t="str">
            <v>12860</v>
          </cell>
          <cell r="E288" t="str">
            <v>|-4142|22|&gt;= 0|</v>
          </cell>
          <cell r="F288" t="str">
            <v>Other Non-Current Liabs</v>
          </cell>
          <cell r="J288" t="str">
            <v/>
          </cell>
          <cell r="K288" t="str">
            <v/>
          </cell>
          <cell r="Q288" t="str">
            <v/>
          </cell>
          <cell r="R288" t="str">
            <v/>
          </cell>
          <cell r="S288" t="str">
            <v/>
          </cell>
          <cell r="T288" t="str">
            <v/>
          </cell>
          <cell r="U288" t="str">
            <v/>
          </cell>
          <cell r="V288" t="str">
            <v/>
          </cell>
          <cell r="W288" t="str">
            <v/>
          </cell>
          <cell r="X288" t="str">
            <v/>
          </cell>
          <cell r="Y288" t="str">
            <v/>
          </cell>
          <cell r="Z288" t="str">
            <v/>
          </cell>
          <cell r="AA288" t="str">
            <v/>
          </cell>
          <cell r="AB288" t="str">
            <v/>
          </cell>
          <cell r="AC288" t="str">
            <v/>
          </cell>
          <cell r="AD288" t="str">
            <v/>
          </cell>
          <cell r="AE288" t="str">
            <v/>
          </cell>
          <cell r="AF288">
            <v>348.32900000000001</v>
          </cell>
          <cell r="AG288" t="str">
            <v/>
          </cell>
          <cell r="AH288" t="str">
            <v/>
          </cell>
          <cell r="AI288" t="str">
            <v/>
          </cell>
          <cell r="AJ288" t="str">
            <v/>
          </cell>
          <cell r="AK288" t="str">
            <v/>
          </cell>
          <cell r="AL288" t="str">
            <v/>
          </cell>
          <cell r="AM288" t="str">
            <v/>
          </cell>
        </row>
        <row r="289">
          <cell r="A289" t="str">
            <v>12861</v>
          </cell>
          <cell r="E289" t="str">
            <v>|-4142|12|NOTBLANK |22|&gt;= 0|</v>
          </cell>
          <cell r="F289" t="str">
            <v>Non-current liabilities</v>
          </cell>
          <cell r="J289" t="str">
            <v/>
          </cell>
          <cell r="K289" t="str">
            <v/>
          </cell>
          <cell r="Q289" t="str">
            <v/>
          </cell>
          <cell r="R289" t="str">
            <v/>
          </cell>
          <cell r="S289" t="str">
            <v/>
          </cell>
          <cell r="T289" t="str">
            <v/>
          </cell>
          <cell r="U289" t="str">
            <v/>
          </cell>
          <cell r="V289" t="str">
            <v/>
          </cell>
          <cell r="W289" t="str">
            <v/>
          </cell>
          <cell r="X289" t="str">
            <v/>
          </cell>
          <cell r="Y289" t="str">
            <v/>
          </cell>
          <cell r="Z289" t="str">
            <v/>
          </cell>
          <cell r="AA289" t="str">
            <v/>
          </cell>
          <cell r="AB289" t="str">
            <v/>
          </cell>
          <cell r="AC289" t="str">
            <v/>
          </cell>
          <cell r="AD289" t="str">
            <v/>
          </cell>
          <cell r="AE289" t="str">
            <v/>
          </cell>
          <cell r="AF289" t="str">
            <v/>
          </cell>
          <cell r="AG289" t="str">
            <v/>
          </cell>
          <cell r="AH289" t="str">
            <v/>
          </cell>
          <cell r="AI289" t="str">
            <v/>
          </cell>
          <cell r="AJ289" t="str">
            <v/>
          </cell>
          <cell r="AK289" t="str">
            <v/>
          </cell>
          <cell r="AL289" t="str">
            <v/>
          </cell>
          <cell r="AM289" t="str">
            <v/>
          </cell>
        </row>
        <row r="290">
          <cell r="A290" t="str">
            <v>12862</v>
          </cell>
          <cell r="E290" t="str">
            <v>|37|22|&gt;= 0|</v>
          </cell>
          <cell r="F290" t="str">
            <v>Total Liabilities</v>
          </cell>
          <cell r="J290" t="str">
            <v/>
          </cell>
          <cell r="K290" t="str">
            <v/>
          </cell>
          <cell r="Q290" t="str">
            <v/>
          </cell>
          <cell r="R290" t="str">
            <v/>
          </cell>
          <cell r="S290" t="str">
            <v/>
          </cell>
          <cell r="T290" t="str">
            <v/>
          </cell>
          <cell r="U290" t="str">
            <v/>
          </cell>
          <cell r="V290" t="str">
            <v/>
          </cell>
          <cell r="W290" t="str">
            <v/>
          </cell>
          <cell r="X290" t="str">
            <v/>
          </cell>
          <cell r="Y290" t="str">
            <v/>
          </cell>
          <cell r="Z290" t="str">
            <v/>
          </cell>
          <cell r="AA290" t="str">
            <v/>
          </cell>
          <cell r="AB290" t="str">
            <v/>
          </cell>
          <cell r="AC290" t="str">
            <v/>
          </cell>
          <cell r="AD290" t="str">
            <v/>
          </cell>
          <cell r="AE290" t="str">
            <v/>
          </cell>
          <cell r="AF290" t="str">
            <v/>
          </cell>
          <cell r="AG290" t="str">
            <v/>
          </cell>
          <cell r="AH290" t="str">
            <v/>
          </cell>
          <cell r="AI290" t="str">
            <v/>
          </cell>
          <cell r="AJ290" t="str">
            <v/>
          </cell>
          <cell r="AK290" t="str">
            <v/>
          </cell>
          <cell r="AL290" t="str">
            <v/>
          </cell>
          <cell r="AM290" t="str">
            <v/>
          </cell>
        </row>
        <row r="291">
          <cell r="A291" t="str">
            <v>30381</v>
          </cell>
          <cell r="E291" t="str">
            <v>|-4142|20|&gt; 0|</v>
          </cell>
          <cell r="F291" t="str">
            <v>Contributed Capital</v>
          </cell>
          <cell r="J291" t="str">
            <v/>
          </cell>
          <cell r="K291" t="str">
            <v/>
          </cell>
          <cell r="Q291" t="str">
            <v/>
          </cell>
        </row>
        <row r="292">
          <cell r="A292" t="str">
            <v>30382</v>
          </cell>
          <cell r="F292" t="str">
            <v>Retained earnings</v>
          </cell>
          <cell r="J292" t="str">
            <v/>
          </cell>
          <cell r="K292" t="str">
            <v/>
          </cell>
          <cell r="Q292" t="str">
            <v/>
          </cell>
          <cell r="R292" t="str">
            <v/>
          </cell>
          <cell r="S292" t="str">
            <v/>
          </cell>
          <cell r="T292" t="str">
            <v/>
          </cell>
          <cell r="U292" t="str">
            <v/>
          </cell>
          <cell r="V292" t="str">
            <v/>
          </cell>
          <cell r="W292" t="str">
            <v/>
          </cell>
          <cell r="X292" t="str">
            <v/>
          </cell>
          <cell r="Y292" t="str">
            <v/>
          </cell>
          <cell r="Z292" t="str">
            <v/>
          </cell>
          <cell r="AA292" t="str">
            <v/>
          </cell>
          <cell r="AB292" t="str">
            <v/>
          </cell>
          <cell r="AC292" t="str">
            <v/>
          </cell>
          <cell r="AD292" t="str">
            <v/>
          </cell>
          <cell r="AE292" t="str">
            <v/>
          </cell>
          <cell r="AF292" t="str">
            <v/>
          </cell>
          <cell r="AG292" t="str">
            <v/>
          </cell>
          <cell r="AH292" t="str">
            <v/>
          </cell>
          <cell r="AI292" t="str">
            <v/>
          </cell>
          <cell r="AJ292" t="str">
            <v/>
          </cell>
          <cell r="AK292" t="str">
            <v/>
          </cell>
          <cell r="AL292" t="str">
            <v/>
          </cell>
          <cell r="AM292" t="str">
            <v/>
          </cell>
        </row>
        <row r="293">
          <cell r="A293" t="str">
            <v>30441</v>
          </cell>
          <cell r="E293" t="str">
            <v>|37|22|&gt;= 0|</v>
          </cell>
          <cell r="F293" t="str">
            <v>Reserves and other adjustments</v>
          </cell>
          <cell r="J293" t="str">
            <v/>
          </cell>
          <cell r="K293" t="str">
            <v/>
          </cell>
          <cell r="Q293" t="str">
            <v/>
          </cell>
          <cell r="R293" t="str">
            <v/>
          </cell>
          <cell r="S293" t="str">
            <v/>
          </cell>
          <cell r="T293" t="str">
            <v/>
          </cell>
          <cell r="U293" t="str">
            <v/>
          </cell>
          <cell r="V293" t="str">
            <v/>
          </cell>
          <cell r="W293" t="str">
            <v/>
          </cell>
          <cell r="X293" t="str">
            <v/>
          </cell>
          <cell r="Y293" t="str">
            <v/>
          </cell>
          <cell r="Z293" t="str">
            <v/>
          </cell>
          <cell r="AA293" t="str">
            <v/>
          </cell>
          <cell r="AB293" t="str">
            <v/>
          </cell>
          <cell r="AC293" t="str">
            <v/>
          </cell>
          <cell r="AD293" t="str">
            <v/>
          </cell>
          <cell r="AE293" t="str">
            <v/>
          </cell>
          <cell r="AF293" t="str">
            <v/>
          </cell>
          <cell r="AG293" t="str">
            <v/>
          </cell>
          <cell r="AH293" t="str">
            <v/>
          </cell>
          <cell r="AI293" t="str">
            <v/>
          </cell>
          <cell r="AJ293" t="str">
            <v/>
          </cell>
          <cell r="AK293" t="str">
            <v/>
          </cell>
          <cell r="AL293" t="str">
            <v/>
          </cell>
          <cell r="AM293" t="str">
            <v/>
          </cell>
        </row>
        <row r="294">
          <cell r="A294" t="str">
            <v>12866</v>
          </cell>
          <cell r="E294" t="str">
            <v>|-4142|12|NOTBLANK |22|&gt;= 0|</v>
          </cell>
          <cell r="F294" t="str">
            <v>Ordinary Shareholder Equity</v>
          </cell>
          <cell r="J294" t="str">
            <v/>
          </cell>
          <cell r="K294" t="str">
            <v/>
          </cell>
          <cell r="Q294" t="str">
            <v/>
          </cell>
          <cell r="R294" t="str">
            <v/>
          </cell>
          <cell r="S294" t="str">
            <v/>
          </cell>
          <cell r="T294" t="str">
            <v/>
          </cell>
          <cell r="U294" t="str">
            <v/>
          </cell>
          <cell r="V294" t="str">
            <v/>
          </cell>
          <cell r="W294" t="str">
            <v/>
          </cell>
          <cell r="X294" t="str">
            <v/>
          </cell>
          <cell r="Y294" t="str">
            <v/>
          </cell>
          <cell r="Z294" t="str">
            <v/>
          </cell>
          <cell r="AA294" t="str">
            <v/>
          </cell>
          <cell r="AB294" t="str">
            <v/>
          </cell>
          <cell r="AC294" t="str">
            <v/>
          </cell>
          <cell r="AD294" t="str">
            <v/>
          </cell>
          <cell r="AE294" t="str">
            <v/>
          </cell>
          <cell r="AF294" t="str">
            <v/>
          </cell>
          <cell r="AG294" t="str">
            <v/>
          </cell>
          <cell r="AH294" t="str">
            <v/>
          </cell>
          <cell r="AI294" t="str">
            <v/>
          </cell>
          <cell r="AJ294" t="str">
            <v/>
          </cell>
          <cell r="AK294" t="str">
            <v/>
          </cell>
          <cell r="AL294" t="str">
            <v/>
          </cell>
          <cell r="AM294" t="str">
            <v/>
          </cell>
        </row>
        <row r="295">
          <cell r="A295" t="str">
            <v>12864</v>
          </cell>
          <cell r="E295" t="str">
            <v>|-4142|22|&gt;= 0|</v>
          </cell>
          <cell r="F295" t="str">
            <v>Minority Equity</v>
          </cell>
          <cell r="J295" t="str">
            <v/>
          </cell>
          <cell r="K295" t="str">
            <v/>
          </cell>
          <cell r="Q295" t="str">
            <v/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 refreshError="1"/>
      <sheetData sheetId="16" refreshError="1"/>
      <sheetData sheetId="17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ed capital_VDF"/>
    </sheetNames>
    <sheetDataSet>
      <sheetData sheetId="0" refreshError="1"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Q_Measure_Validations_Errors"/>
      <sheetName val="iQ_US_CoreIndustrials"/>
      <sheetName val="Model for comment"/>
      <sheetName val="Production Breakdown"/>
      <sheetName val="Model"/>
      <sheetName val="Balance Sheet (2)"/>
      <sheetName val="Cash Flows (2)"/>
      <sheetName val="Balance Sheet"/>
      <sheetName val="CMP"/>
      <sheetName val="Value"/>
      <sheetName val="Production by Field"/>
      <sheetName val="well stats"/>
      <sheetName val="Questions &amp; Notes"/>
      <sheetName val="Guidance Tracker"/>
      <sheetName val="iQ_CoreIndustrials"/>
      <sheetName val="Drivers"/>
      <sheetName val="CityCenter"/>
      <sheetName val="MGM Grand Macau"/>
      <sheetName val="Kerzner Istithmar"/>
      <sheetName val="QC"/>
      <sheetName val="Income Statement"/>
      <sheetName val="Cash Flow"/>
      <sheetName val="Debt and Interest"/>
      <sheetName val="Stockholder's Equity"/>
      <sheetName val="D&amp;A"/>
      <sheetName val="Revenue &amp; Expense analysis"/>
      <sheetName val="Earnings Decomposition"/>
      <sheetName val="Multiples"/>
      <sheetName val="EV to EBITDA"/>
      <sheetName val="Valuation"/>
      <sheetName val="DCF"/>
      <sheetName val="LBO Analysis"/>
      <sheetName val="Returns Analysis"/>
      <sheetName val="Revenue &amp; EBITDA Sources"/>
      <sheetName val="Quarterly analysis"/>
      <sheetName val="RevPAR tracker"/>
      <sheetName val="Sensitivity Analysis"/>
      <sheetName val="Land portfolio"/>
      <sheetName val="Development Schedule"/>
      <sheetName val="Signature Tower Gains"/>
      <sheetName val="Capex and Asset Sales"/>
      <sheetName val="MGM full LBO mod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P4" t="str">
            <v>1997</v>
          </cell>
          <cell r="Q4" t="str">
            <v>1q</v>
          </cell>
          <cell r="R4" t="str">
            <v>2q</v>
          </cell>
          <cell r="S4" t="str">
            <v>3q</v>
          </cell>
          <cell r="T4" t="str">
            <v>4q</v>
          </cell>
          <cell r="U4" t="str">
            <v>1998</v>
          </cell>
          <cell r="V4" t="str">
            <v>1q</v>
          </cell>
          <cell r="W4" t="str">
            <v>2q</v>
          </cell>
          <cell r="X4" t="str">
            <v>3q</v>
          </cell>
          <cell r="Y4" t="str">
            <v>4q</v>
          </cell>
          <cell r="Z4">
            <v>1999</v>
          </cell>
          <cell r="AA4" t="str">
            <v>1q</v>
          </cell>
          <cell r="AB4" t="str">
            <v>2q</v>
          </cell>
          <cell r="AC4" t="str">
            <v>3q</v>
          </cell>
          <cell r="AD4" t="str">
            <v>4q</v>
          </cell>
          <cell r="AE4">
            <v>2000</v>
          </cell>
        </row>
        <row r="5">
          <cell r="P5">
            <v>20.578333333333333</v>
          </cell>
          <cell r="Q5">
            <v>15.94</v>
          </cell>
          <cell r="R5">
            <v>14.65</v>
          </cell>
          <cell r="S5">
            <v>14.05</v>
          </cell>
          <cell r="T5">
            <v>12.87</v>
          </cell>
          <cell r="U5">
            <v>14.3775</v>
          </cell>
          <cell r="V5">
            <v>12.89</v>
          </cell>
          <cell r="W5">
            <v>17.55</v>
          </cell>
          <cell r="X5">
            <v>21.53</v>
          </cell>
          <cell r="Y5">
            <v>23.5</v>
          </cell>
          <cell r="Z5">
            <v>18.8675</v>
          </cell>
          <cell r="AA5">
            <v>28.77</v>
          </cell>
          <cell r="AB5">
            <v>27.75</v>
          </cell>
          <cell r="AC5">
            <v>31.44</v>
          </cell>
          <cell r="AD5">
            <v>32.28</v>
          </cell>
          <cell r="AE5">
            <v>30.06</v>
          </cell>
        </row>
        <row r="6">
          <cell r="P6">
            <v>2.3775000000000004</v>
          </cell>
          <cell r="Q6">
            <v>2.0499999999999998</v>
          </cell>
          <cell r="R6">
            <v>2.12</v>
          </cell>
          <cell r="S6">
            <v>1.9</v>
          </cell>
          <cell r="T6">
            <v>1.82</v>
          </cell>
          <cell r="U6">
            <v>1.9725000000000001</v>
          </cell>
          <cell r="V6">
            <v>1.68</v>
          </cell>
          <cell r="W6">
            <v>2.08</v>
          </cell>
          <cell r="X6">
            <v>2.41</v>
          </cell>
          <cell r="Y6">
            <v>2.4</v>
          </cell>
          <cell r="Z6">
            <v>2.1425000000000001</v>
          </cell>
          <cell r="AA6">
            <v>2.4500000000000002</v>
          </cell>
          <cell r="AB6">
            <v>3.41</v>
          </cell>
          <cell r="AC6">
            <v>4.28</v>
          </cell>
          <cell r="AD6">
            <v>6.07</v>
          </cell>
          <cell r="AE6">
            <v>4.0525000000000002</v>
          </cell>
        </row>
        <row r="10">
          <cell r="P10">
            <v>4.3424657534246567</v>
          </cell>
          <cell r="Q10">
            <v>7.0888888888888895</v>
          </cell>
          <cell r="R10">
            <v>7.4065934065934069</v>
          </cell>
          <cell r="S10">
            <v>7.6086956521739122</v>
          </cell>
          <cell r="T10">
            <v>9.3913043478260878</v>
          </cell>
          <cell r="U10">
            <v>7.8794520547945197</v>
          </cell>
          <cell r="V10">
            <v>9.2222222222222214</v>
          </cell>
          <cell r="W10">
            <v>9.6</v>
          </cell>
          <cell r="X10">
            <v>10.054347826086957</v>
          </cell>
          <cell r="Y10">
            <v>9.1</v>
          </cell>
          <cell r="Z10">
            <v>9.4953424657534242</v>
          </cell>
          <cell r="AA10">
            <v>8.3000000000000007</v>
          </cell>
          <cell r="AB10">
            <v>9.6999999999999993</v>
          </cell>
          <cell r="AC10">
            <v>9.3000000000000007</v>
          </cell>
          <cell r="AD10">
            <v>9.1</v>
          </cell>
          <cell r="AE10">
            <v>9.1005464480874316</v>
          </cell>
        </row>
        <row r="11">
          <cell r="P11">
            <v>38.857534246575341</v>
          </cell>
          <cell r="Q11">
            <v>81.222222222222229</v>
          </cell>
          <cell r="R11">
            <v>86.714285714285722</v>
          </cell>
          <cell r="S11">
            <v>86.152173913043484</v>
          </cell>
          <cell r="T11">
            <v>110.3695652173913</v>
          </cell>
          <cell r="U11">
            <v>91.180821917808245</v>
          </cell>
          <cell r="V11">
            <v>110.19999999999999</v>
          </cell>
          <cell r="W11">
            <v>105.2</v>
          </cell>
          <cell r="X11">
            <v>104.75000000000001</v>
          </cell>
          <cell r="Y11">
            <v>97.7</v>
          </cell>
          <cell r="Z11">
            <v>104.42904109589041</v>
          </cell>
          <cell r="AA11">
            <v>120.1</v>
          </cell>
          <cell r="AB11">
            <v>122.6</v>
          </cell>
          <cell r="AC11">
            <v>133.4</v>
          </cell>
          <cell r="AD11">
            <v>131.80000000000001</v>
          </cell>
          <cell r="AE11">
            <v>127.00573770491805</v>
          </cell>
        </row>
        <row r="12">
          <cell r="P12">
            <v>64.912328767123284</v>
          </cell>
          <cell r="Q12">
            <v>123.75555555555556</v>
          </cell>
          <cell r="R12">
            <v>131.15384615384616</v>
          </cell>
          <cell r="S12">
            <v>131.80434782608694</v>
          </cell>
          <cell r="T12">
            <v>166.71739130434781</v>
          </cell>
          <cell r="U12">
            <v>138.45753424657536</v>
          </cell>
          <cell r="V12">
            <v>165.5333333333333</v>
          </cell>
          <cell r="W12">
            <v>162.80000000000001</v>
          </cell>
          <cell r="X12">
            <v>165.07608695652175</v>
          </cell>
          <cell r="Y12">
            <v>152.30000000000001</v>
          </cell>
          <cell r="Z12">
            <v>161.40109589041094</v>
          </cell>
          <cell r="AA12">
            <v>169.9</v>
          </cell>
          <cell r="AB12">
            <v>180.79999999999998</v>
          </cell>
          <cell r="AC12">
            <v>189.20000000000002</v>
          </cell>
          <cell r="AD12">
            <v>186.4</v>
          </cell>
          <cell r="AE12">
            <v>181.60901639344263</v>
          </cell>
        </row>
        <row r="13">
          <cell r="P13">
            <v>0.59861562486810449</v>
          </cell>
          <cell r="Q13">
            <v>0.65631172562398998</v>
          </cell>
          <cell r="R13">
            <v>0.66116464180980317</v>
          </cell>
          <cell r="S13">
            <v>0.65363681345868396</v>
          </cell>
          <cell r="T13">
            <v>0.66201590820185163</v>
          </cell>
          <cell r="U13">
            <v>0.65854720303935743</v>
          </cell>
          <cell r="V13">
            <v>0.66572694321385428</v>
          </cell>
          <cell r="W13">
            <v>0.64619164619164615</v>
          </cell>
          <cell r="X13">
            <v>0.6345558701521038</v>
          </cell>
          <cell r="Y13">
            <v>0.64149704530531837</v>
          </cell>
          <cell r="Z13">
            <v>0.6470156879653175</v>
          </cell>
          <cell r="AA13">
            <v>0.70688640376692169</v>
          </cell>
          <cell r="AB13">
            <v>0.67809734513274345</v>
          </cell>
          <cell r="AC13">
            <v>0.70507399577167018</v>
          </cell>
          <cell r="AD13">
            <v>0.7070815450643777</v>
          </cell>
          <cell r="AE13">
            <v>0.69933608048275209</v>
          </cell>
        </row>
        <row r="16">
          <cell r="P16">
            <v>1.585</v>
          </cell>
          <cell r="Q16">
            <v>0.63800000000000001</v>
          </cell>
          <cell r="R16">
            <v>0.67400000000000004</v>
          </cell>
          <cell r="S16">
            <v>0.7</v>
          </cell>
          <cell r="T16">
            <v>0.86399999999999999</v>
          </cell>
          <cell r="U16">
            <v>2.8759999999999999</v>
          </cell>
          <cell r="V16">
            <v>0.83</v>
          </cell>
          <cell r="W16">
            <v>0.87360000000000004</v>
          </cell>
          <cell r="X16">
            <v>0.92500000000000004</v>
          </cell>
          <cell r="Y16">
            <v>0.83719999999999994</v>
          </cell>
          <cell r="Z16">
            <v>3.4657999999999998</v>
          </cell>
          <cell r="AA16">
            <v>0.75530000000000008</v>
          </cell>
          <cell r="AB16">
            <v>0.88269999999999993</v>
          </cell>
          <cell r="AC16">
            <v>0.85560000000000003</v>
          </cell>
          <cell r="AD16">
            <v>0.83719999999999994</v>
          </cell>
          <cell r="AE16">
            <v>3.3308</v>
          </cell>
        </row>
        <row r="17">
          <cell r="P17">
            <v>14.183</v>
          </cell>
          <cell r="Q17">
            <v>7.31</v>
          </cell>
          <cell r="R17">
            <v>7.891</v>
          </cell>
          <cell r="S17">
            <v>7.9260000000000002</v>
          </cell>
          <cell r="T17">
            <v>10.154</v>
          </cell>
          <cell r="U17">
            <v>33.281000000000006</v>
          </cell>
          <cell r="V17">
            <v>9.9179999999999993</v>
          </cell>
          <cell r="W17">
            <v>9.5731999999999999</v>
          </cell>
          <cell r="X17">
            <v>9.6370000000000005</v>
          </cell>
          <cell r="Y17">
            <v>8.9884000000000004</v>
          </cell>
          <cell r="Z17">
            <v>38.116599999999998</v>
          </cell>
          <cell r="AA17">
            <v>10.9291</v>
          </cell>
          <cell r="AB17">
            <v>11.156600000000001</v>
          </cell>
          <cell r="AC17">
            <v>12.272800000000002</v>
          </cell>
          <cell r="AD17">
            <v>12.1256</v>
          </cell>
          <cell r="AE17">
            <v>46.484100000000005</v>
          </cell>
        </row>
        <row r="18">
          <cell r="P18">
            <v>23.692999999999998</v>
          </cell>
          <cell r="Q18">
            <v>11.138</v>
          </cell>
          <cell r="R18">
            <v>11.935</v>
          </cell>
          <cell r="S18">
            <v>12.125999999999999</v>
          </cell>
          <cell r="T18">
            <v>15.338000000000001</v>
          </cell>
          <cell r="U18">
            <v>50.537000000000006</v>
          </cell>
          <cell r="V18">
            <v>14.898</v>
          </cell>
          <cell r="W18">
            <v>14.8148</v>
          </cell>
          <cell r="X18">
            <v>15.187000000000001</v>
          </cell>
          <cell r="Y18">
            <v>14.0116</v>
          </cell>
          <cell r="Z18">
            <v>58.9114</v>
          </cell>
          <cell r="AA18">
            <v>15.460900000000001</v>
          </cell>
          <cell r="AB18">
            <v>16.4528</v>
          </cell>
          <cell r="AC18">
            <v>17.406400000000001</v>
          </cell>
          <cell r="AD18">
            <v>17.148800000000001</v>
          </cell>
          <cell r="AE18">
            <v>66.468900000000005</v>
          </cell>
        </row>
        <row r="21">
          <cell r="P21">
            <v>23.692999999999998</v>
          </cell>
          <cell r="Q21">
            <v>11.138</v>
          </cell>
          <cell r="R21">
            <v>11.935</v>
          </cell>
          <cell r="S21">
            <v>12.125999999999999</v>
          </cell>
          <cell r="T21">
            <v>15.338000000000001</v>
          </cell>
          <cell r="U21">
            <v>50.537000000000006</v>
          </cell>
          <cell r="V21">
            <v>14.898</v>
          </cell>
          <cell r="W21">
            <v>14.8148</v>
          </cell>
          <cell r="X21">
            <v>15.187000000000001</v>
          </cell>
          <cell r="Y21">
            <v>14.0116</v>
          </cell>
          <cell r="Z21">
            <v>58.9114</v>
          </cell>
          <cell r="AA21">
            <v>15.460900000000001</v>
          </cell>
          <cell r="AB21">
            <v>16.4528</v>
          </cell>
          <cell r="AC21">
            <v>17.406400000000001</v>
          </cell>
          <cell r="AD21">
            <v>17.148800000000001</v>
          </cell>
          <cell r="AE21">
            <v>66.468900000000005</v>
          </cell>
        </row>
        <row r="22">
          <cell r="P22">
            <v>3.9488333333333334</v>
          </cell>
          <cell r="Q22">
            <v>1.8563333333333332</v>
          </cell>
          <cell r="R22">
            <v>1.9891666666666667</v>
          </cell>
          <cell r="S22">
            <v>2.0209999999999999</v>
          </cell>
          <cell r="T22">
            <v>2.5563333333333333</v>
          </cell>
          <cell r="U22">
            <v>8.4228333333333349</v>
          </cell>
          <cell r="V22">
            <v>2.4829999999999997</v>
          </cell>
          <cell r="W22">
            <v>2.4691333333333332</v>
          </cell>
          <cell r="X22">
            <v>2.5311666666666666</v>
          </cell>
          <cell r="Y22">
            <v>2.3352666666666666</v>
          </cell>
          <cell r="Z22">
            <v>9.8185666666666656</v>
          </cell>
          <cell r="AA22">
            <v>2.5768166666666668</v>
          </cell>
          <cell r="AB22">
            <v>2.7421333333333333</v>
          </cell>
          <cell r="AC22">
            <v>2.9010666666666669</v>
          </cell>
          <cell r="AD22">
            <v>2.858133333333333</v>
          </cell>
          <cell r="AE22">
            <v>11.078150000000001</v>
          </cell>
        </row>
        <row r="25">
          <cell r="P25">
            <v>19.61</v>
          </cell>
          <cell r="Q25">
            <v>16.12</v>
          </cell>
          <cell r="R25">
            <v>13.55</v>
          </cell>
          <cell r="S25">
            <v>12.84</v>
          </cell>
          <cell r="T25">
            <v>11.72</v>
          </cell>
          <cell r="U25">
            <v>13.397545201668985</v>
          </cell>
          <cell r="V25">
            <v>11.81</v>
          </cell>
          <cell r="W25">
            <v>15.47</v>
          </cell>
          <cell r="X25">
            <v>17.34</v>
          </cell>
          <cell r="Y25">
            <v>20.95</v>
          </cell>
          <cell r="Z25">
            <v>16.416334468232442</v>
          </cell>
          <cell r="AA25">
            <v>24.09</v>
          </cell>
          <cell r="AB25">
            <v>23.5</v>
          </cell>
          <cell r="AC25">
            <v>27.7</v>
          </cell>
          <cell r="AD25">
            <v>27.94</v>
          </cell>
          <cell r="AE25">
            <v>25.82866428485649</v>
          </cell>
        </row>
        <row r="26">
          <cell r="P26">
            <v>2.68</v>
          </cell>
          <cell r="Q26">
            <v>2.472</v>
          </cell>
          <cell r="R26">
            <v>2.37</v>
          </cell>
          <cell r="S26">
            <v>2.2400000000000002</v>
          </cell>
          <cell r="T26">
            <v>2.12</v>
          </cell>
          <cell r="U26">
            <v>2.2851690153541058</v>
          </cell>
          <cell r="V26">
            <v>2.09</v>
          </cell>
          <cell r="W26">
            <v>2.33</v>
          </cell>
          <cell r="X26">
            <v>2.54</v>
          </cell>
          <cell r="Y26">
            <v>2.504</v>
          </cell>
          <cell r="Z26">
            <v>2.3616773164448039</v>
          </cell>
          <cell r="AA26">
            <v>2.6549999999999998</v>
          </cell>
          <cell r="AB26">
            <v>3.41</v>
          </cell>
          <cell r="AC26">
            <v>3.92</v>
          </cell>
          <cell r="AD26">
            <v>4.55</v>
          </cell>
          <cell r="AE26">
            <v>3.6645137261988503</v>
          </cell>
        </row>
        <row r="29">
          <cell r="P29">
            <v>85.155753424657519</v>
          </cell>
          <cell r="Q29">
            <v>114.2728888888889</v>
          </cell>
          <cell r="R29">
            <v>100.35934065934067</v>
          </cell>
          <cell r="S29">
            <v>97.695652173913032</v>
          </cell>
          <cell r="T29">
            <v>110.06608695652176</v>
          </cell>
          <cell r="U29">
            <v>105.56531506849313</v>
          </cell>
          <cell r="V29">
            <v>108.91444444444444</v>
          </cell>
          <cell r="W29">
            <v>148.512</v>
          </cell>
          <cell r="X29">
            <v>174.34239130434784</v>
          </cell>
          <cell r="Y29">
            <v>190.64499999999998</v>
          </cell>
          <cell r="Z29">
            <v>155.87871780821916</v>
          </cell>
          <cell r="AA29">
            <v>199.947</v>
          </cell>
          <cell r="AB29">
            <v>227.95</v>
          </cell>
          <cell r="AC29">
            <v>257.61</v>
          </cell>
          <cell r="AD29">
            <v>254.25399999999999</v>
          </cell>
          <cell r="AE29">
            <v>235.05495901639344</v>
          </cell>
        </row>
        <row r="30">
          <cell r="P30">
            <v>104.13819178082191</v>
          </cell>
          <cell r="Q30">
            <v>200.78133333333335</v>
          </cell>
          <cell r="R30">
            <v>205.51285714285717</v>
          </cell>
          <cell r="S30">
            <v>192.98086956521743</v>
          </cell>
          <cell r="T30">
            <v>233.98347826086956</v>
          </cell>
          <cell r="U30">
            <v>208.36358904109593</v>
          </cell>
          <cell r="V30">
            <v>230.31799999999996</v>
          </cell>
          <cell r="W30">
            <v>245.11600000000001</v>
          </cell>
          <cell r="X30">
            <v>266.06500000000005</v>
          </cell>
          <cell r="Y30">
            <v>244.64080000000001</v>
          </cell>
          <cell r="Z30">
            <v>246.62769753424661</v>
          </cell>
          <cell r="AA30">
            <v>318.86549999999994</v>
          </cell>
          <cell r="AB30">
            <v>418.06599999999997</v>
          </cell>
          <cell r="AC30">
            <v>522.928</v>
          </cell>
          <cell r="AD30">
            <v>599.69000000000005</v>
          </cell>
          <cell r="AE30">
            <v>465.41426912568306</v>
          </cell>
        </row>
        <row r="33">
          <cell r="P33">
            <v>31.081849999999999</v>
          </cell>
          <cell r="Q33">
            <v>10.284560000000001</v>
          </cell>
          <cell r="R33">
            <v>9.1327000000000016</v>
          </cell>
          <cell r="S33">
            <v>8.9879999999999995</v>
          </cell>
          <cell r="T33">
            <v>10.12608</v>
          </cell>
          <cell r="U33">
            <v>38.53134</v>
          </cell>
          <cell r="V33">
            <v>9.8023000000000007</v>
          </cell>
          <cell r="W33">
            <v>13.514592</v>
          </cell>
          <cell r="X33">
            <v>16.0395</v>
          </cell>
          <cell r="Y33">
            <v>17.539339999999999</v>
          </cell>
          <cell r="Z33">
            <v>56.895731999999995</v>
          </cell>
          <cell r="AA33">
            <v>18.195177000000001</v>
          </cell>
          <cell r="AB33">
            <v>20.743449999999999</v>
          </cell>
          <cell r="AC33">
            <v>23.700120000000002</v>
          </cell>
          <cell r="AD33">
            <v>23.391368</v>
          </cell>
          <cell r="AE33">
            <v>86.030114999999995</v>
          </cell>
        </row>
        <row r="34">
          <cell r="P34">
            <v>38.010440000000003</v>
          </cell>
          <cell r="Q34">
            <v>18.070319999999999</v>
          </cell>
          <cell r="R34">
            <v>18.70167</v>
          </cell>
          <cell r="S34">
            <v>17.754240000000003</v>
          </cell>
          <cell r="T34">
            <v>21.526479999999999</v>
          </cell>
          <cell r="U34">
            <v>76.052710000000005</v>
          </cell>
          <cell r="V34">
            <v>20.728619999999996</v>
          </cell>
          <cell r="W34">
            <v>22.305555999999999</v>
          </cell>
          <cell r="X34">
            <v>24.477980000000002</v>
          </cell>
          <cell r="Y34">
            <v>22.506953600000003</v>
          </cell>
          <cell r="Z34">
            <v>90.019109600000007</v>
          </cell>
          <cell r="AA34">
            <v>29.016760499999997</v>
          </cell>
          <cell r="AB34">
            <v>38.044006000000003</v>
          </cell>
          <cell r="AC34">
            <v>48.109376000000005</v>
          </cell>
          <cell r="AD34">
            <v>55.171480000000003</v>
          </cell>
          <cell r="AE34">
            <v>170.3416225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"/>
      <sheetName val="iQ_Measure_Validations_Errors"/>
      <sheetName val="iQ_US_CoreIndustrials"/>
      <sheetName val="GeographicalBreakdown"/>
      <sheetName val="Sheet1"/>
      <sheetName val="Model for comment"/>
      <sheetName val="Model"/>
      <sheetName val="Balance Sheet (2)"/>
      <sheetName val="Cash Flows (2)"/>
      <sheetName val="Balance Sheet"/>
      <sheetName val="well stats"/>
      <sheetName val="2000notes"/>
      <sheetName val="Debt"/>
      <sheetName val="COGdom"/>
      <sheetName val="Module1"/>
      <sheetName val="iQ_CoreIndustrials"/>
      <sheetName val="GAAP &amp; Comments"/>
      <sheetName val="Variance"/>
      <sheetName val="Hedg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A2" t="str">
            <v>COMMODITY ASSUMPTIONS</v>
          </cell>
          <cell r="B2">
            <v>1988</v>
          </cell>
          <cell r="C2">
            <v>1989</v>
          </cell>
          <cell r="D2">
            <v>1990</v>
          </cell>
          <cell r="E2" t="str">
            <v>1Q 91</v>
          </cell>
          <cell r="F2" t="str">
            <v>2Q 91</v>
          </cell>
          <cell r="G2" t="str">
            <v>3Q 91</v>
          </cell>
          <cell r="H2" t="str">
            <v>4Q 91</v>
          </cell>
          <cell r="I2">
            <v>1991</v>
          </cell>
          <cell r="J2" t="str">
            <v>1Q92</v>
          </cell>
          <cell r="K2" t="str">
            <v>2Q92</v>
          </cell>
          <cell r="L2" t="str">
            <v>3Q92</v>
          </cell>
          <cell r="M2" t="str">
            <v>4Q92</v>
          </cell>
          <cell r="N2">
            <v>1992</v>
          </cell>
          <cell r="O2" t="str">
            <v>1Q93</v>
          </cell>
          <cell r="P2" t="str">
            <v>2Q93</v>
          </cell>
          <cell r="Q2" t="str">
            <v>3Q93</v>
          </cell>
          <cell r="R2" t="str">
            <v>4Q93</v>
          </cell>
          <cell r="S2">
            <v>1993</v>
          </cell>
          <cell r="T2" t="str">
            <v>1Q 94</v>
          </cell>
          <cell r="U2" t="str">
            <v>2Q 94</v>
          </cell>
          <cell r="V2" t="str">
            <v>3Q 94</v>
          </cell>
          <cell r="W2" t="str">
            <v>4Q 94</v>
          </cell>
          <cell r="X2">
            <v>1994</v>
          </cell>
          <cell r="Y2" t="str">
            <v>1Q 95</v>
          </cell>
          <cell r="Z2" t="str">
            <v>2Q 95</v>
          </cell>
          <cell r="AA2" t="str">
            <v>3Q 95</v>
          </cell>
          <cell r="AB2" t="str">
            <v>4Q 95</v>
          </cell>
          <cell r="AC2">
            <v>1995</v>
          </cell>
          <cell r="AD2" t="str">
            <v>1Q 96</v>
          </cell>
          <cell r="AE2" t="str">
            <v>2Q 96</v>
          </cell>
          <cell r="AF2" t="str">
            <v>3Q 96</v>
          </cell>
          <cell r="AG2" t="str">
            <v>4Q 96</v>
          </cell>
          <cell r="AH2" t="str">
            <v>1996</v>
          </cell>
          <cell r="AI2" t="str">
            <v>1Q 97</v>
          </cell>
          <cell r="AJ2" t="str">
            <v>2Q 97</v>
          </cell>
          <cell r="AK2" t="str">
            <v>3Q 97</v>
          </cell>
          <cell r="AL2" t="str">
            <v>4Q 97</v>
          </cell>
          <cell r="AM2" t="str">
            <v>1997</v>
          </cell>
          <cell r="AN2" t="str">
            <v>1Q 98</v>
          </cell>
          <cell r="AO2" t="str">
            <v>2Q 98</v>
          </cell>
          <cell r="AP2" t="str">
            <v>3Q 98</v>
          </cell>
          <cell r="AQ2" t="str">
            <v>4Q 98</v>
          </cell>
          <cell r="AR2" t="str">
            <v>1998</v>
          </cell>
          <cell r="AS2" t="str">
            <v>1Q 99</v>
          </cell>
          <cell r="AT2" t="str">
            <v>2Q 99</v>
          </cell>
          <cell r="AU2" t="str">
            <v>3Q 99</v>
          </cell>
          <cell r="AV2" t="str">
            <v>4Q 99</v>
          </cell>
          <cell r="AW2" t="str">
            <v>1999</v>
          </cell>
          <cell r="AX2" t="str">
            <v>1Q 00</v>
          </cell>
          <cell r="AY2" t="str">
            <v>2Q 00</v>
          </cell>
          <cell r="AZ2" t="str">
            <v>3Q 00</v>
          </cell>
          <cell r="BA2" t="str">
            <v>4Q 00</v>
          </cell>
          <cell r="BB2">
            <v>2000</v>
          </cell>
        </row>
        <row r="3">
          <cell r="A3" t="str">
            <v>WTI Spot</v>
          </cell>
          <cell r="B3">
            <v>15.98</v>
          </cell>
          <cell r="C3">
            <v>19.78</v>
          </cell>
          <cell r="D3">
            <v>24.47</v>
          </cell>
          <cell r="E3">
            <v>22.193333333333332</v>
          </cell>
          <cell r="F3">
            <v>20.74</v>
          </cell>
          <cell r="G3">
            <v>21.72666666666667</v>
          </cell>
          <cell r="H3">
            <v>21.75333333333333</v>
          </cell>
          <cell r="I3">
            <v>21.6</v>
          </cell>
          <cell r="J3">
            <v>18.89</v>
          </cell>
          <cell r="K3">
            <v>21.14</v>
          </cell>
          <cell r="L3">
            <v>21.636666666666667</v>
          </cell>
          <cell r="M3">
            <v>20.476666666666667</v>
          </cell>
          <cell r="N3">
            <v>20.54</v>
          </cell>
          <cell r="O3">
            <v>19.866666666666667</v>
          </cell>
          <cell r="P3">
            <v>19.786666666666665</v>
          </cell>
          <cell r="Q3">
            <v>17.796666666666667</v>
          </cell>
          <cell r="R3">
            <v>15.53</v>
          </cell>
          <cell r="S3">
            <v>18.489999999999998</v>
          </cell>
          <cell r="T3">
            <v>14.72</v>
          </cell>
          <cell r="U3">
            <v>17.606666666666669</v>
          </cell>
          <cell r="V3">
            <v>18.510000000000002</v>
          </cell>
          <cell r="W3">
            <v>17.233333333333334</v>
          </cell>
          <cell r="X3">
            <v>16.73</v>
          </cell>
          <cell r="Y3">
            <v>18.27</v>
          </cell>
          <cell r="Z3">
            <v>19.34</v>
          </cell>
          <cell r="AA3">
            <v>17.833333333333332</v>
          </cell>
          <cell r="AB3">
            <v>18.09</v>
          </cell>
          <cell r="AC3">
            <v>18.399999999999999</v>
          </cell>
          <cell r="AD3">
            <v>19.690000000000001</v>
          </cell>
          <cell r="AE3">
            <v>21.793333333333333</v>
          </cell>
          <cell r="AF3">
            <v>22.21</v>
          </cell>
          <cell r="AG3">
            <v>22.3</v>
          </cell>
          <cell r="AH3">
            <v>21.498333333333335</v>
          </cell>
          <cell r="AI3">
            <v>22.81</v>
          </cell>
          <cell r="AJ3">
            <v>19.86</v>
          </cell>
          <cell r="AK3">
            <v>19.72</v>
          </cell>
          <cell r="AL3">
            <v>21.42</v>
          </cell>
          <cell r="AM3">
            <v>20.952500000000001</v>
          </cell>
          <cell r="AN3">
            <v>15.94</v>
          </cell>
          <cell r="AO3">
            <v>14.65</v>
          </cell>
          <cell r="AP3">
            <v>14.05</v>
          </cell>
          <cell r="AQ3">
            <v>12.87</v>
          </cell>
          <cell r="AR3">
            <v>14.3775</v>
          </cell>
          <cell r="AS3">
            <v>12.89</v>
          </cell>
          <cell r="AT3">
            <v>17.55</v>
          </cell>
          <cell r="AU3">
            <v>21.53</v>
          </cell>
          <cell r="AV3">
            <v>24.34</v>
          </cell>
          <cell r="AW3">
            <v>19.077500000000001</v>
          </cell>
          <cell r="AX3">
            <v>28.77</v>
          </cell>
          <cell r="AY3">
            <v>28.69</v>
          </cell>
          <cell r="AZ3">
            <v>31.44</v>
          </cell>
          <cell r="BA3">
            <v>32.659999999999997</v>
          </cell>
          <cell r="BB3">
            <v>30.39</v>
          </cell>
        </row>
        <row r="4">
          <cell r="A4" t="str">
            <v>Natural Gas Composite</v>
          </cell>
          <cell r="B4">
            <v>1.59</v>
          </cell>
          <cell r="C4">
            <v>1.58</v>
          </cell>
          <cell r="D4">
            <v>1.59</v>
          </cell>
          <cell r="E4">
            <v>1.4075</v>
          </cell>
          <cell r="F4">
            <v>1.1936666666666664</v>
          </cell>
          <cell r="G4">
            <v>1.2030000000000001</v>
          </cell>
          <cell r="H4">
            <v>1.6641666666666666</v>
          </cell>
          <cell r="I4">
            <v>1.37</v>
          </cell>
          <cell r="J4">
            <v>1.1633333333333333</v>
          </cell>
          <cell r="K4">
            <v>1.4035</v>
          </cell>
          <cell r="L4">
            <v>1.7749999999999999</v>
          </cell>
          <cell r="M4">
            <v>2.1266666666666665</v>
          </cell>
          <cell r="N4">
            <v>1.62</v>
          </cell>
          <cell r="O4">
            <v>1.8166666666666664</v>
          </cell>
          <cell r="P4">
            <v>2.0233333333333334</v>
          </cell>
          <cell r="Q4">
            <v>2.0366666666666666</v>
          </cell>
          <cell r="R4">
            <v>1.99</v>
          </cell>
          <cell r="S4">
            <v>1.96</v>
          </cell>
          <cell r="T4">
            <v>2.16</v>
          </cell>
          <cell r="U4">
            <v>1.7433333333333334</v>
          </cell>
          <cell r="V4">
            <v>1.53</v>
          </cell>
          <cell r="W4">
            <v>1.45</v>
          </cell>
          <cell r="X4">
            <v>1.73</v>
          </cell>
          <cell r="Y4">
            <v>1.32</v>
          </cell>
          <cell r="Z4">
            <v>1.41</v>
          </cell>
          <cell r="AA4">
            <v>1.36</v>
          </cell>
          <cell r="AB4">
            <v>1.81</v>
          </cell>
          <cell r="AC4">
            <v>1.47</v>
          </cell>
          <cell r="AD4">
            <v>2.7366666666666668</v>
          </cell>
          <cell r="AE4">
            <v>2.1466666666666669</v>
          </cell>
          <cell r="AF4">
            <v>1.98</v>
          </cell>
          <cell r="AG4">
            <v>1.82</v>
          </cell>
          <cell r="AH4">
            <v>2.1708333333333334</v>
          </cell>
          <cell r="AI4">
            <v>2.5</v>
          </cell>
          <cell r="AJ4">
            <v>1.99</v>
          </cell>
          <cell r="AK4">
            <v>2.3199999999999998</v>
          </cell>
          <cell r="AL4">
            <v>2.7</v>
          </cell>
          <cell r="AM4">
            <v>2.3775000000000004</v>
          </cell>
          <cell r="AN4">
            <v>2.0499999999999998</v>
          </cell>
          <cell r="AO4">
            <v>2.1</v>
          </cell>
          <cell r="AP4">
            <v>1.9</v>
          </cell>
          <cell r="AQ4">
            <v>1.82</v>
          </cell>
          <cell r="AR4">
            <v>1.9675000000000002</v>
          </cell>
          <cell r="AS4">
            <v>1.68</v>
          </cell>
          <cell r="AT4">
            <v>2.08</v>
          </cell>
          <cell r="AU4">
            <v>2.41</v>
          </cell>
          <cell r="AV4">
            <v>2.38</v>
          </cell>
          <cell r="AW4">
            <v>2.1375000000000002</v>
          </cell>
          <cell r="AX4">
            <v>2.4500000000000002</v>
          </cell>
          <cell r="AY4">
            <v>3.41</v>
          </cell>
          <cell r="AZ4">
            <v>4.28</v>
          </cell>
          <cell r="BA4">
            <v>5.7</v>
          </cell>
          <cell r="BB4">
            <v>3.96</v>
          </cell>
        </row>
        <row r="6">
          <cell r="A6" t="str">
            <v>DAILY PRODUCTION (MMcf)</v>
          </cell>
          <cell r="B6">
            <v>1988</v>
          </cell>
          <cell r="C6">
            <v>1989</v>
          </cell>
          <cell r="D6">
            <v>1990</v>
          </cell>
          <cell r="E6" t="str">
            <v>1q</v>
          </cell>
          <cell r="F6" t="str">
            <v>2q</v>
          </cell>
          <cell r="G6" t="str">
            <v>3q</v>
          </cell>
          <cell r="H6" t="str">
            <v>4q</v>
          </cell>
          <cell r="I6">
            <v>1991</v>
          </cell>
          <cell r="J6" t="str">
            <v>1q</v>
          </cell>
          <cell r="K6" t="str">
            <v>2q'</v>
          </cell>
          <cell r="L6" t="str">
            <v>3q</v>
          </cell>
          <cell r="M6" t="str">
            <v>4q</v>
          </cell>
          <cell r="N6" t="str">
            <v>1992</v>
          </cell>
          <cell r="O6" t="str">
            <v>1q</v>
          </cell>
          <cell r="P6" t="str">
            <v xml:space="preserve">2q </v>
          </cell>
          <cell r="Q6" t="str">
            <v>3q*</v>
          </cell>
          <cell r="R6" t="str">
            <v>4q</v>
          </cell>
          <cell r="S6">
            <v>1993</v>
          </cell>
          <cell r="T6" t="str">
            <v>1q</v>
          </cell>
          <cell r="U6" t="str">
            <v>2q</v>
          </cell>
          <cell r="V6" t="str">
            <v>3q</v>
          </cell>
          <cell r="W6" t="str">
            <v>4q</v>
          </cell>
          <cell r="X6" t="str">
            <v>1994</v>
          </cell>
          <cell r="Y6" t="str">
            <v>1q</v>
          </cell>
          <cell r="Z6" t="str">
            <v>2q</v>
          </cell>
          <cell r="AA6" t="str">
            <v>3q</v>
          </cell>
          <cell r="AB6" t="str">
            <v>4q</v>
          </cell>
          <cell r="AC6">
            <v>1995</v>
          </cell>
          <cell r="AD6" t="str">
            <v>1q</v>
          </cell>
          <cell r="AE6" t="str">
            <v>2q</v>
          </cell>
          <cell r="AF6" t="str">
            <v>3q</v>
          </cell>
          <cell r="AG6" t="str">
            <v>4q</v>
          </cell>
          <cell r="AH6" t="str">
            <v>1996</v>
          </cell>
          <cell r="AI6" t="str">
            <v>1q</v>
          </cell>
          <cell r="AJ6" t="str">
            <v>2q</v>
          </cell>
          <cell r="AK6" t="str">
            <v>3q</v>
          </cell>
          <cell r="AL6" t="str">
            <v>4q</v>
          </cell>
          <cell r="AM6" t="str">
            <v>1997</v>
          </cell>
          <cell r="AN6" t="str">
            <v>1q</v>
          </cell>
          <cell r="AO6" t="str">
            <v>2q</v>
          </cell>
          <cell r="AP6" t="str">
            <v>3q</v>
          </cell>
          <cell r="AQ6" t="str">
            <v>4q</v>
          </cell>
          <cell r="AR6" t="str">
            <v>1998</v>
          </cell>
          <cell r="AS6" t="str">
            <v>1q</v>
          </cell>
          <cell r="AT6" t="str">
            <v>2q</v>
          </cell>
          <cell r="AU6" t="str">
            <v>3q</v>
          </cell>
          <cell r="AV6" t="str">
            <v>4q</v>
          </cell>
          <cell r="AW6" t="str">
            <v>1999</v>
          </cell>
          <cell r="AX6" t="str">
            <v>1q</v>
          </cell>
          <cell r="AY6" t="str">
            <v>2q</v>
          </cell>
          <cell r="AZ6" t="str">
            <v>3q</v>
          </cell>
          <cell r="BA6" t="str">
            <v>4q</v>
          </cell>
          <cell r="BB6">
            <v>2000</v>
          </cell>
        </row>
        <row r="7">
          <cell r="A7" t="str">
            <v xml:space="preserve">  East</v>
          </cell>
          <cell r="B7">
            <v>59.289617486338798</v>
          </cell>
          <cell r="C7">
            <v>69.315068493150676</v>
          </cell>
          <cell r="D7">
            <v>70.2</v>
          </cell>
          <cell r="E7">
            <v>74.900000000000006</v>
          </cell>
          <cell r="F7">
            <v>73.3</v>
          </cell>
          <cell r="G7">
            <v>67.599999999999994</v>
          </cell>
          <cell r="H7">
            <v>75.5</v>
          </cell>
          <cell r="I7">
            <v>72.8</v>
          </cell>
          <cell r="J7">
            <v>75.824175824175839</v>
          </cell>
          <cell r="K7">
            <v>68</v>
          </cell>
          <cell r="L7">
            <v>67.391304347826093</v>
          </cell>
          <cell r="M7">
            <v>67</v>
          </cell>
          <cell r="N7">
            <v>69.731506849315068</v>
          </cell>
          <cell r="O7">
            <v>73.5</v>
          </cell>
          <cell r="P7">
            <v>69</v>
          </cell>
          <cell r="Q7">
            <v>71</v>
          </cell>
          <cell r="R7">
            <v>78.260869565217391</v>
          </cell>
          <cell r="S7">
            <v>72.947945205479456</v>
          </cell>
          <cell r="T7">
            <v>80</v>
          </cell>
          <cell r="U7">
            <v>80.5</v>
          </cell>
          <cell r="V7">
            <v>82.608695652173907</v>
          </cell>
          <cell r="W7">
            <v>82.5</v>
          </cell>
          <cell r="X7">
            <v>81.412328767123284</v>
          </cell>
          <cell r="Y7">
            <v>82.222222222222229</v>
          </cell>
          <cell r="Z7">
            <v>76.92307692307692</v>
          </cell>
          <cell r="AA7">
            <v>71.739130434782609</v>
          </cell>
          <cell r="AB7">
            <v>70.652173913043484</v>
          </cell>
          <cell r="AC7">
            <v>75.342465753424648</v>
          </cell>
          <cell r="AD7">
            <v>74.444444444444457</v>
          </cell>
          <cell r="AE7">
            <v>71.428571428571431</v>
          </cell>
          <cell r="AF7">
            <v>71.739130434782609</v>
          </cell>
          <cell r="AG7">
            <v>76.08695652173914</v>
          </cell>
          <cell r="AH7">
            <v>73.424657534246563</v>
          </cell>
          <cell r="AI7">
            <v>73.333333333333329</v>
          </cell>
          <cell r="AJ7">
            <v>73.626373626373635</v>
          </cell>
          <cell r="AK7">
            <v>70.65217391304347</v>
          </cell>
          <cell r="AL7">
            <v>58.695652173913047</v>
          </cell>
          <cell r="AM7">
            <v>69.041095890410958</v>
          </cell>
          <cell r="AN7">
            <v>56.666666666666664</v>
          </cell>
          <cell r="AO7">
            <v>61.538461538461533</v>
          </cell>
          <cell r="AP7">
            <v>64.130434782608702</v>
          </cell>
          <cell r="AQ7">
            <v>66.304347826086953</v>
          </cell>
          <cell r="AR7">
            <v>62.191780821917817</v>
          </cell>
          <cell r="AS7">
            <v>62.222222222222221</v>
          </cell>
          <cell r="AT7">
            <v>57.142857142857146</v>
          </cell>
          <cell r="AU7">
            <v>57.608695652173914</v>
          </cell>
          <cell r="AV7">
            <v>49.999999999999993</v>
          </cell>
          <cell r="AW7">
            <v>56.712328767123296</v>
          </cell>
          <cell r="AX7">
            <v>49.450549450549445</v>
          </cell>
          <cell r="AY7">
            <v>49.450549450549445</v>
          </cell>
          <cell r="AZ7">
            <v>49.999999999999993</v>
          </cell>
          <cell r="BA7">
            <v>46.739130434782609</v>
          </cell>
          <cell r="BB7">
            <v>48.907103825136602</v>
          </cell>
        </row>
        <row r="8">
          <cell r="A8" t="str">
            <v xml:space="preserve">  Western</v>
          </cell>
          <cell r="B8">
            <v>0</v>
          </cell>
          <cell r="C8">
            <v>28.767123287671232</v>
          </cell>
          <cell r="D8">
            <v>38.5</v>
          </cell>
          <cell r="E8">
            <v>45.6</v>
          </cell>
          <cell r="F8">
            <v>41.7</v>
          </cell>
          <cell r="G8">
            <v>44.1</v>
          </cell>
          <cell r="H8">
            <v>54.8</v>
          </cell>
          <cell r="I8">
            <v>46.6</v>
          </cell>
          <cell r="J8">
            <v>59.340659340659343</v>
          </cell>
          <cell r="K8">
            <v>56</v>
          </cell>
          <cell r="L8">
            <v>48.913043478260867</v>
          </cell>
          <cell r="M8">
            <v>55</v>
          </cell>
          <cell r="N8">
            <v>54.947945205479449</v>
          </cell>
          <cell r="O8">
            <v>50</v>
          </cell>
          <cell r="P8">
            <v>52</v>
          </cell>
          <cell r="Q8">
            <v>55</v>
          </cell>
          <cell r="R8">
            <v>60.869565217391298</v>
          </cell>
          <cell r="S8">
            <v>54.4986301369863</v>
          </cell>
          <cell r="T8">
            <v>56.666666666666664</v>
          </cell>
          <cell r="U8">
            <v>80.400000000000006</v>
          </cell>
          <cell r="V8">
            <v>89.673913043478251</v>
          </cell>
          <cell r="W8">
            <v>85</v>
          </cell>
          <cell r="X8">
            <v>78.044931506849323</v>
          </cell>
          <cell r="Y8">
            <v>77.466666666666654</v>
          </cell>
          <cell r="Z8">
            <v>77.604395604395606</v>
          </cell>
          <cell r="AA8">
            <v>63.489130434782609</v>
          </cell>
          <cell r="AB8">
            <v>72.858695652173907</v>
          </cell>
          <cell r="AC8">
            <v>72.816438356164383</v>
          </cell>
          <cell r="AD8">
            <v>71.577777777777783</v>
          </cell>
          <cell r="AE8">
            <v>80.208791208791212</v>
          </cell>
          <cell r="AF8">
            <v>67.956521739130423</v>
          </cell>
          <cell r="AG8">
            <v>76.83695652173914</v>
          </cell>
          <cell r="AH8">
            <v>74.142465753424645</v>
          </cell>
          <cell r="AI8">
            <v>76.333333333333343</v>
          </cell>
          <cell r="AJ8">
            <v>77.175824175824175</v>
          </cell>
          <cell r="AK8">
            <v>87.967391304347828</v>
          </cell>
          <cell r="AL8">
            <v>89.869565217391298</v>
          </cell>
          <cell r="AM8">
            <v>82.887671232876698</v>
          </cell>
          <cell r="AN8">
            <v>84.444444444444443</v>
          </cell>
          <cell r="AO8">
            <v>83.516483516483518</v>
          </cell>
          <cell r="AP8">
            <v>85.869565217391312</v>
          </cell>
          <cell r="AQ8">
            <v>84.782608695652172</v>
          </cell>
          <cell r="AR8">
            <v>84.657534246575352</v>
          </cell>
          <cell r="AS8">
            <v>82.222222222222229</v>
          </cell>
          <cell r="AT8">
            <v>81.318681318681328</v>
          </cell>
          <cell r="AU8">
            <v>82.608695652173907</v>
          </cell>
          <cell r="AV8">
            <v>76.08695652173914</v>
          </cell>
          <cell r="AW8">
            <v>80.547945205479451</v>
          </cell>
          <cell r="AX8">
            <v>80.219780219780219</v>
          </cell>
          <cell r="AY8">
            <v>79.120879120879124</v>
          </cell>
          <cell r="AZ8">
            <v>80.434782608695656</v>
          </cell>
          <cell r="BA8">
            <v>76.08695652173914</v>
          </cell>
          <cell r="BB8">
            <v>78.961748633879779</v>
          </cell>
        </row>
        <row r="9">
          <cell r="A9" t="str">
            <v xml:space="preserve">  Gulf Coast</v>
          </cell>
          <cell r="Y9">
            <v>11.422222222222222</v>
          </cell>
          <cell r="Z9">
            <v>9.2087912087912098</v>
          </cell>
          <cell r="AA9">
            <v>9.336956521739129</v>
          </cell>
          <cell r="AB9">
            <v>10.836956521739131</v>
          </cell>
          <cell r="AC9">
            <v>10.197260273972603</v>
          </cell>
          <cell r="AD9">
            <v>11.755555555555556</v>
          </cell>
          <cell r="AE9">
            <v>12.098901098901099</v>
          </cell>
          <cell r="AF9">
            <v>14.652173913043478</v>
          </cell>
          <cell r="AG9">
            <v>15.554347826086957</v>
          </cell>
          <cell r="AH9">
            <v>13.52876712328767</v>
          </cell>
          <cell r="AI9">
            <v>18.111111111111111</v>
          </cell>
          <cell r="AJ9">
            <v>25.021978021978025</v>
          </cell>
          <cell r="AK9">
            <v>22.90217391304348</v>
          </cell>
          <cell r="AL9">
            <v>26.434782608695649</v>
          </cell>
          <cell r="AM9">
            <v>23.139726027397259</v>
          </cell>
          <cell r="AN9">
            <v>31.111111111111111</v>
          </cell>
          <cell r="AO9">
            <v>37.362637362637365</v>
          </cell>
          <cell r="AP9">
            <v>29.347826086956523</v>
          </cell>
          <cell r="AQ9">
            <v>18.478260869565219</v>
          </cell>
          <cell r="AR9">
            <v>29.041095890410954</v>
          </cell>
          <cell r="AS9">
            <v>34.444444444444443</v>
          </cell>
          <cell r="AT9">
            <v>48.35164835164835</v>
          </cell>
          <cell r="AU9">
            <v>45.652173913043477</v>
          </cell>
          <cell r="AV9">
            <v>41.086956521739125</v>
          </cell>
          <cell r="AW9">
            <v>42.410958904109584</v>
          </cell>
          <cell r="AX9">
            <v>37.362637362637365</v>
          </cell>
          <cell r="AY9">
            <v>32.967032967032971</v>
          </cell>
          <cell r="AZ9">
            <v>38.04347826086957</v>
          </cell>
          <cell r="BA9">
            <v>45.652173913043477</v>
          </cell>
          <cell r="BB9">
            <v>38.524590163934434</v>
          </cell>
        </row>
        <row r="10">
          <cell r="A10" t="str">
            <v xml:space="preserve">  Canada</v>
          </cell>
        </row>
        <row r="11">
          <cell r="A11" t="str">
            <v xml:space="preserve">  Total</v>
          </cell>
          <cell r="B11">
            <v>59.289617486338798</v>
          </cell>
          <cell r="C11">
            <v>98.082191780821915</v>
          </cell>
          <cell r="D11">
            <v>108.7</v>
          </cell>
          <cell r="E11">
            <v>120.5</v>
          </cell>
          <cell r="F11">
            <v>115</v>
          </cell>
          <cell r="G11">
            <v>111.69999999999999</v>
          </cell>
          <cell r="H11">
            <v>130.30000000000001</v>
          </cell>
          <cell r="I11">
            <v>119.4</v>
          </cell>
          <cell r="J11">
            <v>135.16483516483518</v>
          </cell>
          <cell r="K11">
            <v>124</v>
          </cell>
          <cell r="L11">
            <v>116.30434782608697</v>
          </cell>
          <cell r="M11">
            <v>122</v>
          </cell>
          <cell r="N11">
            <v>124.67945205479452</v>
          </cell>
          <cell r="O11">
            <v>123.5</v>
          </cell>
          <cell r="P11">
            <v>121</v>
          </cell>
          <cell r="Q11">
            <v>126</v>
          </cell>
          <cell r="R11">
            <v>139.13043478260869</v>
          </cell>
          <cell r="S11">
            <v>127.44657534246576</v>
          </cell>
          <cell r="T11">
            <v>136.66666666666666</v>
          </cell>
          <cell r="U11">
            <v>160.9</v>
          </cell>
          <cell r="V11">
            <v>172.28260869565216</v>
          </cell>
          <cell r="W11">
            <v>167.5</v>
          </cell>
          <cell r="X11">
            <v>159.45726027397262</v>
          </cell>
          <cell r="Y11">
            <v>171.11111111111109</v>
          </cell>
          <cell r="Z11">
            <v>163.73626373626374</v>
          </cell>
          <cell r="AA11">
            <v>144.56521739130434</v>
          </cell>
          <cell r="AB11">
            <v>154.3478260869565</v>
          </cell>
          <cell r="AC11">
            <v>158.35616438356163</v>
          </cell>
          <cell r="AD11">
            <v>157.7777777777778</v>
          </cell>
          <cell r="AE11">
            <v>163.73626373626374</v>
          </cell>
          <cell r="AF11">
            <v>154.3478260869565</v>
          </cell>
          <cell r="AG11">
            <v>168.47826086956525</v>
          </cell>
          <cell r="AH11">
            <v>161.0958904109589</v>
          </cell>
          <cell r="AI11">
            <v>167.7777777777778</v>
          </cell>
          <cell r="AJ11">
            <v>175.82417582417582</v>
          </cell>
          <cell r="AK11">
            <v>181.52173913043478</v>
          </cell>
          <cell r="AL11">
            <v>175</v>
          </cell>
          <cell r="AM11">
            <v>175.0684931506849</v>
          </cell>
          <cell r="AN11">
            <v>172.22222222222223</v>
          </cell>
          <cell r="AO11">
            <v>182.41758241758242</v>
          </cell>
          <cell r="AP11">
            <v>179.34782608695653</v>
          </cell>
          <cell r="AQ11">
            <v>169.56521739130434</v>
          </cell>
          <cell r="AR11">
            <v>175.89041095890414</v>
          </cell>
          <cell r="AS11">
            <v>178.88888888888891</v>
          </cell>
          <cell r="AT11">
            <v>186.81318681318683</v>
          </cell>
          <cell r="AU11">
            <v>185.86956521739128</v>
          </cell>
          <cell r="AV11">
            <v>167.17391304347825</v>
          </cell>
          <cell r="AW11">
            <v>179.67123287671234</v>
          </cell>
          <cell r="AX11">
            <v>167.03296703296704</v>
          </cell>
          <cell r="AY11">
            <v>161.53846153846152</v>
          </cell>
          <cell r="AZ11">
            <v>168.47826086956522</v>
          </cell>
          <cell r="BA11">
            <v>168.47826086956522</v>
          </cell>
          <cell r="BB11">
            <v>166.39344262295083</v>
          </cell>
        </row>
        <row r="13">
          <cell r="A13" t="str">
            <v>PERIOD PRODUCTION (Bcf)</v>
          </cell>
        </row>
        <row r="14">
          <cell r="A14" t="str">
            <v xml:space="preserve">  East</v>
          </cell>
          <cell r="B14">
            <v>21.7</v>
          </cell>
          <cell r="C14">
            <v>25.3</v>
          </cell>
          <cell r="D14">
            <v>25.623000000000001</v>
          </cell>
          <cell r="E14">
            <v>6.7410000000000005</v>
          </cell>
          <cell r="F14">
            <v>6.6703000000000001</v>
          </cell>
          <cell r="G14">
            <v>6.2191999999999998</v>
          </cell>
          <cell r="H14">
            <v>6.9459999999999997</v>
          </cell>
          <cell r="I14">
            <v>26.571999999999999</v>
          </cell>
          <cell r="J14">
            <v>6.9</v>
          </cell>
          <cell r="K14">
            <v>6.1879999999999997</v>
          </cell>
          <cell r="L14">
            <v>6.2</v>
          </cell>
          <cell r="M14">
            <v>6.1639999999999997</v>
          </cell>
          <cell r="N14">
            <v>25.452000000000002</v>
          </cell>
          <cell r="O14">
            <v>6.6150000000000002</v>
          </cell>
          <cell r="P14">
            <v>6.2789999999999999</v>
          </cell>
          <cell r="Q14">
            <v>6.532</v>
          </cell>
          <cell r="R14">
            <v>7.2</v>
          </cell>
          <cell r="S14">
            <v>26.626000000000001</v>
          </cell>
          <cell r="T14">
            <v>7.2</v>
          </cell>
          <cell r="U14">
            <v>7.3254999999999999</v>
          </cell>
          <cell r="V14">
            <v>7.6</v>
          </cell>
          <cell r="W14">
            <v>7.59</v>
          </cell>
          <cell r="X14">
            <v>29.715500000000002</v>
          </cell>
          <cell r="Y14">
            <v>7.4</v>
          </cell>
          <cell r="Z14">
            <v>7</v>
          </cell>
          <cell r="AA14">
            <v>6.6</v>
          </cell>
          <cell r="AB14">
            <v>6.5</v>
          </cell>
          <cell r="AC14">
            <v>27.5</v>
          </cell>
          <cell r="AD14">
            <v>6.7</v>
          </cell>
          <cell r="AE14">
            <v>6.5</v>
          </cell>
          <cell r="AF14">
            <v>6.6</v>
          </cell>
          <cell r="AG14">
            <v>7</v>
          </cell>
          <cell r="AH14">
            <v>26.799999999999997</v>
          </cell>
          <cell r="AI14">
            <v>6.6</v>
          </cell>
          <cell r="AJ14">
            <v>6.7</v>
          </cell>
          <cell r="AK14">
            <v>6.5</v>
          </cell>
          <cell r="AL14">
            <v>5.4</v>
          </cell>
          <cell r="AM14">
            <v>25.200000000000003</v>
          </cell>
          <cell r="AN14">
            <v>5.0999999999999996</v>
          </cell>
          <cell r="AO14">
            <v>5.6</v>
          </cell>
          <cell r="AP14">
            <v>5.9</v>
          </cell>
          <cell r="AQ14">
            <v>6.1</v>
          </cell>
          <cell r="AR14">
            <v>22.700000000000003</v>
          </cell>
          <cell r="AS14">
            <v>5.6</v>
          </cell>
          <cell r="AT14">
            <v>5.2</v>
          </cell>
          <cell r="AU14">
            <v>5.3</v>
          </cell>
          <cell r="AV14">
            <v>4.5999999999999996</v>
          </cell>
          <cell r="AW14">
            <v>20.700000000000003</v>
          </cell>
          <cell r="AX14">
            <v>4.5</v>
          </cell>
          <cell r="AY14">
            <v>4.5</v>
          </cell>
          <cell r="AZ14">
            <v>4.5999999999999996</v>
          </cell>
          <cell r="BA14">
            <v>4.3</v>
          </cell>
          <cell r="BB14">
            <v>17.899999999999999</v>
          </cell>
        </row>
        <row r="15">
          <cell r="A15" t="str">
            <v xml:space="preserve">  Western</v>
          </cell>
          <cell r="C15">
            <v>10.5</v>
          </cell>
          <cell r="D15">
            <v>14.0525</v>
          </cell>
          <cell r="E15">
            <v>4.1040000000000001</v>
          </cell>
          <cell r="F15">
            <v>3.7947000000000002</v>
          </cell>
          <cell r="G15">
            <v>4.0571999999999999</v>
          </cell>
          <cell r="H15">
            <v>5.0415999999999999</v>
          </cell>
          <cell r="I15">
            <v>17.009</v>
          </cell>
          <cell r="J15">
            <v>5.4</v>
          </cell>
          <cell r="K15">
            <v>5.0960000000000001</v>
          </cell>
          <cell r="L15">
            <v>4.5</v>
          </cell>
          <cell r="M15">
            <v>5</v>
          </cell>
          <cell r="N15">
            <v>20.056000000000001</v>
          </cell>
          <cell r="O15">
            <v>4.5</v>
          </cell>
          <cell r="P15">
            <v>4.7320000000000002</v>
          </cell>
          <cell r="Q15">
            <v>5.0599999999999996</v>
          </cell>
          <cell r="R15">
            <v>5.6</v>
          </cell>
          <cell r="S15">
            <v>19.891999999999999</v>
          </cell>
          <cell r="T15">
            <v>5.0999999999999996</v>
          </cell>
          <cell r="U15">
            <v>7.3164000000000007</v>
          </cell>
          <cell r="V15">
            <v>8.25</v>
          </cell>
          <cell r="W15">
            <v>7.82</v>
          </cell>
          <cell r="X15">
            <v>28.4864</v>
          </cell>
          <cell r="Y15">
            <v>6.9719999999999995</v>
          </cell>
          <cell r="Z15">
            <v>7.0620000000000003</v>
          </cell>
          <cell r="AA15">
            <v>5.8410000000000002</v>
          </cell>
          <cell r="AB15">
            <v>6.7030000000000003</v>
          </cell>
          <cell r="AC15">
            <v>26.577999999999999</v>
          </cell>
          <cell r="AD15">
            <v>6.4420000000000002</v>
          </cell>
          <cell r="AE15">
            <v>7.2990000000000004</v>
          </cell>
          <cell r="AF15">
            <v>6.2519999999999998</v>
          </cell>
          <cell r="AG15">
            <v>7.069</v>
          </cell>
          <cell r="AH15">
            <v>27.061999999999998</v>
          </cell>
          <cell r="AI15">
            <v>6.87</v>
          </cell>
          <cell r="AJ15">
            <v>7.0230000000000006</v>
          </cell>
          <cell r="AK15">
            <v>8.093</v>
          </cell>
          <cell r="AL15">
            <v>8.2679999999999989</v>
          </cell>
          <cell r="AM15">
            <v>30.253999999999998</v>
          </cell>
          <cell r="AN15">
            <v>7.6</v>
          </cell>
          <cell r="AO15">
            <v>7.6</v>
          </cell>
          <cell r="AP15">
            <v>7.9</v>
          </cell>
          <cell r="AQ15">
            <v>7.8</v>
          </cell>
          <cell r="AR15">
            <v>30.900000000000002</v>
          </cell>
          <cell r="AS15">
            <v>7.4</v>
          </cell>
          <cell r="AT15">
            <v>7.4</v>
          </cell>
          <cell r="AU15">
            <v>7.6</v>
          </cell>
          <cell r="AV15">
            <v>7</v>
          </cell>
          <cell r="AW15">
            <v>29.4</v>
          </cell>
          <cell r="AX15">
            <v>7.3</v>
          </cell>
          <cell r="AY15">
            <v>7.2</v>
          </cell>
          <cell r="AZ15">
            <v>7.4</v>
          </cell>
          <cell r="BA15">
            <v>7</v>
          </cell>
          <cell r="BB15">
            <v>28.9</v>
          </cell>
        </row>
        <row r="16">
          <cell r="A16" t="str">
            <v xml:space="preserve">  Gulf Coast</v>
          </cell>
          <cell r="Y16">
            <v>1.028</v>
          </cell>
          <cell r="Z16">
            <v>0.83799999999999997</v>
          </cell>
          <cell r="AA16">
            <v>0.85899999999999999</v>
          </cell>
          <cell r="AB16">
            <v>0.997</v>
          </cell>
          <cell r="AC16">
            <v>3.722</v>
          </cell>
          <cell r="AD16">
            <v>1.0580000000000001</v>
          </cell>
          <cell r="AE16">
            <v>1.101</v>
          </cell>
          <cell r="AF16">
            <v>1.3480000000000001</v>
          </cell>
          <cell r="AG16">
            <v>1.431</v>
          </cell>
          <cell r="AH16">
            <v>4.9379999999999997</v>
          </cell>
          <cell r="AI16">
            <v>1.63</v>
          </cell>
          <cell r="AJ16">
            <v>2.2770000000000001</v>
          </cell>
          <cell r="AK16">
            <v>2.1070000000000002</v>
          </cell>
          <cell r="AL16">
            <v>2.4319999999999999</v>
          </cell>
          <cell r="AM16">
            <v>8.4459999999999997</v>
          </cell>
          <cell r="AN16">
            <v>2.8</v>
          </cell>
          <cell r="AO16">
            <v>3.4</v>
          </cell>
          <cell r="AP16">
            <v>2.7</v>
          </cell>
          <cell r="AQ16">
            <v>1.7</v>
          </cell>
          <cell r="AR16">
            <v>10.599999999999998</v>
          </cell>
          <cell r="AS16">
            <v>3.1</v>
          </cell>
          <cell r="AT16">
            <v>4.4000000000000004</v>
          </cell>
          <cell r="AU16">
            <v>4.2</v>
          </cell>
          <cell r="AV16">
            <v>3.78</v>
          </cell>
          <cell r="AW16">
            <v>15.479999999999999</v>
          </cell>
          <cell r="AX16">
            <v>3.4</v>
          </cell>
          <cell r="AY16">
            <v>3</v>
          </cell>
          <cell r="AZ16">
            <v>3.5</v>
          </cell>
          <cell r="BA16">
            <v>4.2</v>
          </cell>
          <cell r="BB16">
            <v>14.100000000000001</v>
          </cell>
        </row>
        <row r="17">
          <cell r="A17" t="str">
            <v xml:space="preserve">  Canada</v>
          </cell>
        </row>
        <row r="18">
          <cell r="A18" t="str">
            <v xml:space="preserve">  Total</v>
          </cell>
          <cell r="B18">
            <v>21.7</v>
          </cell>
          <cell r="C18">
            <v>35.799999999999997</v>
          </cell>
          <cell r="D18">
            <v>39.6755</v>
          </cell>
          <cell r="E18">
            <v>10.845000000000001</v>
          </cell>
          <cell r="F18">
            <v>10.465</v>
          </cell>
          <cell r="G18">
            <v>10.276399999999999</v>
          </cell>
          <cell r="H18">
            <v>11.9876</v>
          </cell>
          <cell r="I18">
            <v>43.581000000000003</v>
          </cell>
          <cell r="J18">
            <v>12.3</v>
          </cell>
          <cell r="K18">
            <v>11.283999999999999</v>
          </cell>
          <cell r="L18">
            <v>10.7</v>
          </cell>
          <cell r="M18">
            <v>11.164</v>
          </cell>
          <cell r="N18">
            <v>45.508000000000003</v>
          </cell>
          <cell r="O18">
            <v>11.115</v>
          </cell>
          <cell r="P18">
            <v>11.010999999999999</v>
          </cell>
          <cell r="Q18">
            <v>11.591999999999999</v>
          </cell>
          <cell r="R18">
            <v>12.8</v>
          </cell>
          <cell r="S18">
            <v>46.518000000000001</v>
          </cell>
          <cell r="T18">
            <v>12.3</v>
          </cell>
          <cell r="U18">
            <v>14.6419</v>
          </cell>
          <cell r="V18">
            <v>15.85</v>
          </cell>
          <cell r="W18">
            <v>15.41</v>
          </cell>
          <cell r="X18">
            <v>58.201899999999995</v>
          </cell>
          <cell r="Y18">
            <v>15.4</v>
          </cell>
          <cell r="Z18">
            <v>14.9</v>
          </cell>
          <cell r="AA18">
            <v>13.299999999999999</v>
          </cell>
          <cell r="AB18">
            <v>14.2</v>
          </cell>
          <cell r="AC18">
            <v>57.8</v>
          </cell>
          <cell r="AD18">
            <v>14.2</v>
          </cell>
          <cell r="AE18">
            <v>14.899999999999999</v>
          </cell>
          <cell r="AF18">
            <v>14.200000000000001</v>
          </cell>
          <cell r="AG18">
            <v>15.5</v>
          </cell>
          <cell r="AH18">
            <v>58.8</v>
          </cell>
          <cell r="AI18">
            <v>15.099999999999998</v>
          </cell>
          <cell r="AJ18">
            <v>16</v>
          </cell>
          <cell r="AK18">
            <v>16.7</v>
          </cell>
          <cell r="AL18">
            <v>16.099999999999998</v>
          </cell>
          <cell r="AM18">
            <v>63.9</v>
          </cell>
          <cell r="AN18">
            <v>15.5</v>
          </cell>
          <cell r="AO18">
            <v>16.599999999999998</v>
          </cell>
          <cell r="AP18">
            <v>16.5</v>
          </cell>
          <cell r="AQ18">
            <v>15.599999999999998</v>
          </cell>
          <cell r="AR18">
            <v>64.2</v>
          </cell>
          <cell r="AS18">
            <v>16.100000000000001</v>
          </cell>
          <cell r="AT18">
            <v>17</v>
          </cell>
          <cell r="AU18">
            <v>17.099999999999998</v>
          </cell>
          <cell r="AV18">
            <v>15.379999999999999</v>
          </cell>
          <cell r="AW18">
            <v>65.58</v>
          </cell>
          <cell r="AX18">
            <v>15.200000000000001</v>
          </cell>
          <cell r="AY18">
            <v>14.7</v>
          </cell>
          <cell r="AZ18">
            <v>15.5</v>
          </cell>
          <cell r="BA18">
            <v>15.5</v>
          </cell>
          <cell r="BB18">
            <v>60.9</v>
          </cell>
        </row>
        <row r="20">
          <cell r="A20" t="str">
            <v>REALIZED PRICES ($/Mcf)</v>
          </cell>
        </row>
        <row r="21">
          <cell r="A21" t="str">
            <v xml:space="preserve">  East</v>
          </cell>
          <cell r="B21">
            <v>2.3199999999999998</v>
          </cell>
          <cell r="C21">
            <v>2.52</v>
          </cell>
          <cell r="D21">
            <v>2.57</v>
          </cell>
          <cell r="E21">
            <v>2.63</v>
          </cell>
          <cell r="F21">
            <v>2.21</v>
          </cell>
          <cell r="G21">
            <v>2.14</v>
          </cell>
          <cell r="H21">
            <v>2.58</v>
          </cell>
          <cell r="I21">
            <v>2.4300000000000002</v>
          </cell>
          <cell r="J21">
            <v>2.34</v>
          </cell>
          <cell r="K21">
            <v>2.2999999999999998</v>
          </cell>
          <cell r="L21">
            <v>2.2999999999999998</v>
          </cell>
          <cell r="M21">
            <v>2.94</v>
          </cell>
          <cell r="N21">
            <v>2.4699999999999998</v>
          </cell>
          <cell r="O21">
            <v>2.72</v>
          </cell>
          <cell r="P21">
            <v>2.69</v>
          </cell>
          <cell r="Q21">
            <v>2.6</v>
          </cell>
          <cell r="R21">
            <v>2.72</v>
          </cell>
          <cell r="S21">
            <v>2.6825000000000001</v>
          </cell>
          <cell r="T21">
            <v>2.94</v>
          </cell>
          <cell r="U21">
            <v>2.4700000000000002</v>
          </cell>
          <cell r="V21">
            <v>2.14</v>
          </cell>
          <cell r="W21">
            <v>2.21</v>
          </cell>
          <cell r="X21">
            <v>2.4330697783984783</v>
          </cell>
          <cell r="Y21">
            <v>2.25</v>
          </cell>
          <cell r="Z21">
            <v>2.12</v>
          </cell>
          <cell r="AA21">
            <v>1.97</v>
          </cell>
          <cell r="AB21">
            <v>2.4</v>
          </cell>
          <cell r="AC21">
            <v>2.1851636363636366</v>
          </cell>
          <cell r="AD21">
            <v>3</v>
          </cell>
          <cell r="AE21">
            <v>2.5099999999999998</v>
          </cell>
          <cell r="AF21">
            <v>2.31</v>
          </cell>
          <cell r="AG21">
            <v>3.05</v>
          </cell>
          <cell r="AH21">
            <v>2.7242910447761197</v>
          </cell>
          <cell r="AI21">
            <v>3.71</v>
          </cell>
          <cell r="AJ21">
            <v>2.38</v>
          </cell>
          <cell r="AK21">
            <v>2.5649999999999999</v>
          </cell>
          <cell r="AL21">
            <v>3.44</v>
          </cell>
          <cell r="AM21">
            <v>3.0031944444444441</v>
          </cell>
          <cell r="AN21">
            <v>2.78</v>
          </cell>
          <cell r="AO21">
            <v>2.6</v>
          </cell>
          <cell r="AP21">
            <v>2.19</v>
          </cell>
          <cell r="AQ21">
            <v>2.57</v>
          </cell>
          <cell r="AR21">
            <v>2.5258149779735679</v>
          </cell>
          <cell r="AS21">
            <v>2.25</v>
          </cell>
          <cell r="AT21">
            <v>2.31</v>
          </cell>
          <cell r="AU21">
            <v>2.4300000000000002</v>
          </cell>
          <cell r="AV21">
            <v>3.26</v>
          </cell>
          <cell r="AW21">
            <v>2.5356038647342989</v>
          </cell>
          <cell r="AX21">
            <v>3.07</v>
          </cell>
          <cell r="AY21">
            <v>2.63</v>
          </cell>
          <cell r="AZ21">
            <v>2.73</v>
          </cell>
          <cell r="BA21">
            <v>4.62</v>
          </cell>
          <cell r="BB21">
            <v>3.2443575418994417</v>
          </cell>
        </row>
        <row r="22">
          <cell r="A22" t="str">
            <v xml:space="preserve">  Western</v>
          </cell>
          <cell r="B22">
            <v>1.57</v>
          </cell>
          <cell r="C22">
            <v>1.55</v>
          </cell>
          <cell r="D22">
            <v>1.4</v>
          </cell>
          <cell r="E22">
            <v>1.62</v>
          </cell>
          <cell r="F22">
            <v>1.36</v>
          </cell>
          <cell r="G22">
            <v>1.18</v>
          </cell>
          <cell r="H22">
            <v>1.75</v>
          </cell>
          <cell r="I22">
            <v>1.49</v>
          </cell>
          <cell r="J22">
            <v>1.28</v>
          </cell>
          <cell r="K22">
            <v>1.44</v>
          </cell>
          <cell r="L22">
            <v>1.66</v>
          </cell>
          <cell r="M22">
            <v>2.15</v>
          </cell>
          <cell r="N22">
            <v>1.6324999999999998</v>
          </cell>
          <cell r="O22">
            <v>1.81</v>
          </cell>
          <cell r="P22">
            <v>2.02</v>
          </cell>
          <cell r="Q22">
            <v>1.96</v>
          </cell>
          <cell r="R22">
            <v>1.94</v>
          </cell>
          <cell r="S22">
            <v>1.9325000000000001</v>
          </cell>
          <cell r="T22">
            <v>2.04</v>
          </cell>
          <cell r="U22">
            <v>1.7749999999999999</v>
          </cell>
          <cell r="V22">
            <v>1.68</v>
          </cell>
          <cell r="W22">
            <v>1.62</v>
          </cell>
          <cell r="X22">
            <v>1.7523804341720961</v>
          </cell>
          <cell r="Y22">
            <v>1.22</v>
          </cell>
          <cell r="Z22">
            <v>1.36</v>
          </cell>
          <cell r="AA22">
            <v>1.17</v>
          </cell>
          <cell r="AB22">
            <v>1.5</v>
          </cell>
          <cell r="AC22">
            <v>1.3168270750244566</v>
          </cell>
          <cell r="AD22">
            <v>1.77</v>
          </cell>
          <cell r="AE22">
            <v>1.74</v>
          </cell>
          <cell r="AF22">
            <v>1.46</v>
          </cell>
          <cell r="AG22">
            <v>2.48</v>
          </cell>
          <cell r="AH22">
            <v>1.8757534550291923</v>
          </cell>
          <cell r="AI22">
            <v>2.62</v>
          </cell>
          <cell r="AJ22">
            <v>1.81</v>
          </cell>
          <cell r="AK22">
            <v>1.78</v>
          </cell>
          <cell r="AL22">
            <v>2.3130000000000002</v>
          </cell>
          <cell r="AM22">
            <v>2.1233705956237192</v>
          </cell>
          <cell r="AN22">
            <v>1.94</v>
          </cell>
          <cell r="AO22">
            <v>1.96</v>
          </cell>
          <cell r="AP22">
            <v>1.79</v>
          </cell>
          <cell r="AQ22">
            <v>1.92</v>
          </cell>
          <cell r="AR22">
            <v>1.9015210355987056</v>
          </cell>
          <cell r="AS22">
            <v>1.71</v>
          </cell>
          <cell r="AT22">
            <v>1.86</v>
          </cell>
          <cell r="AU22">
            <v>2.14</v>
          </cell>
          <cell r="AV22">
            <v>2.15</v>
          </cell>
          <cell r="AW22">
            <v>1.9636734693877551</v>
          </cell>
          <cell r="AX22">
            <v>2.2599999999999998</v>
          </cell>
          <cell r="AY22">
            <v>2.5099999999999998</v>
          </cell>
          <cell r="AZ22">
            <v>2.62</v>
          </cell>
          <cell r="BA22">
            <v>4.08</v>
          </cell>
          <cell r="BB22">
            <v>2.855294117647059</v>
          </cell>
        </row>
        <row r="23">
          <cell r="A23" t="str">
            <v xml:space="preserve">  Gulf Coast</v>
          </cell>
          <cell r="Y23">
            <v>1.54</v>
          </cell>
          <cell r="Z23">
            <v>1.54</v>
          </cell>
          <cell r="AA23">
            <v>1.5</v>
          </cell>
          <cell r="AB23">
            <v>1.66</v>
          </cell>
          <cell r="AC23">
            <v>1.5629124126813541</v>
          </cell>
          <cell r="AD23">
            <v>2.09</v>
          </cell>
          <cell r="AE23">
            <v>2.12</v>
          </cell>
          <cell r="AF23">
            <v>2.1800000000000002</v>
          </cell>
          <cell r="AG23">
            <v>2.85</v>
          </cell>
          <cell r="AH23">
            <v>2.3415006075334142</v>
          </cell>
          <cell r="AI23">
            <v>2.82</v>
          </cell>
          <cell r="AJ23">
            <v>2.0499999999999998</v>
          </cell>
          <cell r="AK23">
            <v>2.34</v>
          </cell>
          <cell r="AL23">
            <v>2.9</v>
          </cell>
          <cell r="AM23">
            <v>2.5157032914989346</v>
          </cell>
          <cell r="AN23">
            <v>2.2400000000000002</v>
          </cell>
          <cell r="AO23">
            <v>2.29</v>
          </cell>
          <cell r="AP23">
            <v>2.0699999999999998</v>
          </cell>
          <cell r="AQ23">
            <v>1.82</v>
          </cell>
          <cell r="AR23">
            <v>2.1453773584905664</v>
          </cell>
          <cell r="AS23">
            <v>1.75</v>
          </cell>
          <cell r="AT23">
            <v>2.16</v>
          </cell>
          <cell r="AU23">
            <v>2.4900000000000002</v>
          </cell>
          <cell r="AV23">
            <v>2.66</v>
          </cell>
          <cell r="AW23">
            <v>2.2895219638242899</v>
          </cell>
          <cell r="AX23">
            <v>2.5499999999999998</v>
          </cell>
          <cell r="AY23">
            <v>3.05</v>
          </cell>
          <cell r="AZ23">
            <v>3.72</v>
          </cell>
          <cell r="BA23">
            <v>5.41</v>
          </cell>
          <cell r="BB23">
            <v>3.7987234042553193</v>
          </cell>
        </row>
        <row r="24">
          <cell r="A24" t="str">
            <v xml:space="preserve">  Canada</v>
          </cell>
        </row>
        <row r="25">
          <cell r="A25" t="str">
            <v xml:space="preserve">  Average</v>
          </cell>
          <cell r="B25">
            <v>2.06</v>
          </cell>
          <cell r="C25">
            <v>2.2400000000000002</v>
          </cell>
          <cell r="D25">
            <v>2.2400000000000002</v>
          </cell>
          <cell r="E25">
            <v>2.35</v>
          </cell>
          <cell r="F25">
            <v>1.91</v>
          </cell>
          <cell r="G25">
            <v>1.79</v>
          </cell>
          <cell r="H25">
            <v>2.2999999999999998</v>
          </cell>
          <cell r="I25">
            <v>2.12</v>
          </cell>
          <cell r="J25">
            <v>1.97</v>
          </cell>
          <cell r="K25">
            <v>1.95</v>
          </cell>
          <cell r="L25">
            <v>2.0699999999999998</v>
          </cell>
          <cell r="M25">
            <v>2.66</v>
          </cell>
          <cell r="N25">
            <v>2.1009022589434823</v>
          </cell>
          <cell r="O25">
            <v>2.351578947368421</v>
          </cell>
          <cell r="P25">
            <v>2.4020661157024792</v>
          </cell>
          <cell r="Q25">
            <v>2.31</v>
          </cell>
          <cell r="R25">
            <v>2.3787500000000001</v>
          </cell>
          <cell r="S25">
            <v>2.3617854378950085</v>
          </cell>
          <cell r="T25">
            <v>2.566829268292683</v>
          </cell>
          <cell r="U25">
            <v>2.1227159726538223</v>
          </cell>
          <cell r="V25">
            <v>1.9005678233438486</v>
          </cell>
          <cell r="W25">
            <v>1.910597014925373</v>
          </cell>
          <cell r="X25">
            <v>2.0999124599025119</v>
          </cell>
          <cell r="Y25">
            <v>1.736296103896104</v>
          </cell>
          <cell r="Z25">
            <v>1.7271704697986578</v>
          </cell>
          <cell r="AA25">
            <v>1.5883060150375941</v>
          </cell>
          <cell r="AB25">
            <v>1.9232056338028169</v>
          </cell>
          <cell r="AC25">
            <v>1.7458095155709343</v>
          </cell>
          <cell r="AD25">
            <v>2.3741943661971834</v>
          </cell>
          <cell r="AE25">
            <v>2.1039852348993286</v>
          </cell>
          <cell r="AF25">
            <v>1.9234197183098591</v>
          </cell>
          <cell r="AG25">
            <v>2.7715787096774194</v>
          </cell>
          <cell r="AH25">
            <v>2.3016151360544215</v>
          </cell>
          <cell r="AI25">
            <v>3.1180132450331128</v>
          </cell>
          <cell r="AJ25">
            <v>2.0828424999999999</v>
          </cell>
          <cell r="AK25">
            <v>2.1561928143712574</v>
          </cell>
          <cell r="AL25">
            <v>2.7796698136645963</v>
          </cell>
          <cell r="AM25">
            <v>2.5222000625978094</v>
          </cell>
          <cell r="AN25">
            <v>2.27058064516129</v>
          </cell>
          <cell r="AO25">
            <v>2.2434939759036143</v>
          </cell>
          <cell r="AP25">
            <v>1.9788484848484849</v>
          </cell>
          <cell r="AQ25">
            <v>2.1632692307692305</v>
          </cell>
          <cell r="AR25">
            <v>2.1625233644859811</v>
          </cell>
          <cell r="AS25">
            <v>1.9055279503105589</v>
          </cell>
          <cell r="AT25">
            <v>2.0752941176470587</v>
          </cell>
          <cell r="AU25">
            <v>2.3158479532163745</v>
          </cell>
          <cell r="AV25">
            <v>2.6073342002600781</v>
          </cell>
          <cell r="AW25">
            <v>2.2211161939615733</v>
          </cell>
          <cell r="AX25">
            <v>2.5646710526315788</v>
          </cell>
          <cell r="AY25">
            <v>2.6569387755102047</v>
          </cell>
          <cell r="AZ25">
            <v>2.9010322580645163</v>
          </cell>
          <cell r="BA25">
            <v>4.5901935483870977</v>
          </cell>
          <cell r="BB25">
            <v>3.1880788177339903</v>
          </cell>
        </row>
        <row r="27">
          <cell r="A27" t="str">
            <v>GAS PRODUTION REVENUE</v>
          </cell>
        </row>
        <row r="28">
          <cell r="A28" t="str">
            <v>DAILY ($ 000s)</v>
          </cell>
        </row>
        <row r="29">
          <cell r="A29" t="str">
            <v xml:space="preserve">  Applachian</v>
          </cell>
          <cell r="B29">
            <v>137.55191256830599</v>
          </cell>
          <cell r="C29">
            <v>174.6739726027397</v>
          </cell>
          <cell r="D29">
            <v>180.41399999999999</v>
          </cell>
          <cell r="E29">
            <v>196.98699999999999</v>
          </cell>
          <cell r="F29">
            <v>161.99299999999999</v>
          </cell>
          <cell r="G29">
            <v>144.66399999999999</v>
          </cell>
          <cell r="H29">
            <v>194.79</v>
          </cell>
          <cell r="I29">
            <v>176.904</v>
          </cell>
          <cell r="J29">
            <v>177.42857142857144</v>
          </cell>
          <cell r="K29">
            <v>156.39999999999998</v>
          </cell>
          <cell r="L29">
            <v>155</v>
          </cell>
          <cell r="M29">
            <v>196.98</v>
          </cell>
          <cell r="N29">
            <v>172.23682191780819</v>
          </cell>
          <cell r="O29">
            <v>199.92000000000002</v>
          </cell>
          <cell r="P29">
            <v>185.60999999999999</v>
          </cell>
          <cell r="Q29">
            <v>184.6</v>
          </cell>
          <cell r="R29">
            <v>212.86956521739131</v>
          </cell>
          <cell r="S29">
            <v>195.68286301369864</v>
          </cell>
          <cell r="T29">
            <v>235.2</v>
          </cell>
          <cell r="U29">
            <v>198.83500000000001</v>
          </cell>
          <cell r="V29">
            <v>176.78260869565216</v>
          </cell>
          <cell r="W29">
            <v>182.32499999999999</v>
          </cell>
          <cell r="X29">
            <v>198.08187671232875</v>
          </cell>
          <cell r="Y29">
            <v>185</v>
          </cell>
          <cell r="Z29">
            <v>163.07692307692307</v>
          </cell>
          <cell r="AA29">
            <v>141.32608695652175</v>
          </cell>
          <cell r="AB29">
            <v>169.56521739130434</v>
          </cell>
          <cell r="AC29">
            <v>164.63561643835618</v>
          </cell>
          <cell r="AD29">
            <v>223.33333333333337</v>
          </cell>
          <cell r="AE29">
            <v>179.28571428571428</v>
          </cell>
          <cell r="AF29">
            <v>165.71739130434784</v>
          </cell>
          <cell r="AG29">
            <v>232.06521739130437</v>
          </cell>
          <cell r="AH29">
            <v>200.03013698630136</v>
          </cell>
          <cell r="AI29">
            <v>272.06666666666666</v>
          </cell>
          <cell r="AJ29">
            <v>175.23076923076925</v>
          </cell>
          <cell r="AK29">
            <v>181.2228260869565</v>
          </cell>
          <cell r="AL29">
            <v>201.91304347826087</v>
          </cell>
          <cell r="AM29">
            <v>207.34383561643833</v>
          </cell>
          <cell r="AN29">
            <v>157.5333333333333</v>
          </cell>
          <cell r="AO29">
            <v>160</v>
          </cell>
          <cell r="AP29">
            <v>140.44565217391306</v>
          </cell>
          <cell r="AQ29">
            <v>170.40217391304347</v>
          </cell>
          <cell r="AR29">
            <v>157.0849315068493</v>
          </cell>
          <cell r="AS29">
            <v>140</v>
          </cell>
          <cell r="AT29">
            <v>132</v>
          </cell>
          <cell r="AU29">
            <v>139.98913043478262</v>
          </cell>
          <cell r="AV29">
            <v>162.99999999999997</v>
          </cell>
          <cell r="AW29">
            <v>143.79999999999998</v>
          </cell>
          <cell r="AX29">
            <v>151.8131868131868</v>
          </cell>
          <cell r="AY29">
            <v>130.05494505494502</v>
          </cell>
          <cell r="AZ29">
            <v>136.49999999999997</v>
          </cell>
          <cell r="BA29">
            <v>215.93478260869566</v>
          </cell>
          <cell r="BB29">
            <v>158.67213114754097</v>
          </cell>
        </row>
        <row r="30">
          <cell r="A30" t="str">
            <v xml:space="preserve">  Western</v>
          </cell>
          <cell r="B30">
            <v>0</v>
          </cell>
          <cell r="C30">
            <v>44.589041095890408</v>
          </cell>
          <cell r="D30">
            <v>53.9</v>
          </cell>
          <cell r="E30">
            <v>73.872000000000014</v>
          </cell>
          <cell r="F30">
            <v>56.71200000000001</v>
          </cell>
          <cell r="G30">
            <v>52.037999999999997</v>
          </cell>
          <cell r="H30">
            <v>95.899999999999991</v>
          </cell>
          <cell r="I30">
            <v>69.433999999999997</v>
          </cell>
          <cell r="J30">
            <v>75.956043956043956</v>
          </cell>
          <cell r="K30">
            <v>80.64</v>
          </cell>
          <cell r="L30">
            <v>81.195652173913032</v>
          </cell>
          <cell r="M30">
            <v>118.25</v>
          </cell>
          <cell r="N30">
            <v>89.702520547945198</v>
          </cell>
          <cell r="O30">
            <v>90.5</v>
          </cell>
          <cell r="P30">
            <v>105.04</v>
          </cell>
          <cell r="Q30">
            <v>107.8</v>
          </cell>
          <cell r="R30">
            <v>118.08695652173911</v>
          </cell>
          <cell r="S30">
            <v>105.31860273972603</v>
          </cell>
          <cell r="T30">
            <v>115.6</v>
          </cell>
          <cell r="U30">
            <v>142.71</v>
          </cell>
          <cell r="V30">
            <v>150.65217391304347</v>
          </cell>
          <cell r="W30">
            <v>137.70000000000002</v>
          </cell>
          <cell r="X30">
            <v>136.76441095890411</v>
          </cell>
          <cell r="Y30">
            <v>94.509333333333316</v>
          </cell>
          <cell r="Z30">
            <v>105.54197802197803</v>
          </cell>
          <cell r="AA30">
            <v>74.282282608695652</v>
          </cell>
          <cell r="AB30">
            <v>109.28804347826086</v>
          </cell>
          <cell r="AC30">
            <v>95.886657534246595</v>
          </cell>
          <cell r="AD30">
            <v>126.69266666666668</v>
          </cell>
          <cell r="AE30">
            <v>139.56329670329671</v>
          </cell>
          <cell r="AF30">
            <v>99.216521739130414</v>
          </cell>
          <cell r="AG30">
            <v>190.55565217391307</v>
          </cell>
          <cell r="AH30">
            <v>139.07298630136984</v>
          </cell>
          <cell r="AI30">
            <v>199.99333333333337</v>
          </cell>
          <cell r="AJ30">
            <v>139.68824175824176</v>
          </cell>
          <cell r="AK30">
            <v>156.58195652173913</v>
          </cell>
          <cell r="AL30">
            <v>207.8683043478261</v>
          </cell>
          <cell r="AM30">
            <v>176.00124383561641</v>
          </cell>
          <cell r="AN30">
            <v>163.82222222222222</v>
          </cell>
          <cell r="AO30">
            <v>163.69230769230768</v>
          </cell>
          <cell r="AP30">
            <v>153.70652173913044</v>
          </cell>
          <cell r="AQ30">
            <v>162.78260869565216</v>
          </cell>
          <cell r="AR30">
            <v>160.97808219178086</v>
          </cell>
          <cell r="AS30">
            <v>140.6</v>
          </cell>
          <cell r="AT30">
            <v>151.25274725274727</v>
          </cell>
          <cell r="AU30">
            <v>176.78260869565216</v>
          </cell>
          <cell r="AV30">
            <v>163.58695652173915</v>
          </cell>
          <cell r="AW30">
            <v>158.16986301369863</v>
          </cell>
          <cell r="AX30">
            <v>181.29670329670327</v>
          </cell>
          <cell r="AY30">
            <v>198.5934065934066</v>
          </cell>
          <cell r="AZ30">
            <v>210.73913043478262</v>
          </cell>
          <cell r="BA30">
            <v>310.43478260869568</v>
          </cell>
          <cell r="BB30">
            <v>225.45901639344262</v>
          </cell>
        </row>
        <row r="31">
          <cell r="A31" t="str">
            <v xml:space="preserve">  Gulf Coast</v>
          </cell>
          <cell r="Y31">
            <v>17.590222222222224</v>
          </cell>
          <cell r="Z31">
            <v>14.181538461538464</v>
          </cell>
          <cell r="AA31">
            <v>14.005434782608694</v>
          </cell>
          <cell r="AB31">
            <v>17.989347826086956</v>
          </cell>
          <cell r="AC31">
            <v>15.937424657534244</v>
          </cell>
          <cell r="AD31">
            <v>24.569111111111113</v>
          </cell>
          <cell r="AE31">
            <v>25.649670329670329</v>
          </cell>
          <cell r="AF31">
            <v>31.941739130434787</v>
          </cell>
          <cell r="AG31">
            <v>44.329891304347832</v>
          </cell>
          <cell r="AH31">
            <v>31.677616438356161</v>
          </cell>
          <cell r="AI31">
            <v>51.073333333333331</v>
          </cell>
          <cell r="AJ31">
            <v>51.29505494505495</v>
          </cell>
          <cell r="AK31">
            <v>53.591086956521742</v>
          </cell>
          <cell r="AL31">
            <v>76.660869565217382</v>
          </cell>
          <cell r="AM31">
            <v>58.21268493150685</v>
          </cell>
          <cell r="AN31">
            <v>69.688888888888897</v>
          </cell>
          <cell r="AO31">
            <v>85.560439560439562</v>
          </cell>
          <cell r="AP31">
            <v>60.75</v>
          </cell>
          <cell r="AQ31">
            <v>33.630434782608702</v>
          </cell>
          <cell r="AR31">
            <v>62.304109589041097</v>
          </cell>
          <cell r="AS31">
            <v>60.277777777777771</v>
          </cell>
          <cell r="AT31">
            <v>104.43956043956044</v>
          </cell>
          <cell r="AU31">
            <v>113.67391304347827</v>
          </cell>
          <cell r="AV31">
            <v>109.29130434782608</v>
          </cell>
          <cell r="AW31">
            <v>97.100821917808233</v>
          </cell>
          <cell r="AX31">
            <v>95.27472527472527</v>
          </cell>
          <cell r="AY31">
            <v>100.54945054945055</v>
          </cell>
          <cell r="AZ31">
            <v>141.52173913043481</v>
          </cell>
          <cell r="BA31">
            <v>246.97826086956522</v>
          </cell>
          <cell r="BB31">
            <v>146.34426229508199</v>
          </cell>
        </row>
        <row r="32">
          <cell r="A32" t="str">
            <v xml:space="preserve">  Canada</v>
          </cell>
        </row>
        <row r="33">
          <cell r="A33" t="str">
            <v xml:space="preserve">  Total</v>
          </cell>
          <cell r="B33">
            <v>137.55191256830599</v>
          </cell>
          <cell r="C33">
            <v>219.26301369863012</v>
          </cell>
          <cell r="D33">
            <v>234.31399999999999</v>
          </cell>
          <cell r="E33">
            <v>270.85900000000004</v>
          </cell>
          <cell r="F33">
            <v>218.70500000000001</v>
          </cell>
          <cell r="G33">
            <v>196.702</v>
          </cell>
          <cell r="H33">
            <v>290.69</v>
          </cell>
          <cell r="I33">
            <v>246.33799999999999</v>
          </cell>
          <cell r="J33">
            <v>253.38461538461542</v>
          </cell>
          <cell r="K33">
            <v>237.03999999999996</v>
          </cell>
          <cell r="L33">
            <v>236.19565217391303</v>
          </cell>
          <cell r="M33">
            <v>315.23</v>
          </cell>
          <cell r="N33">
            <v>261.93934246575338</v>
          </cell>
          <cell r="O33">
            <v>290.42</v>
          </cell>
          <cell r="P33">
            <v>290.64999999999998</v>
          </cell>
          <cell r="Q33">
            <v>292.39999999999998</v>
          </cell>
          <cell r="R33">
            <v>330.95652173913044</v>
          </cell>
          <cell r="S33">
            <v>301.00146575342467</v>
          </cell>
          <cell r="T33">
            <v>350.79999999999995</v>
          </cell>
          <cell r="U33">
            <v>341.54500000000002</v>
          </cell>
          <cell r="V33">
            <v>327.43478260869563</v>
          </cell>
          <cell r="W33">
            <v>320.02499999999998</v>
          </cell>
          <cell r="X33">
            <v>334.84628767123286</v>
          </cell>
          <cell r="Y33">
            <v>297.09955555555553</v>
          </cell>
          <cell r="Z33">
            <v>282.8004395604396</v>
          </cell>
          <cell r="AA33">
            <v>229.61380434782609</v>
          </cell>
          <cell r="AB33">
            <v>296.84260869565213</v>
          </cell>
          <cell r="AC33">
            <v>276.45969863013698</v>
          </cell>
          <cell r="AD33">
            <v>374.59511111111118</v>
          </cell>
          <cell r="AE33">
            <v>344.49868131868129</v>
          </cell>
          <cell r="AF33">
            <v>296.87565217391301</v>
          </cell>
          <cell r="AG33">
            <v>466.95076086956527</v>
          </cell>
          <cell r="AH33">
            <v>370.78073972602738</v>
          </cell>
          <cell r="AI33">
            <v>523.13333333333344</v>
          </cell>
          <cell r="AJ33">
            <v>366.21406593406596</v>
          </cell>
          <cell r="AK33">
            <v>391.39586956521737</v>
          </cell>
          <cell r="AL33">
            <v>486.44221739130433</v>
          </cell>
          <cell r="AM33">
            <v>441.55776438356156</v>
          </cell>
          <cell r="AN33">
            <v>391.04444444444437</v>
          </cell>
          <cell r="AO33">
            <v>409.25274725274721</v>
          </cell>
          <cell r="AP33">
            <v>354.9021739130435</v>
          </cell>
          <cell r="AQ33">
            <v>366.81521739130432</v>
          </cell>
          <cell r="AR33">
            <v>380.36712328767123</v>
          </cell>
          <cell r="AS33">
            <v>340.87777777777779</v>
          </cell>
          <cell r="AT33">
            <v>387.69230769230774</v>
          </cell>
          <cell r="AU33">
            <v>430.445652173913</v>
          </cell>
          <cell r="AV33">
            <v>435.87826086956522</v>
          </cell>
          <cell r="AW33">
            <v>399.07068493150683</v>
          </cell>
          <cell r="AX33">
            <v>428.38461538461536</v>
          </cell>
          <cell r="AY33">
            <v>429.19780219780222</v>
          </cell>
          <cell r="AZ33">
            <v>488.76086956521743</v>
          </cell>
          <cell r="BA33">
            <v>773.34782608695662</v>
          </cell>
          <cell r="BB33">
            <v>530.47540983606564</v>
          </cell>
        </row>
        <row r="35">
          <cell r="A35" t="str">
            <v>PERIOD ($ Millions)</v>
          </cell>
        </row>
        <row r="36">
          <cell r="A36" t="str">
            <v xml:space="preserve">  Applachian</v>
          </cell>
          <cell r="B36">
            <v>50.343999999999994</v>
          </cell>
          <cell r="C36">
            <v>63.756</v>
          </cell>
          <cell r="D36">
            <v>65.851110000000006</v>
          </cell>
          <cell r="E36">
            <v>17.728830000000002</v>
          </cell>
          <cell r="F36">
            <v>14.741363</v>
          </cell>
          <cell r="G36">
            <v>13.309088000000001</v>
          </cell>
          <cell r="H36">
            <v>17.920680000000001</v>
          </cell>
          <cell r="I36">
            <v>64.569960000000009</v>
          </cell>
          <cell r="J36">
            <v>16.146000000000001</v>
          </cell>
          <cell r="K36">
            <v>14.232399999999998</v>
          </cell>
          <cell r="L36">
            <v>14.26</v>
          </cell>
          <cell r="M36">
            <v>18.122159999999997</v>
          </cell>
          <cell r="N36">
            <v>62.866439999999997</v>
          </cell>
          <cell r="O36">
            <v>17.992800000000003</v>
          </cell>
          <cell r="P36">
            <v>16.890509999999999</v>
          </cell>
          <cell r="Q36">
            <v>16.9832</v>
          </cell>
          <cell r="R36">
            <v>19.584000000000003</v>
          </cell>
          <cell r="S36">
            <v>71.424244999999999</v>
          </cell>
          <cell r="T36">
            <v>21.167999999999999</v>
          </cell>
          <cell r="U36">
            <v>18.093985</v>
          </cell>
          <cell r="V36">
            <v>16.263999999999999</v>
          </cell>
          <cell r="W36">
            <v>16.773900000000001</v>
          </cell>
          <cell r="X36">
            <v>72.299884999999989</v>
          </cell>
          <cell r="Y36">
            <v>16.650000000000002</v>
          </cell>
          <cell r="Z36">
            <v>14.84</v>
          </cell>
          <cell r="AA36">
            <v>13.001999999999999</v>
          </cell>
          <cell r="AB36">
            <v>15.6</v>
          </cell>
          <cell r="AC36">
            <v>60.092000000000006</v>
          </cell>
          <cell r="AD36">
            <v>20.100000000000001</v>
          </cell>
          <cell r="AE36">
            <v>16.314999999999998</v>
          </cell>
          <cell r="AF36">
            <v>15.245999999999999</v>
          </cell>
          <cell r="AG36">
            <v>21.349999999999998</v>
          </cell>
          <cell r="AH36">
            <v>73.010999999999996</v>
          </cell>
          <cell r="AI36">
            <v>24.485999999999997</v>
          </cell>
          <cell r="AJ36">
            <v>15.946</v>
          </cell>
          <cell r="AK36">
            <v>16.672499999999999</v>
          </cell>
          <cell r="AL36">
            <v>18.576000000000001</v>
          </cell>
          <cell r="AM36">
            <v>75.680499999999995</v>
          </cell>
          <cell r="AN36">
            <v>14.177999999999997</v>
          </cell>
          <cell r="AO36">
            <v>14.559999999999999</v>
          </cell>
          <cell r="AP36">
            <v>12.921000000000001</v>
          </cell>
          <cell r="AQ36">
            <v>15.676999999999998</v>
          </cell>
          <cell r="AR36">
            <v>57.335999999999999</v>
          </cell>
          <cell r="AS36">
            <v>12.6</v>
          </cell>
          <cell r="AT36">
            <v>12.012</v>
          </cell>
          <cell r="AU36">
            <v>12.879</v>
          </cell>
          <cell r="AV36">
            <v>14.995999999999999</v>
          </cell>
          <cell r="AW36">
            <v>52.486999999999995</v>
          </cell>
          <cell r="AX36">
            <v>13.815</v>
          </cell>
          <cell r="AY36">
            <v>11.834999999999999</v>
          </cell>
          <cell r="AZ36">
            <v>12.558</v>
          </cell>
          <cell r="BA36">
            <v>19.866</v>
          </cell>
          <cell r="BB36">
            <v>58.073999999999998</v>
          </cell>
        </row>
        <row r="37">
          <cell r="A37" t="str">
            <v xml:space="preserve">  Western</v>
          </cell>
          <cell r="B37">
            <v>0</v>
          </cell>
          <cell r="C37">
            <v>16.275000000000002</v>
          </cell>
          <cell r="D37">
            <v>19.673500000000001</v>
          </cell>
          <cell r="E37">
            <v>6.6484800000000002</v>
          </cell>
          <cell r="F37">
            <v>5.1607920000000007</v>
          </cell>
          <cell r="G37">
            <v>4.787496</v>
          </cell>
          <cell r="H37">
            <v>8.8227999999999991</v>
          </cell>
          <cell r="I37">
            <v>25.343409999999999</v>
          </cell>
          <cell r="J37">
            <v>6.9120000000000008</v>
          </cell>
          <cell r="K37">
            <v>7.3382399999999999</v>
          </cell>
          <cell r="L37">
            <v>7.47</v>
          </cell>
          <cell r="M37">
            <v>10.75</v>
          </cell>
          <cell r="N37">
            <v>32.741419999999998</v>
          </cell>
          <cell r="O37">
            <v>8.1449999999999996</v>
          </cell>
          <cell r="P37">
            <v>9.5586400000000005</v>
          </cell>
          <cell r="Q37">
            <v>9.9175999999999984</v>
          </cell>
          <cell r="R37">
            <v>10.863999999999999</v>
          </cell>
          <cell r="S37">
            <v>38.441290000000002</v>
          </cell>
          <cell r="T37">
            <v>10.404</v>
          </cell>
          <cell r="U37">
            <v>12.986610000000001</v>
          </cell>
          <cell r="V37">
            <v>13.86</v>
          </cell>
          <cell r="W37">
            <v>12.668400000000002</v>
          </cell>
          <cell r="X37">
            <v>49.91901</v>
          </cell>
          <cell r="Y37">
            <v>8.5058399999999992</v>
          </cell>
          <cell r="Z37">
            <v>9.6043200000000013</v>
          </cell>
          <cell r="AA37">
            <v>6.8339699999999999</v>
          </cell>
          <cell r="AB37">
            <v>10.054500000000001</v>
          </cell>
          <cell r="AC37">
            <v>34.998630000000006</v>
          </cell>
          <cell r="AD37">
            <v>11.402340000000001</v>
          </cell>
          <cell r="AE37">
            <v>12.70026</v>
          </cell>
          <cell r="AF37">
            <v>9.1279199999999996</v>
          </cell>
          <cell r="AG37">
            <v>17.531120000000001</v>
          </cell>
          <cell r="AH37">
            <v>50.76164</v>
          </cell>
          <cell r="AI37">
            <v>17.999400000000001</v>
          </cell>
          <cell r="AJ37">
            <v>12.711630000000001</v>
          </cell>
          <cell r="AK37">
            <v>14.40554</v>
          </cell>
          <cell r="AL37">
            <v>19.123884</v>
          </cell>
          <cell r="AM37">
            <v>64.240454</v>
          </cell>
          <cell r="AN37">
            <v>14.744</v>
          </cell>
          <cell r="AO37">
            <v>14.895999999999999</v>
          </cell>
          <cell r="AP37">
            <v>14.141000000000002</v>
          </cell>
          <cell r="AQ37">
            <v>14.975999999999999</v>
          </cell>
          <cell r="AR37">
            <v>58.757000000000005</v>
          </cell>
          <cell r="AS37">
            <v>12.654</v>
          </cell>
          <cell r="AT37">
            <v>13.764000000000001</v>
          </cell>
          <cell r="AU37">
            <v>16.263999999999999</v>
          </cell>
          <cell r="AV37">
            <v>15.049999999999999</v>
          </cell>
          <cell r="AW37">
            <v>57.731999999999999</v>
          </cell>
          <cell r="AX37">
            <v>16.497999999999998</v>
          </cell>
          <cell r="AY37">
            <v>18.071999999999999</v>
          </cell>
          <cell r="AZ37">
            <v>19.388000000000002</v>
          </cell>
          <cell r="BA37">
            <v>28.560000000000002</v>
          </cell>
          <cell r="BB37">
            <v>82.518000000000001</v>
          </cell>
        </row>
        <row r="38">
          <cell r="A38" t="str">
            <v xml:space="preserve">  Gulf Coast</v>
          </cell>
          <cell r="Y38">
            <v>1.5831200000000001</v>
          </cell>
          <cell r="Z38">
            <v>1.2905199999999999</v>
          </cell>
          <cell r="AA38">
            <v>1.2885</v>
          </cell>
          <cell r="AB38">
            <v>1.6550199999999999</v>
          </cell>
          <cell r="AC38">
            <v>5.8171599999999994</v>
          </cell>
          <cell r="AD38">
            <v>2.21122</v>
          </cell>
          <cell r="AE38">
            <v>2.33412</v>
          </cell>
          <cell r="AF38">
            <v>2.9386400000000004</v>
          </cell>
          <cell r="AG38">
            <v>4.0783500000000004</v>
          </cell>
          <cell r="AH38">
            <v>11.562329999999999</v>
          </cell>
          <cell r="AI38">
            <v>4.5965999999999996</v>
          </cell>
          <cell r="AJ38">
            <v>4.6678499999999996</v>
          </cell>
          <cell r="AK38">
            <v>4.9303800000000004</v>
          </cell>
          <cell r="AL38">
            <v>7.0527999999999995</v>
          </cell>
          <cell r="AM38">
            <v>21.247630000000001</v>
          </cell>
          <cell r="AN38">
            <v>6.2720000000000002</v>
          </cell>
          <cell r="AO38">
            <v>7.7859999999999996</v>
          </cell>
          <cell r="AP38">
            <v>5.5889999999999995</v>
          </cell>
          <cell r="AQ38">
            <v>3.0939999999999999</v>
          </cell>
          <cell r="AR38">
            <v>22.741</v>
          </cell>
          <cell r="AS38">
            <v>5.4249999999999998</v>
          </cell>
          <cell r="AT38">
            <v>9.5040000000000013</v>
          </cell>
          <cell r="AU38">
            <v>10.458000000000002</v>
          </cell>
          <cell r="AV38">
            <v>10.0548</v>
          </cell>
          <cell r="AW38">
            <v>35.441800000000001</v>
          </cell>
          <cell r="AX38">
            <v>8.67</v>
          </cell>
          <cell r="AY38">
            <v>9.1499999999999986</v>
          </cell>
          <cell r="AZ38">
            <v>13.020000000000001</v>
          </cell>
          <cell r="BA38">
            <v>22.722000000000001</v>
          </cell>
          <cell r="BB38">
            <v>53.562000000000005</v>
          </cell>
        </row>
        <row r="39">
          <cell r="A39" t="str">
            <v xml:space="preserve">  Canada</v>
          </cell>
        </row>
        <row r="40">
          <cell r="A40" t="str">
            <v xml:space="preserve">  Total Calculated</v>
          </cell>
          <cell r="B40">
            <v>50.343999999999994</v>
          </cell>
          <cell r="C40">
            <v>80.031000000000006</v>
          </cell>
          <cell r="D40">
            <v>85.52461000000001</v>
          </cell>
          <cell r="E40">
            <v>24.377310000000001</v>
          </cell>
          <cell r="F40">
            <v>19.902155</v>
          </cell>
          <cell r="G40">
            <v>18.096584</v>
          </cell>
          <cell r="H40">
            <v>26.743479999999998</v>
          </cell>
          <cell r="I40">
            <v>89.913370000000015</v>
          </cell>
          <cell r="J40">
            <v>23.058</v>
          </cell>
          <cell r="K40">
            <v>21.570639999999997</v>
          </cell>
          <cell r="L40">
            <v>21.73</v>
          </cell>
          <cell r="M40">
            <v>28.872159999999997</v>
          </cell>
          <cell r="N40">
            <v>95.607859999999988</v>
          </cell>
          <cell r="O40">
            <v>26.137800000000002</v>
          </cell>
          <cell r="P40">
            <v>26.449149999999999</v>
          </cell>
          <cell r="Q40">
            <v>26.900799999999997</v>
          </cell>
          <cell r="R40">
            <v>30.448</v>
          </cell>
          <cell r="S40">
            <v>109.86553499999999</v>
          </cell>
          <cell r="T40">
            <v>31.571999999999999</v>
          </cell>
          <cell r="U40">
            <v>31.080595000000002</v>
          </cell>
          <cell r="V40">
            <v>30.123999999999999</v>
          </cell>
          <cell r="W40">
            <v>29.442300000000003</v>
          </cell>
          <cell r="X40">
            <v>122.218895</v>
          </cell>
          <cell r="Y40">
            <v>26.738960000000002</v>
          </cell>
          <cell r="Z40">
            <v>25.734840000000002</v>
          </cell>
          <cell r="AA40">
            <v>21.124469999999999</v>
          </cell>
          <cell r="AB40">
            <v>27.309519999999999</v>
          </cell>
          <cell r="AC40">
            <v>100.90779000000001</v>
          </cell>
          <cell r="AD40">
            <v>33.713560000000001</v>
          </cell>
          <cell r="AE40">
            <v>31.349379999999996</v>
          </cell>
          <cell r="AF40">
            <v>27.312559999999998</v>
          </cell>
          <cell r="AG40">
            <v>42.959469999999996</v>
          </cell>
          <cell r="AH40">
            <v>135.33497</v>
          </cell>
          <cell r="AI40">
            <v>47.082000000000001</v>
          </cell>
          <cell r="AJ40">
            <v>33.325479999999999</v>
          </cell>
          <cell r="AK40">
            <v>36.008420000000001</v>
          </cell>
          <cell r="AL40">
            <v>44.752683999999995</v>
          </cell>
          <cell r="AM40">
            <v>161.16858400000001</v>
          </cell>
          <cell r="AN40">
            <v>35.193999999999996</v>
          </cell>
          <cell r="AO40">
            <v>37.241999999999997</v>
          </cell>
          <cell r="AP40">
            <v>32.651000000000003</v>
          </cell>
          <cell r="AQ40">
            <v>33.747</v>
          </cell>
          <cell r="AR40">
            <v>138.834</v>
          </cell>
          <cell r="AS40">
            <v>30.678999999999998</v>
          </cell>
          <cell r="AT40">
            <v>35.28</v>
          </cell>
          <cell r="AU40">
            <v>39.600999999999999</v>
          </cell>
          <cell r="AV40">
            <v>40.1008</v>
          </cell>
          <cell r="AW40">
            <v>145.66079999999999</v>
          </cell>
          <cell r="AX40">
            <v>38.982999999999997</v>
          </cell>
          <cell r="AY40">
            <v>39.056999999999995</v>
          </cell>
          <cell r="AZ40">
            <v>44.966000000000001</v>
          </cell>
          <cell r="BA40">
            <v>71.147999999999996</v>
          </cell>
          <cell r="BB40">
            <v>194.154</v>
          </cell>
        </row>
        <row r="42">
          <cell r="A42" t="str">
            <v>Variance with reported</v>
          </cell>
          <cell r="B42">
            <v>37.719000000000008</v>
          </cell>
          <cell r="C42">
            <v>16.61</v>
          </cell>
          <cell r="D42">
            <v>3.3163899999999842</v>
          </cell>
          <cell r="E42">
            <v>1.3946899999999971</v>
          </cell>
          <cell r="F42">
            <v>7.4844999999999828E-2</v>
          </cell>
          <cell r="G42">
            <v>0.29041600000000045</v>
          </cell>
          <cell r="H42">
            <v>0.83352000000000359</v>
          </cell>
          <cell r="I42">
            <v>1.7996299999999792</v>
          </cell>
          <cell r="J42">
            <v>7.2000000000002728E-2</v>
          </cell>
          <cell r="N42">
            <v>7.2000000000002728E-2</v>
          </cell>
          <cell r="S42">
            <v>0</v>
          </cell>
          <cell r="X42">
            <v>0</v>
          </cell>
          <cell r="AC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-0.59242000000000417</v>
          </cell>
          <cell r="AL42">
            <v>1.0823160000000058</v>
          </cell>
          <cell r="AM42">
            <v>0</v>
          </cell>
          <cell r="AN42">
            <v>-1.7999999999993577E-2</v>
          </cell>
          <cell r="AO42">
            <v>0</v>
          </cell>
          <cell r="AP42">
            <v>8.8999999999998636E-2</v>
          </cell>
          <cell r="AQ42">
            <v>-8.5000000000000853E-2</v>
          </cell>
          <cell r="AR42">
            <v>0</v>
          </cell>
          <cell r="AS42">
            <v>0</v>
          </cell>
          <cell r="AT42">
            <v>-3.1000000000005912E-2</v>
          </cell>
          <cell r="AU42">
            <v>-9.2999999999996419E-2</v>
          </cell>
          <cell r="AV42">
            <v>0</v>
          </cell>
          <cell r="AW42">
            <v>-0.12399999999999523</v>
          </cell>
          <cell r="AX42">
            <v>0.10300000000000153</v>
          </cell>
          <cell r="AY42">
            <v>-0.15399999999999636</v>
          </cell>
          <cell r="AZ42">
            <v>0</v>
          </cell>
          <cell r="BA42">
            <v>-5.1000000000001933E-2</v>
          </cell>
          <cell r="BB42">
            <v>0</v>
          </cell>
        </row>
        <row r="44">
          <cell r="A44" t="str">
            <v>Reported Gas Prod. Rev.</v>
          </cell>
          <cell r="B44">
            <v>88.063000000000002</v>
          </cell>
          <cell r="C44">
            <v>96.641000000000005</v>
          </cell>
          <cell r="D44">
            <v>88.840999999999994</v>
          </cell>
          <cell r="E44">
            <v>25.771999999999998</v>
          </cell>
          <cell r="F44">
            <v>19.977</v>
          </cell>
          <cell r="G44">
            <v>18.387</v>
          </cell>
          <cell r="H44">
            <v>27.577000000000002</v>
          </cell>
          <cell r="I44">
            <v>91.712999999999994</v>
          </cell>
          <cell r="J44">
            <v>23.130000000000003</v>
          </cell>
          <cell r="K44">
            <v>21.570639999999997</v>
          </cell>
          <cell r="L44">
            <v>21.73</v>
          </cell>
          <cell r="M44">
            <v>28.872159999999997</v>
          </cell>
          <cell r="N44">
            <v>95.607859999999988</v>
          </cell>
          <cell r="O44">
            <v>26.137800000000002</v>
          </cell>
          <cell r="P44">
            <v>26.449149999999999</v>
          </cell>
          <cell r="Q44">
            <v>26.900799999999997</v>
          </cell>
          <cell r="R44">
            <v>30.448</v>
          </cell>
          <cell r="S44">
            <v>109.86553499999999</v>
          </cell>
          <cell r="T44">
            <v>31.571999999999999</v>
          </cell>
          <cell r="U44">
            <v>31.080595000000002</v>
          </cell>
          <cell r="V44">
            <v>30.123999999999999</v>
          </cell>
          <cell r="W44">
            <v>29.442300000000003</v>
          </cell>
          <cell r="X44">
            <v>122.218895</v>
          </cell>
          <cell r="Y44">
            <v>26.738960000000002</v>
          </cell>
          <cell r="Z44">
            <v>25.734840000000002</v>
          </cell>
          <cell r="AA44">
            <v>21.124469999999999</v>
          </cell>
          <cell r="AB44">
            <v>27.309519999999999</v>
          </cell>
          <cell r="AC44">
            <v>100.90779000000001</v>
          </cell>
          <cell r="AD44">
            <v>33.713560000000001</v>
          </cell>
          <cell r="AE44">
            <v>31.349379999999996</v>
          </cell>
          <cell r="AF44">
            <v>29.655999999999999</v>
          </cell>
          <cell r="AG44">
            <v>42.959469999999996</v>
          </cell>
          <cell r="AH44">
            <v>135.33497</v>
          </cell>
          <cell r="AI44">
            <v>47.082000000000001</v>
          </cell>
          <cell r="AJ44">
            <v>33.325479999999999</v>
          </cell>
          <cell r="AK44">
            <v>35.415999999999997</v>
          </cell>
          <cell r="AL44">
            <v>45.835000000000001</v>
          </cell>
          <cell r="AM44">
            <v>161.16858400000001</v>
          </cell>
          <cell r="AN44">
            <v>35.176000000000002</v>
          </cell>
          <cell r="AO44">
            <v>37.241999999999997</v>
          </cell>
          <cell r="AP44">
            <v>32.74</v>
          </cell>
          <cell r="AQ44">
            <v>33.661999999999999</v>
          </cell>
          <cell r="AR44">
            <v>138.834</v>
          </cell>
          <cell r="AS44">
            <v>30.678999999999998</v>
          </cell>
          <cell r="AT44">
            <v>35.248999999999995</v>
          </cell>
          <cell r="AU44">
            <v>39.508000000000003</v>
          </cell>
          <cell r="AV44">
            <v>40.1008</v>
          </cell>
          <cell r="AW44">
            <v>145.5368</v>
          </cell>
          <cell r="AX44">
            <v>39.085999999999999</v>
          </cell>
          <cell r="AY44">
            <v>38.902999999999999</v>
          </cell>
          <cell r="AZ44">
            <v>44.966000000000001</v>
          </cell>
          <cell r="BA44">
            <v>71.096999999999994</v>
          </cell>
          <cell r="BB44">
            <v>194.154</v>
          </cell>
        </row>
        <row r="45">
          <cell r="A45" t="str">
            <v>ReportedOil Prod. Rev.</v>
          </cell>
        </row>
        <row r="47">
          <cell r="A47" t="str">
            <v>GAS PRICE($/Mcf)</v>
          </cell>
        </row>
        <row r="49">
          <cell r="A49" t="str">
            <v>Mkting Revenue ($Mil.)</v>
          </cell>
          <cell r="D49">
            <v>31.993000000000002</v>
          </cell>
          <cell r="E49">
            <v>16.873000000000001</v>
          </cell>
          <cell r="F49">
            <v>6.5087999999999999</v>
          </cell>
          <cell r="G49">
            <v>4.8867000000000003</v>
          </cell>
          <cell r="H49">
            <v>12.070589999999999</v>
          </cell>
          <cell r="I49">
            <v>40.29907</v>
          </cell>
          <cell r="J49">
            <v>12.84</v>
          </cell>
          <cell r="K49">
            <v>7.0379999999999994</v>
          </cell>
          <cell r="L49">
            <v>9.1080000000000005</v>
          </cell>
          <cell r="M49">
            <v>14.56</v>
          </cell>
          <cell r="N49">
            <v>43.545999999999999</v>
          </cell>
          <cell r="O49">
            <v>14.094000000000001</v>
          </cell>
          <cell r="P49">
            <v>9.234</v>
          </cell>
          <cell r="Q49">
            <v>6.24</v>
          </cell>
          <cell r="R49">
            <v>16.12107</v>
          </cell>
          <cell r="S49">
            <v>45.836467500000005</v>
          </cell>
          <cell r="T49">
            <v>32.148250000000004</v>
          </cell>
          <cell r="U49">
            <v>21.824999999999999</v>
          </cell>
          <cell r="V49">
            <v>20.14</v>
          </cell>
          <cell r="W49">
            <v>23.684000000000001</v>
          </cell>
          <cell r="X49">
            <v>97.853274999999996</v>
          </cell>
          <cell r="Y49">
            <v>26.1</v>
          </cell>
          <cell r="Z49">
            <v>21.93</v>
          </cell>
          <cell r="AA49">
            <v>19.558</v>
          </cell>
          <cell r="AB49">
            <v>28.13</v>
          </cell>
          <cell r="AC49">
            <v>95.717999999999989</v>
          </cell>
        </row>
        <row r="50">
          <cell r="A50" t="str">
            <v>Marketing Costs</v>
          </cell>
          <cell r="D50">
            <v>25.709669999999999</v>
          </cell>
          <cell r="E50">
            <v>10.787669999999999</v>
          </cell>
          <cell r="F50">
            <v>7.7025600000000001</v>
          </cell>
          <cell r="G50">
            <v>10.70748</v>
          </cell>
          <cell r="H50">
            <v>10.287899999999999</v>
          </cell>
          <cell r="I50">
            <v>36.121749999999999</v>
          </cell>
          <cell r="J50">
            <v>9.7644000000000002</v>
          </cell>
          <cell r="K50">
            <v>7.0519999999999996</v>
          </cell>
          <cell r="L50">
            <v>9</v>
          </cell>
          <cell r="M50">
            <v>13.356</v>
          </cell>
          <cell r="N50">
            <v>39.172400000000003</v>
          </cell>
          <cell r="O50">
            <v>8.831999999999999</v>
          </cell>
          <cell r="P50">
            <v>10.835000000000001</v>
          </cell>
          <cell r="Q50">
            <v>6.8</v>
          </cell>
          <cell r="R50">
            <v>13.824000000000002</v>
          </cell>
          <cell r="S50">
            <v>43.847999999999999</v>
          </cell>
          <cell r="T50">
            <v>29.06</v>
          </cell>
          <cell r="U50">
            <v>22.32</v>
          </cell>
          <cell r="V50">
            <v>22.835999999999999</v>
          </cell>
          <cell r="W50">
            <v>21.78</v>
          </cell>
          <cell r="X50">
            <v>98.566600000000022</v>
          </cell>
          <cell r="Y50">
            <v>24.472000000000001</v>
          </cell>
          <cell r="Z50">
            <v>21.731999999999999</v>
          </cell>
          <cell r="AA50">
            <v>18.359000000000002</v>
          </cell>
          <cell r="AB50">
            <v>27.212</v>
          </cell>
          <cell r="AC50">
            <v>91.775000000000006</v>
          </cell>
        </row>
        <row r="51">
          <cell r="A51" t="str">
            <v>Gross Marketing Margin</v>
          </cell>
          <cell r="D51">
            <v>6.283330000000003</v>
          </cell>
          <cell r="E51">
            <v>6.0853300000000026</v>
          </cell>
          <cell r="F51">
            <v>-1.1937600000000002</v>
          </cell>
          <cell r="G51">
            <v>-5.8207800000000001</v>
          </cell>
          <cell r="H51">
            <v>1.7826900000000006</v>
          </cell>
          <cell r="I51">
            <v>4.1773200000000017</v>
          </cell>
          <cell r="J51">
            <v>3.0755999999999997</v>
          </cell>
          <cell r="K51">
            <v>-1.4000000000000234E-2</v>
          </cell>
          <cell r="L51">
            <v>0.10800000000000054</v>
          </cell>
          <cell r="M51">
            <v>1.2040000000000006</v>
          </cell>
          <cell r="N51">
            <v>4.3736000000000006</v>
          </cell>
          <cell r="O51">
            <v>5.2620000000000022</v>
          </cell>
          <cell r="P51">
            <v>-1.6010000000000009</v>
          </cell>
          <cell r="Q51">
            <v>-0.55999999999999961</v>
          </cell>
          <cell r="R51">
            <v>2.2970699999999979</v>
          </cell>
          <cell r="S51">
            <v>1.9884675000000058</v>
          </cell>
          <cell r="T51">
            <v>3.0882500000000057</v>
          </cell>
          <cell r="U51">
            <v>-0.49500000000000099</v>
          </cell>
          <cell r="V51">
            <v>-2.695999999999998</v>
          </cell>
          <cell r="W51">
            <v>1.9039999999999999</v>
          </cell>
          <cell r="X51">
            <v>-0.71332500000002597</v>
          </cell>
          <cell r="Y51">
            <v>1.6280000000000001</v>
          </cell>
          <cell r="Z51">
            <v>0.1980000000000004</v>
          </cell>
          <cell r="AA51">
            <v>1.1989999999999981</v>
          </cell>
          <cell r="AB51">
            <v>0.91799999999999926</v>
          </cell>
          <cell r="AC51">
            <v>3.9429999999999978</v>
          </cell>
        </row>
        <row r="52">
          <cell r="A52" t="str">
            <v>Other Marketing costs</v>
          </cell>
          <cell r="D52">
            <v>5.5563300000000027</v>
          </cell>
          <cell r="E52">
            <v>1.7473300000000025</v>
          </cell>
          <cell r="F52">
            <v>-0.36076000000000019</v>
          </cell>
          <cell r="G52">
            <v>-5.74078</v>
          </cell>
          <cell r="H52">
            <v>1.2976900000000007</v>
          </cell>
          <cell r="I52">
            <v>0.26732000000000156</v>
          </cell>
          <cell r="J52">
            <v>0.48859999999999948</v>
          </cell>
          <cell r="K52">
            <v>-0.31400000000000022</v>
          </cell>
          <cell r="L52">
            <v>-0.3</v>
          </cell>
          <cell r="M52">
            <v>-0.13999999999999949</v>
          </cell>
          <cell r="N52">
            <v>-0.26540000000000019</v>
          </cell>
          <cell r="O52">
            <v>-0.4</v>
          </cell>
          <cell r="P52">
            <v>-0.1</v>
          </cell>
          <cell r="Q52">
            <v>-1.7</v>
          </cell>
          <cell r="R52">
            <v>-4</v>
          </cell>
          <cell r="S52">
            <v>-6.2</v>
          </cell>
          <cell r="T52">
            <v>-0.1</v>
          </cell>
          <cell r="U52">
            <v>-0.5</v>
          </cell>
          <cell r="V52">
            <v>1.3</v>
          </cell>
          <cell r="W52">
            <v>0</v>
          </cell>
          <cell r="X52">
            <v>0.7</v>
          </cell>
          <cell r="Y52">
            <v>-1</v>
          </cell>
          <cell r="Z52">
            <v>-0.25</v>
          </cell>
          <cell r="AA52">
            <v>-0.25</v>
          </cell>
          <cell r="AB52">
            <v>-0.25</v>
          </cell>
          <cell r="AC52">
            <v>-1.75</v>
          </cell>
        </row>
        <row r="53">
          <cell r="A53" t="str">
            <v>Marketing Margin</v>
          </cell>
          <cell r="D53">
            <v>0.72699999999999998</v>
          </cell>
          <cell r="E53">
            <v>4.3380000000000001</v>
          </cell>
          <cell r="F53">
            <v>-0.83299999999999996</v>
          </cell>
          <cell r="G53">
            <v>-0.08</v>
          </cell>
          <cell r="H53">
            <v>0.48499999999999999</v>
          </cell>
          <cell r="I53">
            <v>3.91</v>
          </cell>
          <cell r="J53">
            <v>2.5870000000000002</v>
          </cell>
          <cell r="K53">
            <v>0.3</v>
          </cell>
          <cell r="L53">
            <v>0.40800000000000053</v>
          </cell>
          <cell r="M53">
            <v>1.0640000000000012</v>
          </cell>
          <cell r="N53">
            <v>4.3590000000000018</v>
          </cell>
          <cell r="O53">
            <v>4.8620000000000019</v>
          </cell>
          <cell r="P53">
            <v>-1.701000000000001</v>
          </cell>
          <cell r="Q53">
            <v>-2.2599999999999998</v>
          </cell>
          <cell r="R53">
            <v>-1.7029300000000021</v>
          </cell>
          <cell r="S53">
            <v>-0.80193000000000092</v>
          </cell>
          <cell r="T53">
            <v>2.9882500000000056</v>
          </cell>
          <cell r="U53">
            <v>-0.99500000000000099</v>
          </cell>
          <cell r="V53">
            <v>-1.3959999999999979</v>
          </cell>
          <cell r="W53">
            <v>1.9039999999999999</v>
          </cell>
          <cell r="X53">
            <v>2.5012500000000069</v>
          </cell>
          <cell r="Y53">
            <v>0.95199999999999996</v>
          </cell>
          <cell r="Z53">
            <v>-5.1999999999999602E-2</v>
          </cell>
          <cell r="AA53">
            <v>0.94899999999999807</v>
          </cell>
          <cell r="AB53">
            <v>0.66799999999999926</v>
          </cell>
          <cell r="AC53">
            <v>2.5169999999999977</v>
          </cell>
          <cell r="AD53">
            <v>2.09</v>
          </cell>
          <cell r="AE53">
            <v>0.7</v>
          </cell>
          <cell r="AF53">
            <v>0.97099999999999997</v>
          </cell>
          <cell r="AG53">
            <v>1.4339999999999999</v>
          </cell>
          <cell r="AH53">
            <v>5.1950000000000003</v>
          </cell>
          <cell r="AI53">
            <v>0.497</v>
          </cell>
          <cell r="AJ53">
            <v>0.93200000000000005</v>
          </cell>
          <cell r="AK53">
            <v>1.0529999999999999</v>
          </cell>
          <cell r="AL53">
            <v>1.629</v>
          </cell>
          <cell r="AM53">
            <v>4.1110000000000007</v>
          </cell>
          <cell r="AN53">
            <v>1.387</v>
          </cell>
          <cell r="AO53">
            <v>1.143</v>
          </cell>
          <cell r="AP53">
            <v>1.095</v>
          </cell>
          <cell r="AQ53">
            <v>1.91</v>
          </cell>
          <cell r="AR53">
            <v>5.5350000000000001</v>
          </cell>
          <cell r="AS53">
            <v>0.88300000000000001</v>
          </cell>
          <cell r="AT53">
            <v>1.056</v>
          </cell>
          <cell r="AU53">
            <v>0.90500000000000003</v>
          </cell>
          <cell r="AV53">
            <v>1.546</v>
          </cell>
          <cell r="AW53">
            <v>4.3900000000000006</v>
          </cell>
          <cell r="AX53">
            <v>1.4510000000000001</v>
          </cell>
          <cell r="AY53">
            <v>1.2</v>
          </cell>
          <cell r="AZ53">
            <v>1.23</v>
          </cell>
          <cell r="BA53">
            <v>1.6040000000000001</v>
          </cell>
          <cell r="BB53">
            <v>5.4849999999999994</v>
          </cell>
        </row>
        <row r="56">
          <cell r="A56" t="str">
            <v>CRUDE OIL PRODUCTION</v>
          </cell>
          <cell r="B56">
            <v>1988</v>
          </cell>
          <cell r="C56">
            <v>1989</v>
          </cell>
          <cell r="D56">
            <v>1990</v>
          </cell>
          <cell r="E56" t="str">
            <v>1q</v>
          </cell>
          <cell r="F56" t="str">
            <v>2q</v>
          </cell>
          <cell r="G56" t="str">
            <v>3q</v>
          </cell>
          <cell r="H56" t="str">
            <v>4q</v>
          </cell>
          <cell r="I56">
            <v>1991</v>
          </cell>
          <cell r="J56" t="str">
            <v>1q</v>
          </cell>
          <cell r="K56" t="str">
            <v>2q'</v>
          </cell>
          <cell r="L56" t="str">
            <v>3q</v>
          </cell>
          <cell r="M56" t="str">
            <v>4q</v>
          </cell>
          <cell r="N56" t="str">
            <v>1992</v>
          </cell>
          <cell r="O56" t="str">
            <v>1q</v>
          </cell>
          <cell r="P56" t="str">
            <v xml:space="preserve">2q </v>
          </cell>
          <cell r="Q56" t="str">
            <v>3q*</v>
          </cell>
          <cell r="R56" t="str">
            <v>4q</v>
          </cell>
          <cell r="S56">
            <v>1993</v>
          </cell>
          <cell r="T56" t="str">
            <v>1q</v>
          </cell>
          <cell r="U56" t="str">
            <v>2q</v>
          </cell>
          <cell r="V56" t="str">
            <v>3q</v>
          </cell>
          <cell r="W56" t="str">
            <v>4q</v>
          </cell>
          <cell r="X56" t="str">
            <v>1994</v>
          </cell>
          <cell r="Y56" t="str">
            <v>1q</v>
          </cell>
          <cell r="Z56" t="str">
            <v>2q</v>
          </cell>
          <cell r="AA56" t="str">
            <v>3q</v>
          </cell>
          <cell r="AB56" t="str">
            <v>4q</v>
          </cell>
          <cell r="AC56">
            <v>1995</v>
          </cell>
          <cell r="AD56" t="str">
            <v>1q</v>
          </cell>
          <cell r="AE56" t="str">
            <v>2q</v>
          </cell>
          <cell r="AF56" t="str">
            <v>3q</v>
          </cell>
          <cell r="AG56" t="str">
            <v>4q</v>
          </cell>
          <cell r="AH56" t="str">
            <v>1996</v>
          </cell>
          <cell r="AI56" t="str">
            <v>1q</v>
          </cell>
          <cell r="AJ56" t="str">
            <v>2q</v>
          </cell>
          <cell r="AK56" t="str">
            <v>3q</v>
          </cell>
          <cell r="AL56" t="str">
            <v>4q</v>
          </cell>
          <cell r="AM56" t="str">
            <v>1997</v>
          </cell>
          <cell r="AN56" t="str">
            <v>1q</v>
          </cell>
          <cell r="AO56" t="str">
            <v>2q</v>
          </cell>
          <cell r="AP56" t="str">
            <v>3q</v>
          </cell>
          <cell r="AQ56" t="str">
            <v>4q</v>
          </cell>
          <cell r="AR56" t="str">
            <v>1998</v>
          </cell>
          <cell r="AS56" t="str">
            <v>1q</v>
          </cell>
          <cell r="AT56" t="str">
            <v>2q</v>
          </cell>
          <cell r="AU56" t="str">
            <v>3q</v>
          </cell>
          <cell r="AV56" t="str">
            <v>4q</v>
          </cell>
          <cell r="AW56" t="str">
            <v>1999</v>
          </cell>
          <cell r="AX56" t="str">
            <v>1q</v>
          </cell>
          <cell r="AY56" t="str">
            <v>2q</v>
          </cell>
          <cell r="AZ56" t="str">
            <v>3q</v>
          </cell>
          <cell r="BA56" t="str">
            <v>4q</v>
          </cell>
          <cell r="BB56">
            <v>2000</v>
          </cell>
        </row>
        <row r="57">
          <cell r="A57" t="str">
            <v>Daily (MBbls)</v>
          </cell>
          <cell r="B57">
            <v>0.20599999999999999</v>
          </cell>
          <cell r="C57">
            <v>0.156</v>
          </cell>
          <cell r="D57">
            <v>0.48</v>
          </cell>
          <cell r="E57">
            <v>0.4</v>
          </cell>
          <cell r="F57">
            <v>0.4</v>
          </cell>
          <cell r="G57">
            <v>0.4</v>
          </cell>
          <cell r="H57">
            <v>0.4</v>
          </cell>
          <cell r="I57">
            <v>0.4</v>
          </cell>
          <cell r="J57">
            <v>0.41</v>
          </cell>
          <cell r="K57">
            <v>0.41760000000000003</v>
          </cell>
          <cell r="L57">
            <v>0.43</v>
          </cell>
          <cell r="M57">
            <v>0.4</v>
          </cell>
          <cell r="N57">
            <v>0.4</v>
          </cell>
          <cell r="O57">
            <v>0.43</v>
          </cell>
          <cell r="P57">
            <v>1.0329999999999999</v>
          </cell>
          <cell r="Q57">
            <v>1.1200000000000001</v>
          </cell>
          <cell r="R57">
            <v>1.1413043478260869</v>
          </cell>
          <cell r="S57">
            <v>0.93354246575342459</v>
          </cell>
          <cell r="T57">
            <v>1.02</v>
          </cell>
          <cell r="U57">
            <v>1.8791208791208791</v>
          </cell>
          <cell r="V57">
            <v>2.3043478260869565</v>
          </cell>
          <cell r="W57">
            <v>2.4239130434782608</v>
          </cell>
          <cell r="X57">
            <v>1.9117808219178081</v>
          </cell>
          <cell r="Y57">
            <v>2.0555555555555554</v>
          </cell>
          <cell r="Z57">
            <v>1.8241758241758241</v>
          </cell>
          <cell r="AA57">
            <v>1.2934782608695652</v>
          </cell>
          <cell r="AB57">
            <v>1.6086956521739131</v>
          </cell>
          <cell r="AC57">
            <v>1.6931506849315068</v>
          </cell>
          <cell r="AD57">
            <v>1.5111111111111111</v>
          </cell>
          <cell r="AE57">
            <v>1.5714285714285714</v>
          </cell>
          <cell r="AF57">
            <v>1.5978260869565217</v>
          </cell>
          <cell r="AG57">
            <v>1.2717391304347827</v>
          </cell>
          <cell r="AH57">
            <v>1.4876712328767123</v>
          </cell>
          <cell r="AI57">
            <v>1.5777777777777777</v>
          </cell>
          <cell r="AJ57">
            <v>1.6813186813186813</v>
          </cell>
          <cell r="AK57">
            <v>1.5108695652173914</v>
          </cell>
          <cell r="AL57">
            <v>1.5217391304347827</v>
          </cell>
          <cell r="AM57">
            <v>1.5726027397260274</v>
          </cell>
          <cell r="AN57">
            <v>1.5444444444444445</v>
          </cell>
          <cell r="AO57">
            <v>1.5494505494505495</v>
          </cell>
          <cell r="AP57">
            <v>1.8913043478260869</v>
          </cell>
          <cell r="AQ57">
            <v>1.9456521739130435</v>
          </cell>
          <cell r="AR57">
            <v>1.7342465753424658</v>
          </cell>
          <cell r="AS57">
            <v>2.6555555555555554</v>
          </cell>
          <cell r="AT57">
            <v>2.6703296703296702</v>
          </cell>
          <cell r="AU57">
            <v>2.6304347826086958</v>
          </cell>
          <cell r="AV57">
            <v>2.4456521739130435</v>
          </cell>
          <cell r="AW57">
            <v>2.6</v>
          </cell>
          <cell r="AX57">
            <v>2.2197802197802199</v>
          </cell>
          <cell r="AY57">
            <v>2.2527472527472527</v>
          </cell>
          <cell r="AZ57">
            <v>2.8260869565217392</v>
          </cell>
          <cell r="BA57">
            <v>3.2282608695652173</v>
          </cell>
          <cell r="BB57">
            <v>2.6338797814207648</v>
          </cell>
        </row>
        <row r="58">
          <cell r="A58" t="str">
            <v>Period (MBbls)</v>
          </cell>
          <cell r="B58">
            <v>75.396000000000001</v>
          </cell>
          <cell r="C58">
            <v>56.94</v>
          </cell>
          <cell r="D58">
            <v>175.2</v>
          </cell>
          <cell r="E58">
            <v>36</v>
          </cell>
          <cell r="F58">
            <v>36.4</v>
          </cell>
          <cell r="G58">
            <v>36.800000000000004</v>
          </cell>
          <cell r="H58">
            <v>36.800000000000004</v>
          </cell>
          <cell r="I58">
            <v>146</v>
          </cell>
          <cell r="J58">
            <v>37.309999999999995</v>
          </cell>
          <cell r="K58">
            <v>38.001600000000003</v>
          </cell>
          <cell r="L58">
            <v>39.56</v>
          </cell>
          <cell r="M58">
            <v>36.800000000000004</v>
          </cell>
          <cell r="N58">
            <v>146</v>
          </cell>
          <cell r="O58">
            <v>38.700000000000003</v>
          </cell>
          <cell r="P58">
            <v>94.002999999999986</v>
          </cell>
          <cell r="Q58">
            <v>103.04</v>
          </cell>
          <cell r="R58">
            <v>105</v>
          </cell>
          <cell r="S58">
            <v>340.74299999999999</v>
          </cell>
          <cell r="T58">
            <v>91.8</v>
          </cell>
          <cell r="U58">
            <v>171</v>
          </cell>
          <cell r="V58">
            <v>212</v>
          </cell>
          <cell r="W58">
            <v>223</v>
          </cell>
          <cell r="X58">
            <v>697.8</v>
          </cell>
          <cell r="Y58">
            <v>185</v>
          </cell>
          <cell r="Z58">
            <v>166</v>
          </cell>
          <cell r="AA58">
            <v>119</v>
          </cell>
          <cell r="AB58">
            <v>148</v>
          </cell>
          <cell r="AC58">
            <v>618</v>
          </cell>
          <cell r="AD58">
            <v>136</v>
          </cell>
          <cell r="AE58">
            <v>143</v>
          </cell>
          <cell r="AF58">
            <v>147</v>
          </cell>
          <cell r="AG58">
            <v>117</v>
          </cell>
          <cell r="AH58">
            <v>543</v>
          </cell>
          <cell r="AI58">
            <v>142</v>
          </cell>
          <cell r="AJ58">
            <v>153</v>
          </cell>
          <cell r="AK58">
            <v>139</v>
          </cell>
          <cell r="AL58">
            <v>140</v>
          </cell>
          <cell r="AM58">
            <v>574</v>
          </cell>
          <cell r="AN58">
            <v>139</v>
          </cell>
          <cell r="AO58">
            <v>141</v>
          </cell>
          <cell r="AP58">
            <v>174</v>
          </cell>
          <cell r="AQ58">
            <v>179</v>
          </cell>
          <cell r="AR58">
            <v>633</v>
          </cell>
          <cell r="AS58">
            <v>239</v>
          </cell>
          <cell r="AT58">
            <v>243</v>
          </cell>
          <cell r="AU58">
            <v>242</v>
          </cell>
          <cell r="AV58">
            <v>225</v>
          </cell>
          <cell r="AW58">
            <v>949</v>
          </cell>
          <cell r="AX58">
            <v>202</v>
          </cell>
          <cell r="AY58">
            <v>205</v>
          </cell>
          <cell r="AZ58">
            <v>260</v>
          </cell>
          <cell r="BA58">
            <v>297</v>
          </cell>
          <cell r="BB58">
            <v>964</v>
          </cell>
        </row>
        <row r="59">
          <cell r="AU59" t="str">
            <v xml:space="preserve"> </v>
          </cell>
          <cell r="AZ59" t="str">
            <v xml:space="preserve"> </v>
          </cell>
        </row>
        <row r="60">
          <cell r="A60" t="str">
            <v>Price ($/Bbl)</v>
          </cell>
          <cell r="B60">
            <v>19.489999999999998</v>
          </cell>
          <cell r="C60">
            <v>18.239999999999998</v>
          </cell>
          <cell r="D60">
            <v>19.63</v>
          </cell>
          <cell r="E60">
            <v>19.02</v>
          </cell>
          <cell r="F60">
            <v>19.23</v>
          </cell>
          <cell r="G60">
            <v>19.96</v>
          </cell>
          <cell r="H60">
            <v>20.95</v>
          </cell>
          <cell r="I60">
            <v>19.8</v>
          </cell>
          <cell r="J60">
            <v>17.73</v>
          </cell>
          <cell r="K60">
            <v>19.11</v>
          </cell>
          <cell r="L60">
            <v>20.87</v>
          </cell>
          <cell r="M60">
            <v>18.32</v>
          </cell>
          <cell r="N60">
            <v>19.0075</v>
          </cell>
          <cell r="O60">
            <v>17.899999999999999</v>
          </cell>
          <cell r="P60">
            <v>18.68</v>
          </cell>
          <cell r="Q60">
            <v>15.71</v>
          </cell>
          <cell r="R60">
            <v>15.01</v>
          </cell>
          <cell r="S60">
            <v>16.824999999999999</v>
          </cell>
          <cell r="T60">
            <v>13.43</v>
          </cell>
          <cell r="U60">
            <v>16.38</v>
          </cell>
          <cell r="V60">
            <v>17.920000000000002</v>
          </cell>
          <cell r="W60">
            <v>16.86</v>
          </cell>
          <cell r="X60">
            <v>16.147500000000001</v>
          </cell>
          <cell r="Y60">
            <v>16.84</v>
          </cell>
          <cell r="Z60">
            <v>19</v>
          </cell>
          <cell r="AA60">
            <v>17.829999999999998</v>
          </cell>
          <cell r="AB60">
            <v>18.23</v>
          </cell>
          <cell r="AC60">
            <v>17.975000000000001</v>
          </cell>
          <cell r="AD60">
            <v>19.55</v>
          </cell>
          <cell r="AE60">
            <v>20.53</v>
          </cell>
          <cell r="AF60">
            <v>20.92</v>
          </cell>
          <cell r="AG60">
            <v>23.88</v>
          </cell>
          <cell r="AH60">
            <v>21.22</v>
          </cell>
          <cell r="AI60">
            <v>22.59</v>
          </cell>
          <cell r="AJ60">
            <v>19.239999999999998</v>
          </cell>
          <cell r="AK60">
            <v>19.57</v>
          </cell>
          <cell r="AL60">
            <v>19.11</v>
          </cell>
          <cell r="AM60">
            <v>20.127499999999998</v>
          </cell>
          <cell r="AN60">
            <v>15.5</v>
          </cell>
          <cell r="AO60">
            <v>13.55</v>
          </cell>
          <cell r="AP60">
            <v>12.35</v>
          </cell>
          <cell r="AQ60">
            <v>11.69</v>
          </cell>
          <cell r="AR60">
            <v>13.272499999999999</v>
          </cell>
          <cell r="AS60">
            <v>11.53</v>
          </cell>
          <cell r="AT60">
            <v>16.2</v>
          </cell>
          <cell r="AU60">
            <v>20.23</v>
          </cell>
          <cell r="AV60">
            <v>20.92</v>
          </cell>
          <cell r="AW60">
            <v>17.22</v>
          </cell>
          <cell r="AX60">
            <v>22.19</v>
          </cell>
          <cell r="AY60">
            <v>22.66</v>
          </cell>
          <cell r="AZ60">
            <v>29.72</v>
          </cell>
          <cell r="BA60">
            <v>30.23</v>
          </cell>
          <cell r="BB60">
            <v>26.2</v>
          </cell>
        </row>
        <row r="62">
          <cell r="A62" t="str">
            <v>Crude Production Revenue</v>
          </cell>
        </row>
        <row r="63">
          <cell r="A63" t="str">
            <v>Daily ($ 000s)</v>
          </cell>
          <cell r="B63">
            <v>4.0149399999999993</v>
          </cell>
          <cell r="C63">
            <v>2.84544</v>
          </cell>
          <cell r="D63">
            <v>9.4223999999999997</v>
          </cell>
          <cell r="E63">
            <v>7.6080000000000005</v>
          </cell>
          <cell r="F63">
            <v>7.6920000000000002</v>
          </cell>
          <cell r="G63">
            <v>7.9840000000000009</v>
          </cell>
          <cell r="H63">
            <v>8.3800000000000008</v>
          </cell>
          <cell r="I63">
            <v>7.9200000000000008</v>
          </cell>
          <cell r="J63">
            <v>7.2692999999999994</v>
          </cell>
          <cell r="K63">
            <v>7.9803360000000003</v>
          </cell>
          <cell r="L63">
            <v>8.9741</v>
          </cell>
          <cell r="M63">
            <v>7.3280000000000003</v>
          </cell>
          <cell r="N63">
            <v>7.6030000000000006</v>
          </cell>
          <cell r="O63">
            <v>7.6969999999999992</v>
          </cell>
          <cell r="P63">
            <v>19.296439999999997</v>
          </cell>
          <cell r="Q63">
            <v>17.595200000000002</v>
          </cell>
          <cell r="R63">
            <v>17.130978260869565</v>
          </cell>
          <cell r="S63">
            <v>15.706851986301368</v>
          </cell>
          <cell r="T63">
            <v>13.698600000000001</v>
          </cell>
          <cell r="U63">
            <v>30.779999999999998</v>
          </cell>
          <cell r="V63">
            <v>41.293913043478263</v>
          </cell>
          <cell r="W63">
            <v>40.867173913043473</v>
          </cell>
          <cell r="X63">
            <v>30.870480821917809</v>
          </cell>
          <cell r="Y63">
            <v>34.615555555555552</v>
          </cell>
          <cell r="Z63">
            <v>34.659340659340657</v>
          </cell>
          <cell r="AA63">
            <v>23.062717391304346</v>
          </cell>
          <cell r="AB63">
            <v>29.326521739130435</v>
          </cell>
          <cell r="AC63">
            <v>30.381397260273978</v>
          </cell>
          <cell r="AD63">
            <v>29.542222222222222</v>
          </cell>
          <cell r="AE63">
            <v>32.261428571428574</v>
          </cell>
          <cell r="AF63">
            <v>33.426521739130436</v>
          </cell>
          <cell r="AG63">
            <v>30.369130434782608</v>
          </cell>
          <cell r="AH63">
            <v>31.568383561643834</v>
          </cell>
          <cell r="AI63">
            <v>35.641999999999996</v>
          </cell>
          <cell r="AJ63">
            <v>32.348571428571425</v>
          </cell>
          <cell r="AK63">
            <v>29.567717391304349</v>
          </cell>
          <cell r="AL63">
            <v>29.080434782608698</v>
          </cell>
          <cell r="AM63">
            <v>31.652561643835611</v>
          </cell>
          <cell r="AN63">
            <v>23.93888888888889</v>
          </cell>
          <cell r="AO63">
            <v>20.995054945054946</v>
          </cell>
          <cell r="AP63">
            <v>23.357608695652171</v>
          </cell>
          <cell r="AQ63">
            <v>22.744673913043478</v>
          </cell>
          <cell r="AR63">
            <v>23.017787671232877</v>
          </cell>
          <cell r="AS63">
            <v>30.618555555555552</v>
          </cell>
          <cell r="AT63">
            <v>43.259340659340651</v>
          </cell>
          <cell r="AU63">
            <v>53.213695652173918</v>
          </cell>
          <cell r="AV63">
            <v>51.163043478260875</v>
          </cell>
          <cell r="AW63">
            <v>44.771999999999998</v>
          </cell>
          <cell r="AX63">
            <v>49.25692307692308</v>
          </cell>
          <cell r="AY63">
            <v>51.047252747252749</v>
          </cell>
          <cell r="AZ63">
            <v>83.991304347826087</v>
          </cell>
          <cell r="BA63">
            <v>97.590326086956523</v>
          </cell>
          <cell r="BB63">
            <v>69.00765027322403</v>
          </cell>
        </row>
        <row r="64">
          <cell r="A64" t="str">
            <v>Period ($ Millions)</v>
          </cell>
          <cell r="B64">
            <v>1.46946804</v>
          </cell>
          <cell r="C64">
            <v>1.0385855999999998</v>
          </cell>
          <cell r="D64">
            <v>3.4391759999999993</v>
          </cell>
          <cell r="E64">
            <v>0.68472</v>
          </cell>
          <cell r="F64">
            <v>0.69997199999999993</v>
          </cell>
          <cell r="G64">
            <v>0.73452800000000018</v>
          </cell>
          <cell r="H64">
            <v>0.77096000000000009</v>
          </cell>
          <cell r="I64">
            <v>2.8908</v>
          </cell>
          <cell r="J64">
            <v>0.66150629999999988</v>
          </cell>
          <cell r="K64">
            <v>0.72621057600000005</v>
          </cell>
          <cell r="L64">
            <v>0.9</v>
          </cell>
          <cell r="M64">
            <v>0.674176</v>
          </cell>
          <cell r="N64">
            <v>2.7750950000000003</v>
          </cell>
          <cell r="O64">
            <v>0.69273000000000007</v>
          </cell>
          <cell r="P64">
            <v>1.7559760399999997</v>
          </cell>
          <cell r="Q64">
            <v>1.6187584000000002</v>
          </cell>
          <cell r="R64">
            <v>1.57605</v>
          </cell>
          <cell r="S64">
            <v>5.7330009749999995</v>
          </cell>
          <cell r="T64">
            <v>1.232874</v>
          </cell>
          <cell r="U64">
            <v>2.80098</v>
          </cell>
          <cell r="V64">
            <v>3.7990400000000006</v>
          </cell>
          <cell r="W64">
            <v>3.7597799999999997</v>
          </cell>
          <cell r="X64">
            <v>11.267725500000001</v>
          </cell>
          <cell r="Y64">
            <v>3.1154000000000002</v>
          </cell>
          <cell r="Z64">
            <v>3.1539999999999999</v>
          </cell>
          <cell r="AA64">
            <v>2.1217700000000002</v>
          </cell>
          <cell r="AB64">
            <v>2.6980399999999998</v>
          </cell>
          <cell r="AC64">
            <v>11.089210000000001</v>
          </cell>
          <cell r="AD64">
            <v>2.6588000000000003</v>
          </cell>
          <cell r="AE64">
            <v>2.9357899999999999</v>
          </cell>
          <cell r="AF64">
            <v>3.0752400000000004</v>
          </cell>
          <cell r="AG64">
            <v>2.7939600000000002</v>
          </cell>
          <cell r="AH64">
            <v>11.522459999999999</v>
          </cell>
          <cell r="AI64">
            <v>3.2077800000000001</v>
          </cell>
          <cell r="AJ64">
            <v>2.9437199999999999</v>
          </cell>
          <cell r="AK64">
            <v>2.7202299999999999</v>
          </cell>
          <cell r="AL64">
            <v>2.6754000000000002</v>
          </cell>
          <cell r="AM64">
            <v>11.553184999999999</v>
          </cell>
          <cell r="AN64">
            <v>2.1545000000000001</v>
          </cell>
          <cell r="AO64">
            <v>1.9105500000000002</v>
          </cell>
          <cell r="AP64">
            <v>2.1489000000000003</v>
          </cell>
          <cell r="AQ64">
            <v>2.0925099999999999</v>
          </cell>
          <cell r="AR64">
            <v>8.4014924999999998</v>
          </cell>
          <cell r="AS64">
            <v>2.7556700000000003</v>
          </cell>
          <cell r="AT64">
            <v>3.9365999999999999</v>
          </cell>
          <cell r="AU64">
            <v>4.8956599999999995</v>
          </cell>
          <cell r="AV64">
            <v>4.7069999999999999</v>
          </cell>
          <cell r="AW64">
            <v>16.34178</v>
          </cell>
          <cell r="AX64">
            <v>4.48238</v>
          </cell>
          <cell r="AY64">
            <v>4.6452999999999998</v>
          </cell>
          <cell r="AZ64">
            <v>7.7271999999999998</v>
          </cell>
          <cell r="BA64">
            <v>8.9783099999999987</v>
          </cell>
          <cell r="BB64">
            <v>25.256799999999998</v>
          </cell>
        </row>
        <row r="66">
          <cell r="A66" t="str">
            <v>Ngls</v>
          </cell>
        </row>
        <row r="67">
          <cell r="A67" t="str">
            <v xml:space="preserve">Quarter </v>
          </cell>
          <cell r="Y67">
            <v>38</v>
          </cell>
          <cell r="AD67">
            <v>20</v>
          </cell>
          <cell r="AE67">
            <v>20</v>
          </cell>
          <cell r="AF67">
            <v>20</v>
          </cell>
          <cell r="AG67">
            <v>15</v>
          </cell>
          <cell r="AH67">
            <v>75</v>
          </cell>
          <cell r="AI67">
            <v>13</v>
          </cell>
          <cell r="AJ67">
            <v>13</v>
          </cell>
          <cell r="AK67">
            <v>14</v>
          </cell>
          <cell r="AL67">
            <v>17</v>
          </cell>
          <cell r="AM67">
            <v>57</v>
          </cell>
          <cell r="AN67">
            <v>14.25</v>
          </cell>
          <cell r="AO67">
            <v>29</v>
          </cell>
          <cell r="AP67">
            <v>16</v>
          </cell>
          <cell r="AQ67">
            <v>15</v>
          </cell>
          <cell r="AR67">
            <v>74.25</v>
          </cell>
        </row>
        <row r="68">
          <cell r="A68" t="str">
            <v>$/Bbl</v>
          </cell>
          <cell r="AD68">
            <v>11.73</v>
          </cell>
          <cell r="AE68">
            <v>12.318</v>
          </cell>
          <cell r="AF68">
            <v>12.552000000000001</v>
          </cell>
          <cell r="AG68">
            <v>14.327999999999999</v>
          </cell>
          <cell r="AH68">
            <v>12.731999999999999</v>
          </cell>
          <cell r="AI68">
            <v>13.554</v>
          </cell>
          <cell r="AJ68">
            <v>11.543999999999999</v>
          </cell>
          <cell r="AK68">
            <v>11.741999999999999</v>
          </cell>
          <cell r="AL68">
            <v>12.4215</v>
          </cell>
          <cell r="AM68">
            <v>12.076499999999998</v>
          </cell>
          <cell r="AN68">
            <v>9.2999999999999989</v>
          </cell>
          <cell r="AO68">
            <v>8.1300000000000008</v>
          </cell>
          <cell r="AP68">
            <v>7.4099999999999993</v>
          </cell>
          <cell r="AQ68">
            <v>7.0139999999999993</v>
          </cell>
          <cell r="AR68">
            <v>7.9634999999999998</v>
          </cell>
        </row>
        <row r="69">
          <cell r="A69" t="str">
            <v>Period Revenue ($ Millions)</v>
          </cell>
          <cell r="AD69">
            <v>234.60000000000002</v>
          </cell>
          <cell r="AE69">
            <v>246.35999999999999</v>
          </cell>
          <cell r="AF69">
            <v>251.04000000000002</v>
          </cell>
          <cell r="AG69">
            <v>214.92</v>
          </cell>
          <cell r="AH69">
            <v>946.92</v>
          </cell>
          <cell r="AI69">
            <v>176.202</v>
          </cell>
          <cell r="AJ69">
            <v>150.07199999999997</v>
          </cell>
          <cell r="AK69">
            <v>164.38799999999998</v>
          </cell>
          <cell r="AL69">
            <v>211.16550000000001</v>
          </cell>
          <cell r="AM69">
            <v>701.82749999999999</v>
          </cell>
          <cell r="AN69">
            <v>132.52499999999998</v>
          </cell>
          <cell r="AO69">
            <v>235.77</v>
          </cell>
          <cell r="AP69">
            <v>118.55999999999999</v>
          </cell>
          <cell r="AQ69">
            <v>105.21</v>
          </cell>
          <cell r="AR69">
            <v>592.06499999999994</v>
          </cell>
        </row>
        <row r="71">
          <cell r="A71" t="str">
            <v>PERIOD ENERGY EQUIVALENT PRODUCTION UNITS</v>
          </cell>
        </row>
        <row r="72">
          <cell r="A72" t="str">
            <v>Bcfe</v>
          </cell>
          <cell r="B72">
            <v>22.152376</v>
          </cell>
          <cell r="C72">
            <v>36.141639999999995</v>
          </cell>
          <cell r="D72">
            <v>40.726700000000001</v>
          </cell>
          <cell r="E72">
            <v>11.061</v>
          </cell>
          <cell r="F72">
            <v>10.683400000000001</v>
          </cell>
          <cell r="G72">
            <v>10.497199999999999</v>
          </cell>
          <cell r="H72">
            <v>12.208400000000001</v>
          </cell>
          <cell r="I72">
            <v>44.457000000000001</v>
          </cell>
          <cell r="J72">
            <v>12.523860000000001</v>
          </cell>
          <cell r="K72">
            <v>11.512009599999999</v>
          </cell>
          <cell r="L72">
            <v>10.93736</v>
          </cell>
          <cell r="M72">
            <v>11.3848</v>
          </cell>
          <cell r="N72">
            <v>46.384</v>
          </cell>
          <cell r="O72">
            <v>11.347200000000001</v>
          </cell>
          <cell r="P72">
            <v>11.575018</v>
          </cell>
          <cell r="Q72">
            <v>12.210239999999999</v>
          </cell>
          <cell r="R72">
            <v>13.430000000000001</v>
          </cell>
          <cell r="S72">
            <v>48.562457999999999</v>
          </cell>
          <cell r="T72">
            <v>12.850800000000001</v>
          </cell>
          <cell r="U72">
            <v>15.667899999999999</v>
          </cell>
          <cell r="V72">
            <v>17.122</v>
          </cell>
          <cell r="W72">
            <v>16.748000000000001</v>
          </cell>
          <cell r="X72">
            <v>62.388699999999993</v>
          </cell>
          <cell r="Y72">
            <v>16.510000000000002</v>
          </cell>
          <cell r="Z72">
            <v>15.896000000000001</v>
          </cell>
          <cell r="AA72">
            <v>14.013999999999999</v>
          </cell>
          <cell r="AB72">
            <v>15.087999999999999</v>
          </cell>
          <cell r="AC72">
            <v>61.507999999999996</v>
          </cell>
          <cell r="AD72">
            <v>15.016</v>
          </cell>
          <cell r="AE72">
            <v>15.757999999999999</v>
          </cell>
          <cell r="AF72">
            <v>15.082000000000001</v>
          </cell>
          <cell r="AG72">
            <v>16.202000000000002</v>
          </cell>
          <cell r="AH72">
            <v>62.058</v>
          </cell>
          <cell r="AI72">
            <v>15.951999999999998</v>
          </cell>
          <cell r="AJ72">
            <v>16.917999999999999</v>
          </cell>
          <cell r="AK72">
            <v>17.533999999999999</v>
          </cell>
          <cell r="AL72">
            <v>16.939999999999998</v>
          </cell>
          <cell r="AM72">
            <v>67.343999999999994</v>
          </cell>
          <cell r="AN72">
            <v>16.334</v>
          </cell>
          <cell r="AO72">
            <v>17.445999999999998</v>
          </cell>
          <cell r="AP72">
            <v>17.544</v>
          </cell>
          <cell r="AQ72">
            <v>16.673999999999999</v>
          </cell>
          <cell r="AR72">
            <v>67.998000000000005</v>
          </cell>
          <cell r="AS72">
            <v>17.534000000000002</v>
          </cell>
          <cell r="AT72">
            <v>18.457999999999998</v>
          </cell>
          <cell r="AU72">
            <v>18.552</v>
          </cell>
          <cell r="AV72">
            <v>16.73</v>
          </cell>
          <cell r="AW72">
            <v>71.274000000000001</v>
          </cell>
          <cell r="AX72">
            <v>16.412000000000003</v>
          </cell>
          <cell r="AY72">
            <v>15.93</v>
          </cell>
          <cell r="AZ72">
            <v>17.059999999999999</v>
          </cell>
          <cell r="BA72">
            <v>17.282</v>
          </cell>
          <cell r="BB72">
            <v>66.683999999999997</v>
          </cell>
        </row>
        <row r="73">
          <cell r="A73" t="str">
            <v>MMBOEs</v>
          </cell>
          <cell r="B73">
            <v>3.6920626666666667</v>
          </cell>
          <cell r="C73">
            <v>6.0236066666666659</v>
          </cell>
          <cell r="D73">
            <v>6.7877833333333335</v>
          </cell>
          <cell r="E73">
            <v>1.8435000000000001</v>
          </cell>
          <cell r="F73">
            <v>1.7805666666666666</v>
          </cell>
          <cell r="G73">
            <v>1.7495333333333332</v>
          </cell>
          <cell r="H73">
            <v>2.0347333333333335</v>
          </cell>
          <cell r="I73">
            <v>7.4095000000000004</v>
          </cell>
          <cell r="J73">
            <v>2.0873100000000004</v>
          </cell>
          <cell r="K73">
            <v>1.9186682666666666</v>
          </cell>
          <cell r="L73">
            <v>1.8228933333333333</v>
          </cell>
          <cell r="M73">
            <v>1.8974666666666666</v>
          </cell>
          <cell r="N73">
            <v>7.730666666666667</v>
          </cell>
          <cell r="O73">
            <v>1.8912</v>
          </cell>
          <cell r="P73">
            <v>1.9291696666666667</v>
          </cell>
          <cell r="Q73">
            <v>2.0350399999999995</v>
          </cell>
          <cell r="R73">
            <v>2.2383333333333333</v>
          </cell>
          <cell r="S73">
            <v>8.0937429999999999</v>
          </cell>
          <cell r="T73">
            <v>2.1418000000000004</v>
          </cell>
          <cell r="U73">
            <v>2.6113166666666663</v>
          </cell>
          <cell r="V73">
            <v>2.8536666666666668</v>
          </cell>
          <cell r="W73">
            <v>2.7913333333333332</v>
          </cell>
          <cell r="X73">
            <v>10.398116666666667</v>
          </cell>
          <cell r="Y73">
            <v>2.7516666666666669</v>
          </cell>
          <cell r="Z73">
            <v>2.6493333333333333</v>
          </cell>
          <cell r="AA73">
            <v>2.3356666666666666</v>
          </cell>
          <cell r="AB73">
            <v>2.5146666666666668</v>
          </cell>
          <cell r="AC73">
            <v>10.251333333333333</v>
          </cell>
          <cell r="AD73">
            <v>2.5026666666666668</v>
          </cell>
          <cell r="AE73">
            <v>2.6263333333333327</v>
          </cell>
          <cell r="AF73">
            <v>2.5136666666666669</v>
          </cell>
          <cell r="AG73">
            <v>2.7003333333333335</v>
          </cell>
          <cell r="AH73">
            <v>10.342999999999998</v>
          </cell>
          <cell r="AI73">
            <v>2.6586666666666661</v>
          </cell>
          <cell r="AJ73">
            <v>2.8196666666666665</v>
          </cell>
          <cell r="AK73">
            <v>2.922333333333333</v>
          </cell>
          <cell r="AL73">
            <v>2.8233333333333333</v>
          </cell>
          <cell r="AM73">
            <v>11.224</v>
          </cell>
          <cell r="AN73">
            <v>2.7223333333333333</v>
          </cell>
          <cell r="AO73">
            <v>2.9076666666666662</v>
          </cell>
          <cell r="AP73">
            <v>2.9239999999999999</v>
          </cell>
          <cell r="AQ73">
            <v>2.7789999999999995</v>
          </cell>
          <cell r="AR73">
            <v>11.333000000000002</v>
          </cell>
          <cell r="AS73">
            <v>2.9223333333333334</v>
          </cell>
          <cell r="AT73">
            <v>3.0763333333333334</v>
          </cell>
          <cell r="AU73">
            <v>3.0920000000000001</v>
          </cell>
          <cell r="AV73">
            <v>2.7883333333333331</v>
          </cell>
          <cell r="AW73">
            <v>11.879</v>
          </cell>
          <cell r="AX73">
            <v>2.7353333333333336</v>
          </cell>
          <cell r="AY73">
            <v>2.6549999999999998</v>
          </cell>
          <cell r="AZ73">
            <v>2.8433333333333333</v>
          </cell>
          <cell r="BA73">
            <v>2.8803333333333336</v>
          </cell>
          <cell r="BB73">
            <v>11.114000000000001</v>
          </cell>
        </row>
        <row r="75">
          <cell r="A75" t="str">
            <v>MCFE ANALYSIS</v>
          </cell>
        </row>
        <row r="76">
          <cell r="A76" t="str">
            <v>$ Operating Expenses Per Energy Equivalent Unit(s)</v>
          </cell>
        </row>
        <row r="77">
          <cell r="A77" t="str">
            <v>Per Mcfe</v>
          </cell>
        </row>
        <row r="79">
          <cell r="A79" t="str">
            <v>Production</v>
          </cell>
          <cell r="B79">
            <v>1.1614555477028738</v>
          </cell>
          <cell r="C79">
            <v>0.61444361683642479</v>
          </cell>
          <cell r="D79">
            <v>0.64250233876056739</v>
          </cell>
          <cell r="E79">
            <v>0.55401862399421387</v>
          </cell>
          <cell r="F79">
            <v>0.61572158676076905</v>
          </cell>
          <cell r="G79">
            <v>0.59492055024196933</v>
          </cell>
          <cell r="H79">
            <v>0.53422233871760427</v>
          </cell>
          <cell r="I79">
            <v>0.57298063297118562</v>
          </cell>
          <cell r="J79">
            <v>0.47908552155645301</v>
          </cell>
          <cell r="K79">
            <v>0.51250825920089582</v>
          </cell>
          <cell r="L79">
            <v>0.55762999480679065</v>
          </cell>
          <cell r="M79">
            <v>0.57972032885953195</v>
          </cell>
          <cell r="N79">
            <v>0.53033373577095544</v>
          </cell>
          <cell r="O79">
            <v>0.60763888888888884</v>
          </cell>
          <cell r="P79">
            <v>0.60734246806354864</v>
          </cell>
          <cell r="Q79">
            <v>0.58147915192494171</v>
          </cell>
          <cell r="R79">
            <v>0.57289650037230078</v>
          </cell>
          <cell r="S79">
            <v>0.59138275084840219</v>
          </cell>
          <cell r="T79">
            <v>0.58043079030099287</v>
          </cell>
          <cell r="U79">
            <v>0.5550839614753732</v>
          </cell>
          <cell r="V79">
            <v>0.50981193785772683</v>
          </cell>
          <cell r="W79">
            <v>0.50441843802245045</v>
          </cell>
          <cell r="X79">
            <v>0.53427944483536283</v>
          </cell>
          <cell r="Y79">
            <v>0.44173228346456689</v>
          </cell>
          <cell r="Z79">
            <v>0.41607951685958727</v>
          </cell>
          <cell r="AA79">
            <v>0.48415869844441278</v>
          </cell>
          <cell r="AB79">
            <v>0.50609756097560976</v>
          </cell>
          <cell r="AC79">
            <v>0.46055797619821814</v>
          </cell>
          <cell r="AD79">
            <v>0.4543153969099627</v>
          </cell>
          <cell r="AE79">
            <v>0.43171722299784238</v>
          </cell>
          <cell r="AF79">
            <v>0.46147725765813552</v>
          </cell>
          <cell r="AG79">
            <v>0.49222318232316992</v>
          </cell>
          <cell r="AH79">
            <v>0.46021463791936579</v>
          </cell>
          <cell r="AI79">
            <v>0.44314192577733202</v>
          </cell>
          <cell r="AJ79">
            <v>0.43527603735666154</v>
          </cell>
          <cell r="AK79">
            <v>0.40800730010265773</v>
          </cell>
          <cell r="AL79">
            <v>0.46003541912632828</v>
          </cell>
          <cell r="AM79">
            <v>0.43626752197671659</v>
          </cell>
          <cell r="AN79">
            <v>0.42634994490020817</v>
          </cell>
          <cell r="AO79">
            <v>0.43173220222400555</v>
          </cell>
          <cell r="AP79">
            <v>0.42914956680346555</v>
          </cell>
          <cell r="AQ79">
            <v>0.49322298188796931</v>
          </cell>
          <cell r="AR79">
            <v>0.44485131915644571</v>
          </cell>
          <cell r="AS79">
            <v>0.44753051214782702</v>
          </cell>
          <cell r="AT79">
            <v>0.42052226676779719</v>
          </cell>
          <cell r="AU79">
            <v>0.4582794307891333</v>
          </cell>
          <cell r="AV79">
            <v>0.55265989240884639</v>
          </cell>
          <cell r="AW79">
            <v>0.46801077531778768</v>
          </cell>
          <cell r="AX79">
            <v>0.51858396295393605</v>
          </cell>
          <cell r="AY79">
            <v>0.53622096672944131</v>
          </cell>
          <cell r="AZ79">
            <v>0.51101992966002352</v>
          </cell>
          <cell r="BA79">
            <v>0.54600162018284926</v>
          </cell>
          <cell r="BB79">
            <v>0.52796772839061834</v>
          </cell>
        </row>
        <row r="80">
          <cell r="A80" t="str">
            <v>Production Taxes</v>
          </cell>
          <cell r="B80">
            <v>0.28159507585100579</v>
          </cell>
          <cell r="C80">
            <v>0.18302987910897239</v>
          </cell>
          <cell r="D80">
            <v>0.12613347018049584</v>
          </cell>
          <cell r="E80">
            <v>0.17783202242111926</v>
          </cell>
          <cell r="F80">
            <v>0.13750304210270139</v>
          </cell>
          <cell r="G80">
            <v>0.10555195671226614</v>
          </cell>
          <cell r="H80">
            <v>0.18905016218341467</v>
          </cell>
          <cell r="I80">
            <v>0.15412645927525476</v>
          </cell>
          <cell r="J80">
            <v>0.15969517385215101</v>
          </cell>
          <cell r="K80">
            <v>0.1549467128727898</v>
          </cell>
          <cell r="L80">
            <v>0.12414330331999678</v>
          </cell>
          <cell r="M80">
            <v>0.1756728269271309</v>
          </cell>
          <cell r="N80">
            <v>0.15396576505001724</v>
          </cell>
          <cell r="O80">
            <v>0.19678863508178229</v>
          </cell>
          <cell r="P80">
            <v>0.1975806862676153</v>
          </cell>
          <cell r="Q80">
            <v>0.18836648583484028</v>
          </cell>
          <cell r="R80">
            <v>0.19910647803425166</v>
          </cell>
          <cell r="S80">
            <v>0.19550081258242735</v>
          </cell>
          <cell r="T80">
            <v>0.20348927693217542</v>
          </cell>
          <cell r="U80">
            <v>0.19007014341424189</v>
          </cell>
          <cell r="V80">
            <v>0.19238406728185961</v>
          </cell>
          <cell r="W80">
            <v>0.19423214712204442</v>
          </cell>
          <cell r="X80">
            <v>0.1945865196742359</v>
          </cell>
          <cell r="Y80">
            <v>0.17692307692307691</v>
          </cell>
          <cell r="Z80">
            <v>0.1806114745848012</v>
          </cell>
          <cell r="AA80">
            <v>0.21285857000142716</v>
          </cell>
          <cell r="AB80">
            <v>0.16171792152704137</v>
          </cell>
          <cell r="AC80">
            <v>0.18233400533263966</v>
          </cell>
          <cell r="AD80">
            <v>0.22669152903569526</v>
          </cell>
          <cell r="AE80">
            <v>0.19755045056479251</v>
          </cell>
          <cell r="AF80">
            <v>0.19155284445033813</v>
          </cell>
          <cell r="AG80">
            <v>0.21102333045303048</v>
          </cell>
          <cell r="AH80">
            <v>0.20666151020013535</v>
          </cell>
          <cell r="AI80">
            <v>0.25589267803410232</v>
          </cell>
          <cell r="AJ80">
            <v>0.20599361626669818</v>
          </cell>
          <cell r="AK80">
            <v>0.19676057944564848</v>
          </cell>
          <cell r="AL80">
            <v>0.22768595041322318</v>
          </cell>
          <cell r="AM80">
            <v>0.22086600142551674</v>
          </cell>
          <cell r="AN80">
            <v>0.23258234357781316</v>
          </cell>
          <cell r="AO80">
            <v>0.23134242806373953</v>
          </cell>
          <cell r="AP80">
            <v>0.21523027815777471</v>
          </cell>
          <cell r="AQ80">
            <v>0.22274199352284996</v>
          </cell>
          <cell r="AR80">
            <v>0.22537427571399157</v>
          </cell>
          <cell r="AS80">
            <v>0.20748260522413592</v>
          </cell>
          <cell r="AT80">
            <v>0.22564741575468633</v>
          </cell>
          <cell r="AU80">
            <v>0.25695342820181116</v>
          </cell>
          <cell r="AV80">
            <v>0.26407650926479381</v>
          </cell>
          <cell r="AW80">
            <v>0.23834778460588713</v>
          </cell>
          <cell r="AX80">
            <v>0.28034365098708258</v>
          </cell>
          <cell r="AY80">
            <v>0.31098556183301945</v>
          </cell>
          <cell r="AZ80">
            <v>0.3526377491207503</v>
          </cell>
          <cell r="BA80">
            <v>0.43224163869922461</v>
          </cell>
          <cell r="BB80">
            <v>0.34552516345750106</v>
          </cell>
        </row>
        <row r="81">
          <cell r="A81" t="str">
            <v>Total LOE</v>
          </cell>
          <cell r="B81">
            <v>1.4430506235538796</v>
          </cell>
          <cell r="C81">
            <v>0.79747349594539718</v>
          </cell>
          <cell r="D81">
            <v>0.7686358089410632</v>
          </cell>
          <cell r="E81">
            <v>0.73185064641533315</v>
          </cell>
          <cell r="F81">
            <v>0.75322462886347041</v>
          </cell>
          <cell r="G81">
            <v>0.70047250695423546</v>
          </cell>
          <cell r="H81">
            <v>0.72327250090101891</v>
          </cell>
          <cell r="I81">
            <v>0.72710709224644043</v>
          </cell>
          <cell r="J81">
            <v>0.63878069540860405</v>
          </cell>
          <cell r="K81">
            <v>0.66745497207368565</v>
          </cell>
          <cell r="L81">
            <v>0.68177329812678744</v>
          </cell>
          <cell r="M81">
            <v>0.75539315578666288</v>
          </cell>
          <cell r="N81">
            <v>0.68429950082097268</v>
          </cell>
          <cell r="O81">
            <v>0.80442752397067108</v>
          </cell>
          <cell r="P81">
            <v>0.8049231543311639</v>
          </cell>
          <cell r="Q81">
            <v>0.76984563775978199</v>
          </cell>
          <cell r="R81">
            <v>0.77200297840655241</v>
          </cell>
          <cell r="S81">
            <v>0.78688356343082955</v>
          </cell>
          <cell r="T81">
            <v>0.78392006723316832</v>
          </cell>
          <cell r="U81">
            <v>0.74515410488961509</v>
          </cell>
          <cell r="V81">
            <v>0.70219600513958647</v>
          </cell>
          <cell r="W81">
            <v>0.69865058514449485</v>
          </cell>
          <cell r="X81">
            <v>0.72886596450959873</v>
          </cell>
          <cell r="Y81">
            <v>0.61865536038764379</v>
          </cell>
          <cell r="Z81">
            <v>0.59669099144438853</v>
          </cell>
          <cell r="AA81">
            <v>0.69701726844584</v>
          </cell>
          <cell r="AB81">
            <v>0.6678154825026511</v>
          </cell>
          <cell r="AC81">
            <v>0.6428919815308578</v>
          </cell>
          <cell r="AD81">
            <v>0.68100692594565793</v>
          </cell>
          <cell r="AE81">
            <v>0.62926767356263491</v>
          </cell>
          <cell r="AF81">
            <v>0.65303010210847368</v>
          </cell>
          <cell r="AG81">
            <v>0.70324651277620043</v>
          </cell>
          <cell r="AH81">
            <v>0.66687614811950113</v>
          </cell>
          <cell r="AI81">
            <v>0.69903460381143434</v>
          </cell>
          <cell r="AJ81">
            <v>0.64126965362335975</v>
          </cell>
          <cell r="AK81">
            <v>0.60476787954830624</v>
          </cell>
          <cell r="AL81">
            <v>0.68772136953955143</v>
          </cell>
          <cell r="AM81">
            <v>0.6571335234022333</v>
          </cell>
          <cell r="AN81">
            <v>0.65893228847802132</v>
          </cell>
          <cell r="AO81">
            <v>0.66307463028774505</v>
          </cell>
          <cell r="AP81">
            <v>0.64437984496124023</v>
          </cell>
          <cell r="AQ81">
            <v>0.71596497541081927</v>
          </cell>
          <cell r="AR81">
            <v>0.67022559487043731</v>
          </cell>
          <cell r="AS81">
            <v>0.65501311737196288</v>
          </cell>
          <cell r="AT81">
            <v>0.64616968252248352</v>
          </cell>
          <cell r="AU81">
            <v>0.71523285899094446</v>
          </cell>
          <cell r="AV81">
            <v>0.81673640167364026</v>
          </cell>
          <cell r="AW81">
            <v>0.7063585599236748</v>
          </cell>
          <cell r="AX81">
            <v>0.79892761394101863</v>
          </cell>
          <cell r="AY81">
            <v>0.84720652856246081</v>
          </cell>
          <cell r="AZ81">
            <v>0.86365767878077382</v>
          </cell>
          <cell r="BA81">
            <v>0.97824325888207386</v>
          </cell>
          <cell r="BB81">
            <v>0.8734928918481194</v>
          </cell>
        </row>
        <row r="83">
          <cell r="A83" t="str">
            <v>G&amp;A</v>
          </cell>
          <cell r="B83">
            <v>0.61790211578207233</v>
          </cell>
          <cell r="C83">
            <v>0.38351884419190724</v>
          </cell>
          <cell r="D83">
            <v>0.44977864644078702</v>
          </cell>
          <cell r="E83">
            <v>0.43495163185968716</v>
          </cell>
          <cell r="F83">
            <v>0.49375666922515304</v>
          </cell>
          <cell r="G83">
            <v>0.41820675989787753</v>
          </cell>
          <cell r="H83">
            <v>0.675846138724157</v>
          </cell>
          <cell r="I83">
            <v>0.511213082304249</v>
          </cell>
          <cell r="J83">
            <v>0.32737510639690953</v>
          </cell>
          <cell r="K83">
            <v>0.36483638790572243</v>
          </cell>
          <cell r="L83">
            <v>0.40229086360876853</v>
          </cell>
          <cell r="M83">
            <v>0.41283114327875764</v>
          </cell>
          <cell r="N83">
            <v>0.37512935494998279</v>
          </cell>
          <cell r="O83">
            <v>0.37136914833615342</v>
          </cell>
          <cell r="P83">
            <v>0.37036659467829769</v>
          </cell>
          <cell r="Q83">
            <v>0.36854312445947013</v>
          </cell>
          <cell r="R83">
            <v>0.35845122859270284</v>
          </cell>
          <cell r="S83">
            <v>0.3668471641200699</v>
          </cell>
          <cell r="T83">
            <v>0.32527157842313315</v>
          </cell>
          <cell r="U83">
            <v>0.26723428155655832</v>
          </cell>
          <cell r="V83">
            <v>0.26024997079780404</v>
          </cell>
          <cell r="W83">
            <v>0.26594220205397656</v>
          </cell>
          <cell r="X83">
            <v>0.27692514830409998</v>
          </cell>
          <cell r="Y83">
            <v>0.25808600847970925</v>
          </cell>
          <cell r="Z83">
            <v>0.32656014091595365</v>
          </cell>
          <cell r="AA83">
            <v>0.23355216212359073</v>
          </cell>
          <cell r="AB83">
            <v>0.26895546129374337</v>
          </cell>
          <cell r="AC83">
            <v>0.2728588151134812</v>
          </cell>
          <cell r="AD83">
            <v>0.24906766116142781</v>
          </cell>
          <cell r="AE83">
            <v>0.27427338494732834</v>
          </cell>
          <cell r="AF83">
            <v>0.26355920965389207</v>
          </cell>
          <cell r="AG83">
            <v>0.29570423404517959</v>
          </cell>
          <cell r="AH83">
            <v>0.2711656837152342</v>
          </cell>
          <cell r="AI83">
            <v>0.26053159478435306</v>
          </cell>
          <cell r="AJ83">
            <v>0.27781061591204637</v>
          </cell>
          <cell r="AK83">
            <v>0.28578761263830277</v>
          </cell>
          <cell r="AL83">
            <v>0.34693034238488785</v>
          </cell>
          <cell r="AM83">
            <v>0.29318127821335238</v>
          </cell>
          <cell r="AN83">
            <v>0.3367209501652994</v>
          </cell>
          <cell r="AO83">
            <v>0.33383010432190763</v>
          </cell>
          <cell r="AP83">
            <v>0.28038075695394432</v>
          </cell>
          <cell r="AQ83">
            <v>0.3422694014633561</v>
          </cell>
          <cell r="AR83">
            <v>0.32280361187093737</v>
          </cell>
          <cell r="AS83">
            <v>0.24472453518877607</v>
          </cell>
          <cell r="AT83">
            <v>0.23978762596164269</v>
          </cell>
          <cell r="AU83">
            <v>0.26509271237602416</v>
          </cell>
          <cell r="AV83">
            <v>0.38858338314405261</v>
          </cell>
          <cell r="AW83">
            <v>0.28251536324606452</v>
          </cell>
          <cell r="AX83">
            <v>0.29776992444552758</v>
          </cell>
          <cell r="AY83">
            <v>0.31581920903954808</v>
          </cell>
          <cell r="AZ83">
            <v>0.31172332942555686</v>
          </cell>
          <cell r="BA83">
            <v>0.28272190718666823</v>
          </cell>
          <cell r="BB83">
            <v>0.30175154459840442</v>
          </cell>
        </row>
        <row r="84">
          <cell r="A84" t="str">
            <v>Net Interest Expense</v>
          </cell>
          <cell r="B84">
            <v>0.87268291220770178</v>
          </cell>
          <cell r="C84">
            <v>0.26232899226487788</v>
          </cell>
          <cell r="D84">
            <v>9.0849491856693526E-2</v>
          </cell>
          <cell r="E84">
            <v>-4.6469577795859328E-2</v>
          </cell>
          <cell r="F84">
            <v>-0.21173034801654902</v>
          </cell>
          <cell r="G84">
            <v>-0.22367869527111992</v>
          </cell>
          <cell r="H84">
            <v>-0.20231971429507553</v>
          </cell>
          <cell r="I84">
            <v>-0.1708167442697438</v>
          </cell>
          <cell r="J84">
            <v>-0.19163420862258121</v>
          </cell>
          <cell r="K84">
            <v>-0.2084779359461271</v>
          </cell>
          <cell r="L84">
            <v>-0.22857435432316392</v>
          </cell>
          <cell r="M84">
            <v>-0.21959103365891364</v>
          </cell>
          <cell r="N84">
            <v>-0.21127975163849605</v>
          </cell>
          <cell r="O84">
            <v>-0.22913141567963902</v>
          </cell>
          <cell r="P84">
            <v>-0.21356338279560341</v>
          </cell>
          <cell r="Q84">
            <v>-0.19983227192913491</v>
          </cell>
          <cell r="R84">
            <v>-0.21064780342516753</v>
          </cell>
          <cell r="S84">
            <v>-0.21294226910837177</v>
          </cell>
          <cell r="T84">
            <v>-0.22387711270893637</v>
          </cell>
          <cell r="U84">
            <v>-0.2424064488540264</v>
          </cell>
          <cell r="V84">
            <v>-0.27052914379161314</v>
          </cell>
          <cell r="W84">
            <v>-0.31908287556723192</v>
          </cell>
          <cell r="X84">
            <v>-0.26689127999140871</v>
          </cell>
          <cell r="Y84">
            <v>-0.37874015748031492</v>
          </cell>
          <cell r="Z84">
            <v>-0.36078258681429293</v>
          </cell>
          <cell r="AA84">
            <v>-0.39410589410589408</v>
          </cell>
          <cell r="AB84">
            <v>-0.51477995758218453</v>
          </cell>
          <cell r="AC84">
            <v>-0.41097093061065226</v>
          </cell>
          <cell r="AD84">
            <v>-0.29508524240809803</v>
          </cell>
          <cell r="AE84">
            <v>-0.30206879045564156</v>
          </cell>
          <cell r="AF84">
            <v>-0.30108738894045883</v>
          </cell>
          <cell r="AG84">
            <v>-0.28021231946673247</v>
          </cell>
          <cell r="AH84">
            <v>-0.29443423893776788</v>
          </cell>
          <cell r="AI84">
            <v>-0.28717402206619863</v>
          </cell>
          <cell r="AJ84">
            <v>-0.2575954604563187</v>
          </cell>
          <cell r="AK84">
            <v>-0.26314588798904986</v>
          </cell>
          <cell r="AL84">
            <v>-0.25383707201889022</v>
          </cell>
          <cell r="AM84">
            <v>-0.26510156806842483</v>
          </cell>
          <cell r="AN84">
            <v>-0.26049957144606345</v>
          </cell>
          <cell r="AO84">
            <v>-0.26246704115556574</v>
          </cell>
          <cell r="AP84">
            <v>-0.25210898312813496</v>
          </cell>
          <cell r="AQ84">
            <v>-0.32043900683699172</v>
          </cell>
          <cell r="AR84">
            <v>-0.27353745698402893</v>
          </cell>
          <cell r="AS84">
            <v>-0.38314132542488871</v>
          </cell>
          <cell r="AT84">
            <v>-0.34944197637880597</v>
          </cell>
          <cell r="AU84">
            <v>-0.35068995256576113</v>
          </cell>
          <cell r="AV84">
            <v>-0.36724447101016139</v>
          </cell>
          <cell r="AW84">
            <v>-0.36223587844094618</v>
          </cell>
          <cell r="AX84">
            <v>-0.36381915671459902</v>
          </cell>
          <cell r="AY84">
            <v>-0.33678593848085375</v>
          </cell>
          <cell r="AZ84">
            <v>-0.33464243845252051</v>
          </cell>
          <cell r="BA84">
            <v>-0.33757666936697139</v>
          </cell>
          <cell r="BB84">
            <v>-0.34309579509327576</v>
          </cell>
        </row>
        <row r="85">
          <cell r="A85" t="str">
            <v>Total Cash Expenses</v>
          </cell>
          <cell r="B85">
            <v>2.9336356515436535</v>
          </cell>
          <cell r="C85">
            <v>1.4433213324021823</v>
          </cell>
          <cell r="D85">
            <v>1.3092639472385437</v>
          </cell>
          <cell r="E85">
            <v>1.2132718560708795</v>
          </cell>
          <cell r="F85">
            <v>1.4587116461051726</v>
          </cell>
          <cell r="G85">
            <v>1.3423579621232329</v>
          </cell>
          <cell r="H85">
            <v>1.6014383539202515</v>
          </cell>
          <cell r="I85">
            <v>1.4091369188204332</v>
          </cell>
          <cell r="J85">
            <v>1.1577900104280949</v>
          </cell>
          <cell r="K85">
            <v>1.2407692959255352</v>
          </cell>
          <cell r="L85">
            <v>1.31263851605872</v>
          </cell>
          <cell r="M85">
            <v>1.3878153327243341</v>
          </cell>
          <cell r="N85">
            <v>1.2707086074094516</v>
          </cell>
          <cell r="O85">
            <v>1.4049280879864634</v>
          </cell>
          <cell r="P85">
            <v>1.388853131805065</v>
          </cell>
          <cell r="Q85">
            <v>1.3382210341483871</v>
          </cell>
          <cell r="R85">
            <v>1.3411020104244229</v>
          </cell>
          <cell r="S85">
            <v>1.3666729966592712</v>
          </cell>
          <cell r="T85">
            <v>1.3330687583652376</v>
          </cell>
          <cell r="U85">
            <v>1.2547948353001996</v>
          </cell>
          <cell r="V85">
            <v>1.2329751197290035</v>
          </cell>
          <cell r="W85">
            <v>1.2836756627657033</v>
          </cell>
          <cell r="X85">
            <v>1.2726823928051074</v>
          </cell>
          <cell r="Y85">
            <v>1.255481526347668</v>
          </cell>
          <cell r="Z85">
            <v>1.2840337191746352</v>
          </cell>
          <cell r="AA85">
            <v>1.3246753246753249</v>
          </cell>
          <cell r="AB85">
            <v>1.451550901378579</v>
          </cell>
          <cell r="AC85">
            <v>1.3267217272549914</v>
          </cell>
          <cell r="AD85">
            <v>1.2251598295151838</v>
          </cell>
          <cell r="AE85">
            <v>1.2056098489656049</v>
          </cell>
          <cell r="AF85">
            <v>1.2176767007028246</v>
          </cell>
          <cell r="AG85">
            <v>1.2791630662881126</v>
          </cell>
          <cell r="AH85">
            <v>1.2324760707725031</v>
          </cell>
          <cell r="AI85">
            <v>1.246740220661986</v>
          </cell>
          <cell r="AJ85">
            <v>1.1766757299917248</v>
          </cell>
          <cell r="AK85">
            <v>1.1537013801756588</v>
          </cell>
          <cell r="AL85">
            <v>1.2884887839433294</v>
          </cell>
          <cell r="AM85">
            <v>1.2154163696840106</v>
          </cell>
          <cell r="AN85">
            <v>1.2561528100893842</v>
          </cell>
          <cell r="AO85">
            <v>1.2593717757652185</v>
          </cell>
          <cell r="AP85">
            <v>1.1768695850433195</v>
          </cell>
          <cell r="AQ85">
            <v>1.3786733837111671</v>
          </cell>
          <cell r="AR85">
            <v>1.2665666637254036</v>
          </cell>
          <cell r="AS85">
            <v>1.2828789779856278</v>
          </cell>
          <cell r="AT85">
            <v>1.2353992848629323</v>
          </cell>
          <cell r="AU85">
            <v>1.3310155239327297</v>
          </cell>
          <cell r="AV85">
            <v>1.5725642558278543</v>
          </cell>
          <cell r="AW85">
            <v>1.3511098016106855</v>
          </cell>
          <cell r="AX85">
            <v>1.4605166951011452</v>
          </cell>
          <cell r="AY85">
            <v>1.4998116760828628</v>
          </cell>
          <cell r="AZ85">
            <v>1.5100234466588511</v>
          </cell>
          <cell r="BA85">
            <v>1.5985418354357135</v>
          </cell>
          <cell r="BB85">
            <v>1.5183402315397996</v>
          </cell>
        </row>
        <row r="87">
          <cell r="A87" t="str">
            <v>Non-Cash Expenses</v>
          </cell>
        </row>
        <row r="88">
          <cell r="A88" t="str">
            <v>Exploration Expense</v>
          </cell>
          <cell r="B88">
            <v>0.54400485076634664</v>
          </cell>
          <cell r="C88">
            <v>0.371289183335344</v>
          </cell>
          <cell r="D88">
            <v>0.15031907814775072</v>
          </cell>
          <cell r="E88">
            <v>0.16390923063014193</v>
          </cell>
          <cell r="F88">
            <v>0.16726884699627459</v>
          </cell>
          <cell r="G88">
            <v>0.23453873413862747</v>
          </cell>
          <cell r="H88">
            <v>0.16357589856164609</v>
          </cell>
          <cell r="I88">
            <v>0.18127628944823085</v>
          </cell>
          <cell r="J88">
            <v>7.9847586926075506E-2</v>
          </cell>
          <cell r="K88">
            <v>5.2119483986531774E-2</v>
          </cell>
          <cell r="L88">
            <v>0.11885866424804524</v>
          </cell>
          <cell r="M88">
            <v>0.16688918558077434</v>
          </cell>
          <cell r="N88">
            <v>0.10348395998620215</v>
          </cell>
          <cell r="O88">
            <v>0.1649746192893401</v>
          </cell>
          <cell r="P88">
            <v>0.14980538259206164</v>
          </cell>
          <cell r="Q88">
            <v>0.13103755536336717</v>
          </cell>
          <cell r="R88">
            <v>0.13045420699925539</v>
          </cell>
          <cell r="S88">
            <v>0.14327940319660096</v>
          </cell>
          <cell r="T88">
            <v>7.9139041927350814E-2</v>
          </cell>
          <cell r="U88">
            <v>0.13371287792237635</v>
          </cell>
          <cell r="V88">
            <v>0.12837285363859363</v>
          </cell>
          <cell r="W88">
            <v>0.16145211368521614</v>
          </cell>
          <cell r="X88">
            <v>0.12845274865480452</v>
          </cell>
          <cell r="Y88">
            <v>0.10042398546335553</v>
          </cell>
          <cell r="Z88">
            <v>8.385757423251132E-2</v>
          </cell>
          <cell r="AA88">
            <v>0.14449835878407308</v>
          </cell>
          <cell r="AB88">
            <v>0.19982767762460235</v>
          </cell>
          <cell r="AC88">
            <v>0.13056838134876766</v>
          </cell>
          <cell r="AD88">
            <v>0.16249334043686733</v>
          </cell>
          <cell r="AE88">
            <v>0.23448407158268816</v>
          </cell>
          <cell r="AF88">
            <v>0.19400609998673915</v>
          </cell>
          <cell r="AG88">
            <v>0.22126897913837795</v>
          </cell>
          <cell r="AH88">
            <v>0.20377711173418417</v>
          </cell>
          <cell r="AI88">
            <v>0.22736960882647944</v>
          </cell>
          <cell r="AJ88">
            <v>0.19393545336328172</v>
          </cell>
          <cell r="AK88">
            <v>0.16915706627124447</v>
          </cell>
          <cell r="AL88">
            <v>0.23677685950413227</v>
          </cell>
          <cell r="AM88">
            <v>0.20618020907578996</v>
          </cell>
          <cell r="AN88">
            <v>0.20815476919309417</v>
          </cell>
          <cell r="AO88">
            <v>0.17069815430471172</v>
          </cell>
          <cell r="AP88">
            <v>0.41011171910624716</v>
          </cell>
          <cell r="AQ88">
            <v>0.35918195993762747</v>
          </cell>
          <cell r="AR88">
            <v>0.28768493190976208</v>
          </cell>
          <cell r="AS88">
            <v>0.13830272613208619</v>
          </cell>
          <cell r="AT88">
            <v>0.10916675696175102</v>
          </cell>
          <cell r="AU88">
            <v>0.16133031479085813</v>
          </cell>
          <cell r="AV88">
            <v>0.24249850567842202</v>
          </cell>
          <cell r="AW88">
            <v>0.16120885596430676</v>
          </cell>
          <cell r="AX88">
            <v>0.19699000731172311</v>
          </cell>
          <cell r="AY88">
            <v>0.25310734463276835</v>
          </cell>
          <cell r="AZ88">
            <v>0.27497069167643612</v>
          </cell>
          <cell r="BA88">
            <v>0.44965860432820276</v>
          </cell>
          <cell r="BB88">
            <v>0.29582808469797855</v>
          </cell>
        </row>
        <row r="89">
          <cell r="A89" t="str">
            <v>DD&amp;A</v>
          </cell>
          <cell r="B89">
            <v>1.640681794133505</v>
          </cell>
          <cell r="C89">
            <v>0.99098989420513306</v>
          </cell>
          <cell r="D89">
            <v>0.56687627526904949</v>
          </cell>
          <cell r="E89">
            <v>0.62833378537202789</v>
          </cell>
          <cell r="F89">
            <v>0.57584664058258606</v>
          </cell>
          <cell r="G89">
            <v>0.55729146820104414</v>
          </cell>
          <cell r="H89">
            <v>0.45829101274532286</v>
          </cell>
          <cell r="I89">
            <v>0.55215151719639199</v>
          </cell>
          <cell r="J89">
            <v>0.66273497148642668</v>
          </cell>
          <cell r="K89">
            <v>0.66886671116049112</v>
          </cell>
          <cell r="L89">
            <v>0.70400901131534488</v>
          </cell>
          <cell r="M89">
            <v>0.68512402501581049</v>
          </cell>
          <cell r="N89">
            <v>0.67911348740945154</v>
          </cell>
          <cell r="O89">
            <v>0.62217992103778896</v>
          </cell>
          <cell r="P89">
            <v>0.72051723807254553</v>
          </cell>
          <cell r="Q89">
            <v>0.71251670728830885</v>
          </cell>
          <cell r="R89">
            <v>0.72263588979895743</v>
          </cell>
          <cell r="S89">
            <v>0.69611385815767401</v>
          </cell>
          <cell r="T89">
            <v>0.71746506054097792</v>
          </cell>
          <cell r="U89">
            <v>0.93088416443811883</v>
          </cell>
          <cell r="V89">
            <v>0.9356967643966827</v>
          </cell>
          <cell r="W89">
            <v>0.8389658466682588</v>
          </cell>
          <cell r="X89">
            <v>0.86356984518029722</v>
          </cell>
          <cell r="Y89">
            <v>0.88467595396729248</v>
          </cell>
          <cell r="Z89">
            <v>0.89789884247609453</v>
          </cell>
          <cell r="AA89">
            <v>0.89053803339517634</v>
          </cell>
          <cell r="AB89">
            <v>0.72203075291622487</v>
          </cell>
          <cell r="AC89">
            <v>0.84953176822527143</v>
          </cell>
          <cell r="AD89">
            <v>0.69645711241342567</v>
          </cell>
          <cell r="AE89">
            <v>0.69590049498667339</v>
          </cell>
          <cell r="AF89">
            <v>0.73949078371568755</v>
          </cell>
          <cell r="AG89">
            <v>0.79082829280335754</v>
          </cell>
          <cell r="AH89">
            <v>0.73141254955042057</v>
          </cell>
          <cell r="AI89">
            <v>0.70379889669007034</v>
          </cell>
          <cell r="AJ89">
            <v>0.64020569807305827</v>
          </cell>
          <cell r="AK89">
            <v>0.64794114292232241</v>
          </cell>
          <cell r="AL89">
            <v>0.59238488783943333</v>
          </cell>
          <cell r="AM89">
            <v>0.64525421715371822</v>
          </cell>
          <cell r="AN89">
            <v>0.64062691318721687</v>
          </cell>
          <cell r="AO89">
            <v>0.65493522870572063</v>
          </cell>
          <cell r="AP89">
            <v>0.70354537163702691</v>
          </cell>
          <cell r="AQ89">
            <v>0.68100035984166973</v>
          </cell>
          <cell r="AR89">
            <v>0.67043148327891999</v>
          </cell>
          <cell r="AS89">
            <v>0.81190829246036267</v>
          </cell>
          <cell r="AT89">
            <v>0.84039440892837802</v>
          </cell>
          <cell r="AU89">
            <v>0.78120957309185002</v>
          </cell>
          <cell r="AV89">
            <v>0.78099222952779446</v>
          </cell>
          <cell r="AW89">
            <v>0.80403793809804414</v>
          </cell>
          <cell r="AX89">
            <v>0.8291494028759443</v>
          </cell>
          <cell r="AY89">
            <v>0.84287507846829879</v>
          </cell>
          <cell r="AZ89">
            <v>0.83112543962485352</v>
          </cell>
          <cell r="BA89">
            <v>0.96024765652123589</v>
          </cell>
          <cell r="BB89">
            <v>0.86690960350308921</v>
          </cell>
        </row>
        <row r="90">
          <cell r="A90" t="str">
            <v>Total Pre-tax Costs</v>
          </cell>
          <cell r="B90">
            <v>5.1183222964435053</v>
          </cell>
          <cell r="C90">
            <v>2.8056004099426595</v>
          </cell>
          <cell r="D90">
            <v>2.0264593006553442</v>
          </cell>
          <cell r="E90">
            <v>2.0055148720730491</v>
          </cell>
          <cell r="F90">
            <v>2.2018271336840334</v>
          </cell>
          <cell r="G90">
            <v>2.1341881644629046</v>
          </cell>
          <cell r="H90">
            <v>2.2233052652272205</v>
          </cell>
          <cell r="I90">
            <v>2.1425647254650562</v>
          </cell>
          <cell r="J90">
            <v>1.9003725688405972</v>
          </cell>
          <cell r="K90">
            <v>1.9617554910725581</v>
          </cell>
          <cell r="L90">
            <v>2.1355061916221101</v>
          </cell>
          <cell r="M90">
            <v>2.2398285433209191</v>
          </cell>
          <cell r="N90">
            <v>2.0533060548051054</v>
          </cell>
          <cell r="O90">
            <v>2.1920826283135924</v>
          </cell>
          <cell r="P90">
            <v>2.2591757524696723</v>
          </cell>
          <cell r="Q90">
            <v>2.1817752968000632</v>
          </cell>
          <cell r="R90">
            <v>2.1941921072226358</v>
          </cell>
          <cell r="S90">
            <v>2.2060662580135464</v>
          </cell>
          <cell r="T90">
            <v>2.1296728608335664</v>
          </cell>
          <cell r="U90">
            <v>2.3193918776606948</v>
          </cell>
          <cell r="V90">
            <v>2.2970447377642795</v>
          </cell>
          <cell r="W90">
            <v>2.284093623119178</v>
          </cell>
          <cell r="X90">
            <v>2.2647049866402091</v>
          </cell>
          <cell r="Y90">
            <v>2.2405814657783161</v>
          </cell>
          <cell r="Z90">
            <v>2.2657901358832411</v>
          </cell>
          <cell r="AA90">
            <v>2.3597117168545743</v>
          </cell>
          <cell r="AB90">
            <v>2.3734093319194063</v>
          </cell>
          <cell r="AC90">
            <v>2.3068218768290305</v>
          </cell>
          <cell r="AD90">
            <v>2.0841102823654767</v>
          </cell>
          <cell r="AE90">
            <v>2.1359944155349666</v>
          </cell>
          <cell r="AF90">
            <v>2.1511735844052513</v>
          </cell>
          <cell r="AG90">
            <v>2.291260338229848</v>
          </cell>
          <cell r="AH90">
            <v>2.1676657320571078</v>
          </cell>
          <cell r="AI90">
            <v>2.1779087261785355</v>
          </cell>
          <cell r="AJ90">
            <v>2.0108168814280649</v>
          </cell>
          <cell r="AK90">
            <v>1.9707995893692258</v>
          </cell>
          <cell r="AL90">
            <v>2.1176505312868947</v>
          </cell>
          <cell r="AM90">
            <v>2.0668507959135187</v>
          </cell>
          <cell r="AN90">
            <v>2.1049344924696953</v>
          </cell>
          <cell r="AO90">
            <v>2.0850051587756511</v>
          </cell>
          <cell r="AP90">
            <v>2.2905266757865936</v>
          </cell>
          <cell r="AQ90">
            <v>2.4188557034904643</v>
          </cell>
          <cell r="AR90">
            <v>2.2246830789140857</v>
          </cell>
          <cell r="AS90">
            <v>2.2330899965780766</v>
          </cell>
          <cell r="AT90">
            <v>2.1849604507530613</v>
          </cell>
          <cell r="AU90">
            <v>2.2735554118154377</v>
          </cell>
          <cell r="AV90">
            <v>2.5960549910340709</v>
          </cell>
          <cell r="AW90">
            <v>2.3163565956730365</v>
          </cell>
          <cell r="AX90">
            <v>2.4866561052888128</v>
          </cell>
          <cell r="AY90">
            <v>2.5957940991839301</v>
          </cell>
          <cell r="AZ90">
            <v>2.6161195779601405</v>
          </cell>
          <cell r="BA90">
            <v>3.0084480962851523</v>
          </cell>
          <cell r="BB90">
            <v>2.6810779197408676</v>
          </cell>
        </row>
        <row r="92">
          <cell r="A92" t="str">
            <v>Upstream Revenue/Mcfe</v>
          </cell>
          <cell r="B92">
            <v>5.0990015698541775</v>
          </cell>
          <cell r="C92">
            <v>3.12774959852403</v>
          </cell>
          <cell r="D92">
            <v>2.2658397562287149</v>
          </cell>
          <cell r="E92">
            <v>2.391892233975228</v>
          </cell>
          <cell r="F92">
            <v>1.9354299193140758</v>
          </cell>
          <cell r="G92">
            <v>1.8215836604046796</v>
          </cell>
          <cell r="H92">
            <v>2.3220045214770155</v>
          </cell>
          <cell r="I92">
            <v>2.1279843444227002</v>
          </cell>
          <cell r="J92">
            <v>1.899694367391523</v>
          </cell>
          <cell r="K92">
            <v>1.9368339109098727</v>
          </cell>
          <cell r="L92">
            <v>2.0690550553332798</v>
          </cell>
          <cell r="M92">
            <v>2.5952441852294283</v>
          </cell>
          <cell r="N92">
            <v>2.1226059632631937</v>
          </cell>
          <cell r="O92">
            <v>2.3645066624365483</v>
          </cell>
          <cell r="P92">
            <v>2.4367241623295963</v>
          </cell>
          <cell r="Q92">
            <v>2.335708257986739</v>
          </cell>
          <cell r="R92">
            <v>2.3845160089352198</v>
          </cell>
          <cell r="S92">
            <v>2.3804094919371668</v>
          </cell>
          <cell r="T92">
            <v>2.5527495564478473</v>
          </cell>
          <cell r="U92">
            <v>2.1624834853426438</v>
          </cell>
          <cell r="V92">
            <v>1.9812545263403809</v>
          </cell>
          <cell r="W92">
            <v>1.9824504418438023</v>
          </cell>
          <cell r="X92">
            <v>2.1395961207718712</v>
          </cell>
          <cell r="Y92">
            <v>1.8082592368261661</v>
          </cell>
          <cell r="Z92">
            <v>1.817365374937091</v>
          </cell>
          <cell r="AA92">
            <v>1.658786927358356</v>
          </cell>
          <cell r="AB92">
            <v>1.9888361611876988</v>
          </cell>
          <cell r="AC92">
            <v>1.8208525720231516</v>
          </cell>
          <cell r="AD92">
            <v>2.4222402770378264</v>
          </cell>
          <cell r="AE92">
            <v>2.1757310572407662</v>
          </cell>
          <cell r="AF92">
            <v>2.0148388807850415</v>
          </cell>
          <cell r="AG92">
            <v>2.8239371682508327</v>
          </cell>
          <cell r="AH92">
            <v>2.3664544458409873</v>
          </cell>
          <cell r="AI92">
            <v>3.1525689568706121</v>
          </cell>
          <cell r="AJ92">
            <v>2.1438231469440834</v>
          </cell>
          <cell r="AK92">
            <v>2.1749874529485571</v>
          </cell>
          <cell r="AL92">
            <v>2.8761254722550182</v>
          </cell>
          <cell r="AM92">
            <v>2.5750887309931101</v>
          </cell>
          <cell r="AN92">
            <v>2.2935609771029757</v>
          </cell>
          <cell r="AO92">
            <v>2.2442135733119342</v>
          </cell>
          <cell r="AP92">
            <v>1.9886513907888737</v>
          </cell>
          <cell r="AQ92">
            <v>2.1506369197553075</v>
          </cell>
          <cell r="AR92">
            <v>2.1671842554192771</v>
          </cell>
          <cell r="AS92">
            <v>1.9068478384852283</v>
          </cell>
          <cell r="AT92">
            <v>2.1229602340448586</v>
          </cell>
          <cell r="AU92">
            <v>2.3934702457956019</v>
          </cell>
          <cell r="AV92">
            <v>2.678290496114764</v>
          </cell>
          <cell r="AW92">
            <v>2.2705577068776832</v>
          </cell>
          <cell r="AX92">
            <v>2.6546660979770893</v>
          </cell>
          <cell r="AY92">
            <v>2.7337288135593218</v>
          </cell>
          <cell r="AZ92">
            <v>3.0886987104337638</v>
          </cell>
          <cell r="BA92">
            <v>4.633451568105543</v>
          </cell>
          <cell r="BB92">
            <v>3.2974205206646277</v>
          </cell>
        </row>
        <row r="93">
          <cell r="A93" t="str">
            <v>Cash Generation</v>
          </cell>
          <cell r="B93">
            <v>2.1653659183105241</v>
          </cell>
          <cell r="C93">
            <v>1.6844282661218477</v>
          </cell>
          <cell r="D93">
            <v>0.95657580899017125</v>
          </cell>
          <cell r="E93">
            <v>1.1786203779043485</v>
          </cell>
          <cell r="F93">
            <v>0.47671827320890325</v>
          </cell>
          <cell r="G93">
            <v>0.47922569828144668</v>
          </cell>
          <cell r="H93">
            <v>0.72056616755676406</v>
          </cell>
          <cell r="I93">
            <v>0.718847425602267</v>
          </cell>
          <cell r="J93">
            <v>0.74190435696342805</v>
          </cell>
          <cell r="K93">
            <v>0.69606461498433747</v>
          </cell>
          <cell r="L93">
            <v>0.75641653927455987</v>
          </cell>
          <cell r="M93">
            <v>1.2074288525050942</v>
          </cell>
          <cell r="N93">
            <v>0.85189735585374216</v>
          </cell>
          <cell r="O93">
            <v>0.95957857445008488</v>
          </cell>
          <cell r="P93">
            <v>1.0478710305245313</v>
          </cell>
          <cell r="Q93">
            <v>0.99748722383835187</v>
          </cell>
          <cell r="R93">
            <v>1.0434139985107969</v>
          </cell>
          <cell r="S93">
            <v>1.0137364952778956</v>
          </cell>
          <cell r="T93">
            <v>1.2196807980826097</v>
          </cell>
          <cell r="U93">
            <v>0.90768865004244415</v>
          </cell>
          <cell r="V93">
            <v>0.74827940661137737</v>
          </cell>
          <cell r="W93">
            <v>0.69877477907809893</v>
          </cell>
          <cell r="X93">
            <v>0.8669137279667638</v>
          </cell>
          <cell r="Y93">
            <v>0.55277771047849811</v>
          </cell>
          <cell r="Z93">
            <v>0.53333165576245589</v>
          </cell>
          <cell r="AA93">
            <v>0.33411160268303108</v>
          </cell>
          <cell r="AB93">
            <v>0.53728525980911979</v>
          </cell>
          <cell r="AC93">
            <v>0.49413084476816027</v>
          </cell>
          <cell r="AD93">
            <v>1.1970804475226426</v>
          </cell>
          <cell r="AE93">
            <v>0.97012120827516135</v>
          </cell>
          <cell r="AF93">
            <v>0.79716218008221684</v>
          </cell>
          <cell r="AG93">
            <v>1.5447741019627201</v>
          </cell>
          <cell r="AH93">
            <v>1.1339783750684842</v>
          </cell>
          <cell r="AI93">
            <v>1.9058287362086261</v>
          </cell>
          <cell r="AJ93">
            <v>0.96714741695235862</v>
          </cell>
          <cell r="AK93">
            <v>1.0212860727728983</v>
          </cell>
          <cell r="AL93">
            <v>1.5876366883116888</v>
          </cell>
          <cell r="AM93">
            <v>1.3596723613090995</v>
          </cell>
          <cell r="AN93">
            <v>1.0374081670135915</v>
          </cell>
          <cell r="AO93">
            <v>0.98484179754671564</v>
          </cell>
          <cell r="AP93">
            <v>0.81178180574555414</v>
          </cell>
          <cell r="AQ93">
            <v>0.77196353604414036</v>
          </cell>
          <cell r="AR93">
            <v>0.90061759169387345</v>
          </cell>
          <cell r="AS93">
            <v>0.62396886049960054</v>
          </cell>
          <cell r="AT93">
            <v>0.8875609491819263</v>
          </cell>
          <cell r="AU93">
            <v>1.0624547218628722</v>
          </cell>
          <cell r="AV93">
            <v>1.1057262402869097</v>
          </cell>
          <cell r="AW93">
            <v>0.91944790526699771</v>
          </cell>
          <cell r="AX93">
            <v>1.1941494028759441</v>
          </cell>
          <cell r="AY93">
            <v>1.233917137476459</v>
          </cell>
          <cell r="AZ93">
            <v>1.5786752637749126</v>
          </cell>
          <cell r="BA93">
            <v>3.0349097326698296</v>
          </cell>
          <cell r="BB93">
            <v>1.7790802891248281</v>
          </cell>
        </row>
        <row r="94">
          <cell r="A94" t="str">
            <v>Pre-tax Profit</v>
          </cell>
          <cell r="B94">
            <v>-1.9320726589327819E-2</v>
          </cell>
          <cell r="C94">
            <v>0.32214918858137054</v>
          </cell>
          <cell r="D94">
            <v>0.23938045557337073</v>
          </cell>
          <cell r="E94">
            <v>0.38637736190217886</v>
          </cell>
          <cell r="F94">
            <v>-0.26639721436995756</v>
          </cell>
          <cell r="G94">
            <v>-0.31260450405822504</v>
          </cell>
          <cell r="H94">
            <v>9.8699256249795031E-2</v>
          </cell>
          <cell r="I94">
            <v>-1.4580381042355928E-2</v>
          </cell>
          <cell r="J94">
            <v>-6.7820144907426716E-4</v>
          </cell>
          <cell r="K94">
            <v>-2.4921580162685419E-2</v>
          </cell>
          <cell r="L94">
            <v>-6.6451136288830259E-2</v>
          </cell>
          <cell r="M94">
            <v>0.35541564190850927</v>
          </cell>
          <cell r="N94">
            <v>6.9299908458088311E-2</v>
          </cell>
          <cell r="O94">
            <v>0.17242403412295593</v>
          </cell>
          <cell r="P94">
            <v>0.17754840985992404</v>
          </cell>
          <cell r="Q94">
            <v>0.15393296118667577</v>
          </cell>
          <cell r="R94">
            <v>0.19032390171258395</v>
          </cell>
          <cell r="S94">
            <v>0.17434323392362039</v>
          </cell>
          <cell r="T94">
            <v>0.42307669561428085</v>
          </cell>
          <cell r="U94">
            <v>-0.15690839231805098</v>
          </cell>
          <cell r="V94">
            <v>-0.31579021142389863</v>
          </cell>
          <cell r="W94">
            <v>-0.3016431812753757</v>
          </cell>
          <cell r="X94">
            <v>-0.12510886586833792</v>
          </cell>
          <cell r="Y94">
            <v>-0.43232222895215</v>
          </cell>
          <cell r="Z94">
            <v>-0.44842476094615003</v>
          </cell>
          <cell r="AA94">
            <v>-0.70092478949621828</v>
          </cell>
          <cell r="AB94">
            <v>-0.38457317073170749</v>
          </cell>
          <cell r="AC94">
            <v>-0.48596930480587885</v>
          </cell>
          <cell r="AD94">
            <v>0.33812999467234972</v>
          </cell>
          <cell r="AE94">
            <v>3.9736641705799602E-2</v>
          </cell>
          <cell r="AF94">
            <v>-0.13633470362020983</v>
          </cell>
          <cell r="AG94">
            <v>0.53267683002098476</v>
          </cell>
          <cell r="AH94">
            <v>0.19878871378387952</v>
          </cell>
          <cell r="AI94">
            <v>0.97466023069207663</v>
          </cell>
          <cell r="AJ94">
            <v>0.13300626551601846</v>
          </cell>
          <cell r="AK94">
            <v>0.20418786357933127</v>
          </cell>
          <cell r="AL94">
            <v>0.75847494096812351</v>
          </cell>
          <cell r="AM94">
            <v>0.50823793507959136</v>
          </cell>
          <cell r="AN94">
            <v>0.18862648463328036</v>
          </cell>
          <cell r="AO94">
            <v>0.15920841453628309</v>
          </cell>
          <cell r="AP94">
            <v>-0.30187528499771998</v>
          </cell>
          <cell r="AQ94">
            <v>-0.26821878373515684</v>
          </cell>
          <cell r="AR94">
            <v>-5.7498823494808615E-2</v>
          </cell>
          <cell r="AS94">
            <v>-0.32624215809284829</v>
          </cell>
          <cell r="AT94">
            <v>-6.2000216708202771E-2</v>
          </cell>
          <cell r="AU94">
            <v>0.11991483398016411</v>
          </cell>
          <cell r="AV94">
            <v>8.2235505080693105E-2</v>
          </cell>
          <cell r="AW94">
            <v>-4.5798888795353321E-2</v>
          </cell>
          <cell r="AX94">
            <v>0.16800999268827654</v>
          </cell>
          <cell r="AY94">
            <v>0.13793471437539173</v>
          </cell>
          <cell r="AZ94">
            <v>0.47257913247362326</v>
          </cell>
          <cell r="BA94">
            <v>1.6250034718203907</v>
          </cell>
          <cell r="BB94">
            <v>0.61634260092376003</v>
          </cell>
        </row>
        <row r="96">
          <cell r="A96" t="str">
            <v>Per BOE</v>
          </cell>
        </row>
        <row r="98">
          <cell r="A98" t="str">
            <v>Production</v>
          </cell>
          <cell r="B98">
            <v>6.9687332862172431</v>
          </cell>
          <cell r="C98">
            <v>3.686661701018549</v>
          </cell>
          <cell r="D98">
            <v>3.8550140325634041</v>
          </cell>
          <cell r="E98">
            <v>3.3241117439652834</v>
          </cell>
          <cell r="F98">
            <v>3.6943295205646143</v>
          </cell>
          <cell r="G98">
            <v>3.5695233014518157</v>
          </cell>
          <cell r="H98">
            <v>3.2053340323056254</v>
          </cell>
          <cell r="I98">
            <v>3.437883797827114</v>
          </cell>
          <cell r="J98">
            <v>2.8745131293387178</v>
          </cell>
          <cell r="K98">
            <v>3.0750495552053749</v>
          </cell>
          <cell r="L98">
            <v>3.3457799688407439</v>
          </cell>
          <cell r="M98">
            <v>3.4783219731571915</v>
          </cell>
          <cell r="N98">
            <v>3.1820024146257326</v>
          </cell>
          <cell r="O98">
            <v>3.645833333333333</v>
          </cell>
          <cell r="P98">
            <v>3.6440548083812918</v>
          </cell>
          <cell r="Q98">
            <v>3.48887491154965</v>
          </cell>
          <cell r="R98">
            <v>3.4373790022338047</v>
          </cell>
          <cell r="S98">
            <v>3.5482965050904132</v>
          </cell>
          <cell r="T98">
            <v>3.4825847418059572</v>
          </cell>
          <cell r="U98">
            <v>3.330503768852239</v>
          </cell>
          <cell r="V98">
            <v>3.058871627146361</v>
          </cell>
          <cell r="W98">
            <v>3.0265106281347025</v>
          </cell>
          <cell r="X98">
            <v>3.2056766690121767</v>
          </cell>
          <cell r="Y98">
            <v>2.6503937007874012</v>
          </cell>
          <cell r="Z98">
            <v>2.4964771011575237</v>
          </cell>
          <cell r="AA98">
            <v>2.9049521906664766</v>
          </cell>
          <cell r="AB98">
            <v>3.0365853658536586</v>
          </cell>
          <cell r="AC98">
            <v>2.7633478571893089</v>
          </cell>
          <cell r="AD98">
            <v>2.7258923814597762</v>
          </cell>
          <cell r="AE98">
            <v>2.5903033379870544</v>
          </cell>
          <cell r="AF98">
            <v>2.7688635459488129</v>
          </cell>
          <cell r="AG98">
            <v>2.9533390939390194</v>
          </cell>
          <cell r="AH98">
            <v>2.7612878275161945</v>
          </cell>
          <cell r="AI98">
            <v>2.6588515546639924</v>
          </cell>
          <cell r="AJ98">
            <v>2.6116562241399692</v>
          </cell>
          <cell r="AK98">
            <v>2.4480438006159462</v>
          </cell>
          <cell r="AL98">
            <v>2.7602125147579697</v>
          </cell>
          <cell r="AM98">
            <v>2.6176051318602997</v>
          </cell>
          <cell r="AN98">
            <v>2.558099669401249</v>
          </cell>
          <cell r="AO98">
            <v>2.5903932133440333</v>
          </cell>
          <cell r="AP98">
            <v>2.5748974008207934</v>
          </cell>
          <cell r="AQ98">
            <v>2.9593378913278157</v>
          </cell>
          <cell r="AR98">
            <v>2.6691079149386745</v>
          </cell>
          <cell r="AS98">
            <v>2.6851830728869621</v>
          </cell>
          <cell r="AT98">
            <v>2.523133600606783</v>
          </cell>
          <cell r="AU98">
            <v>2.7496765847347997</v>
          </cell>
          <cell r="AV98">
            <v>3.3159593544530783</v>
          </cell>
          <cell r="AW98">
            <v>2.8080646519067258</v>
          </cell>
          <cell r="AX98">
            <v>3.1115037777236161</v>
          </cell>
          <cell r="AY98">
            <v>3.2173258003766478</v>
          </cell>
          <cell r="AZ98">
            <v>3.0661195779601411</v>
          </cell>
          <cell r="BA98">
            <v>3.2760097210970955</v>
          </cell>
          <cell r="BB98">
            <v>3.16780637034371</v>
          </cell>
        </row>
        <row r="99">
          <cell r="A99" t="str">
            <v>Production Taxes</v>
          </cell>
          <cell r="B99">
            <v>1.6895704551060349</v>
          </cell>
          <cell r="C99">
            <v>1.0981792746538344</v>
          </cell>
          <cell r="D99">
            <v>0.75680082108297508</v>
          </cell>
          <cell r="E99">
            <v>1.0669921345267155</v>
          </cell>
          <cell r="F99">
            <v>0.82501825261620843</v>
          </cell>
          <cell r="G99">
            <v>0.63331174027359682</v>
          </cell>
          <cell r="H99">
            <v>1.1343009731004881</v>
          </cell>
          <cell r="I99">
            <v>0.92475875565152854</v>
          </cell>
          <cell r="J99">
            <v>0.95817104311290602</v>
          </cell>
          <cell r="K99">
            <v>0.92968027723673874</v>
          </cell>
          <cell r="L99">
            <v>0.74485981991998063</v>
          </cell>
          <cell r="M99">
            <v>1.0540369615627854</v>
          </cell>
          <cell r="N99">
            <v>0.92379459030010347</v>
          </cell>
          <cell r="O99">
            <v>1.1807318104906939</v>
          </cell>
          <cell r="P99">
            <v>1.1854841176056918</v>
          </cell>
          <cell r="Q99">
            <v>1.1301989150090417</v>
          </cell>
          <cell r="R99">
            <v>1.19463886820551</v>
          </cell>
          <cell r="S99">
            <v>1.1730048754945641</v>
          </cell>
          <cell r="T99">
            <v>1.2209356615930524</v>
          </cell>
          <cell r="U99">
            <v>1.1404208604854513</v>
          </cell>
          <cell r="V99">
            <v>1.1543044036911576</v>
          </cell>
          <cell r="W99">
            <v>1.1653928827322666</v>
          </cell>
          <cell r="X99">
            <v>1.1675191180454154</v>
          </cell>
          <cell r="Y99">
            <v>1.0615384615384613</v>
          </cell>
          <cell r="Z99">
            <v>1.0836688475088072</v>
          </cell>
          <cell r="AA99">
            <v>1.277151420008563</v>
          </cell>
          <cell r="AB99">
            <v>0.97030752916224827</v>
          </cell>
          <cell r="AC99">
            <v>1.094004031995838</v>
          </cell>
          <cell r="AD99">
            <v>1.3601491742141716</v>
          </cell>
          <cell r="AE99">
            <v>1.1853027033887551</v>
          </cell>
          <cell r="AF99">
            <v>1.1493170667020287</v>
          </cell>
          <cell r="AG99">
            <v>1.266139982718183</v>
          </cell>
          <cell r="AH99">
            <v>1.2399690612008121</v>
          </cell>
          <cell r="AI99">
            <v>1.5353560682046139</v>
          </cell>
          <cell r="AJ99">
            <v>1.235961697600189</v>
          </cell>
          <cell r="AK99">
            <v>1.1805634766738908</v>
          </cell>
          <cell r="AL99">
            <v>1.3661157024793391</v>
          </cell>
          <cell r="AM99">
            <v>1.3251960085531005</v>
          </cell>
          <cell r="AN99">
            <v>1.3954940614668789</v>
          </cell>
          <cell r="AO99">
            <v>1.3880545683824372</v>
          </cell>
          <cell r="AP99">
            <v>1.2913816689466482</v>
          </cell>
          <cell r="AQ99">
            <v>1.3364519611370997</v>
          </cell>
          <cell r="AR99">
            <v>1.3522456542839494</v>
          </cell>
          <cell r="AS99">
            <v>1.2448956313448156</v>
          </cell>
          <cell r="AT99">
            <v>1.3538844945281179</v>
          </cell>
          <cell r="AU99">
            <v>1.5417205692108671</v>
          </cell>
          <cell r="AV99">
            <v>1.5844590555887628</v>
          </cell>
          <cell r="AW99">
            <v>1.4300867076353228</v>
          </cell>
          <cell r="AX99">
            <v>1.6820619059224955</v>
          </cell>
          <cell r="AY99">
            <v>1.8659133709981166</v>
          </cell>
          <cell r="AZ99">
            <v>2.1158264947245016</v>
          </cell>
          <cell r="BA99">
            <v>2.5934498321953479</v>
          </cell>
          <cell r="BB99">
            <v>2.0731509807450061</v>
          </cell>
        </row>
        <row r="100">
          <cell r="A100" t="str">
            <v>Total LOE</v>
          </cell>
          <cell r="B100">
            <v>8.6583037413232784</v>
          </cell>
          <cell r="C100">
            <v>4.7848409756723829</v>
          </cell>
          <cell r="D100">
            <v>4.6118148536463792</v>
          </cell>
          <cell r="E100">
            <v>4.3911038784919985</v>
          </cell>
          <cell r="F100">
            <v>4.5193477731808223</v>
          </cell>
          <cell r="G100">
            <v>4.2028350417254128</v>
          </cell>
          <cell r="H100">
            <v>4.3396350054061132</v>
          </cell>
          <cell r="I100">
            <v>4.3626425534786426</v>
          </cell>
          <cell r="J100">
            <v>3.8326841724516241</v>
          </cell>
          <cell r="K100">
            <v>4.0047298324421137</v>
          </cell>
          <cell r="L100">
            <v>4.0906397887607246</v>
          </cell>
          <cell r="M100">
            <v>4.5323589347199764</v>
          </cell>
          <cell r="N100">
            <v>4.1057970049258365</v>
          </cell>
          <cell r="O100">
            <v>4.8265651438240269</v>
          </cell>
          <cell r="P100">
            <v>4.8295389259869834</v>
          </cell>
          <cell r="Q100">
            <v>4.6190738265586919</v>
          </cell>
          <cell r="R100">
            <v>4.6320178704393147</v>
          </cell>
          <cell r="S100">
            <v>4.7213013805849773</v>
          </cell>
          <cell r="T100">
            <v>4.7035204033990095</v>
          </cell>
          <cell r="U100">
            <v>4.4709246293376905</v>
          </cell>
          <cell r="V100">
            <v>4.2131760308375181</v>
          </cell>
          <cell r="W100">
            <v>4.1919035108669691</v>
          </cell>
          <cell r="X100">
            <v>4.3731957870575924</v>
          </cell>
          <cell r="Y100">
            <v>3.7119321623258625</v>
          </cell>
          <cell r="Z100">
            <v>3.5801459486663312</v>
          </cell>
          <cell r="AA100">
            <v>4.1821036106750391</v>
          </cell>
          <cell r="AB100">
            <v>4.0068928950159073</v>
          </cell>
          <cell r="AC100">
            <v>3.8573518891851468</v>
          </cell>
          <cell r="AD100">
            <v>4.0860415556739476</v>
          </cell>
          <cell r="AE100">
            <v>3.7756060413758092</v>
          </cell>
          <cell r="AF100">
            <v>3.9181806126508416</v>
          </cell>
          <cell r="AG100">
            <v>4.2194790766572021</v>
          </cell>
          <cell r="AH100">
            <v>4.0012568887170064</v>
          </cell>
          <cell r="AI100">
            <v>4.194207622868606</v>
          </cell>
          <cell r="AJ100">
            <v>3.8476179217401585</v>
          </cell>
          <cell r="AK100">
            <v>3.628607277289837</v>
          </cell>
          <cell r="AL100">
            <v>4.126328217237309</v>
          </cell>
          <cell r="AM100">
            <v>3.9428011404134002</v>
          </cell>
          <cell r="AN100">
            <v>3.9535937308681279</v>
          </cell>
          <cell r="AO100">
            <v>3.9784477817264703</v>
          </cell>
          <cell r="AP100">
            <v>3.8662790697674416</v>
          </cell>
          <cell r="AQ100">
            <v>4.2957898524649156</v>
          </cell>
          <cell r="AR100">
            <v>4.0213535692226241</v>
          </cell>
          <cell r="AS100">
            <v>3.9300787042317777</v>
          </cell>
          <cell r="AT100">
            <v>3.8770180951349009</v>
          </cell>
          <cell r="AU100">
            <v>4.2913971539456668</v>
          </cell>
          <cell r="AV100">
            <v>4.9004184100418406</v>
          </cell>
          <cell r="AW100">
            <v>4.2381513595420488</v>
          </cell>
          <cell r="AX100">
            <v>4.7935656836461114</v>
          </cell>
          <cell r="AY100">
            <v>5.083239171374764</v>
          </cell>
          <cell r="AZ100">
            <v>5.1819460726846422</v>
          </cell>
          <cell r="BA100">
            <v>5.8694595532924438</v>
          </cell>
          <cell r="BB100">
            <v>5.2409573510887162</v>
          </cell>
        </row>
        <row r="102">
          <cell r="A102" t="str">
            <v>G&amp;A</v>
          </cell>
          <cell r="B102">
            <v>3.707412694692434</v>
          </cell>
          <cell r="C102">
            <v>2.3011130651514433</v>
          </cell>
          <cell r="D102">
            <v>2.6986718786447224</v>
          </cell>
          <cell r="E102">
            <v>2.6097097911581231</v>
          </cell>
          <cell r="F102">
            <v>2.9625400153509185</v>
          </cell>
          <cell r="G102">
            <v>2.5092405593872651</v>
          </cell>
          <cell r="H102">
            <v>4.055076832344942</v>
          </cell>
          <cell r="I102">
            <v>3.0672784938254942</v>
          </cell>
          <cell r="J102">
            <v>1.9642506383814573</v>
          </cell>
          <cell r="K102">
            <v>2.1890183274343347</v>
          </cell>
          <cell r="L102">
            <v>2.4137451816526112</v>
          </cell>
          <cell r="M102">
            <v>2.4769868596725457</v>
          </cell>
          <cell r="N102">
            <v>2.2507761296998967</v>
          </cell>
          <cell r="O102">
            <v>2.2282148900169205</v>
          </cell>
          <cell r="P102">
            <v>2.2221995680697861</v>
          </cell>
          <cell r="Q102">
            <v>2.2112587467568208</v>
          </cell>
          <cell r="R102">
            <v>2.1507073715562171</v>
          </cell>
          <cell r="S102">
            <v>2.2010829847204194</v>
          </cell>
          <cell r="T102">
            <v>1.9516294705387989</v>
          </cell>
          <cell r="U102">
            <v>1.60340568933935</v>
          </cell>
          <cell r="V102">
            <v>1.5614998247868241</v>
          </cell>
          <cell r="W102">
            <v>1.5956532123238594</v>
          </cell>
          <cell r="X102">
            <v>1.6615508898245999</v>
          </cell>
          <cell r="Y102">
            <v>1.5485160508782556</v>
          </cell>
          <cell r="Z102">
            <v>1.9593608454957219</v>
          </cell>
          <cell r="AA102">
            <v>1.4013129727415443</v>
          </cell>
          <cell r="AB102">
            <v>1.6137327677624602</v>
          </cell>
          <cell r="AC102">
            <v>1.6371528906808872</v>
          </cell>
          <cell r="AD102">
            <v>1.494405966968567</v>
          </cell>
          <cell r="AE102">
            <v>1.64564030968397</v>
          </cell>
          <cell r="AF102">
            <v>1.5813552579233523</v>
          </cell>
          <cell r="AG102">
            <v>1.7742254042710774</v>
          </cell>
          <cell r="AH102">
            <v>1.6269941022914052</v>
          </cell>
          <cell r="AI102">
            <v>1.5631895687061184</v>
          </cell>
          <cell r="AJ102">
            <v>1.6668636954722782</v>
          </cell>
          <cell r="AK102">
            <v>1.7147256758298166</v>
          </cell>
          <cell r="AL102">
            <v>2.0815820543093269</v>
          </cell>
          <cell r="AM102">
            <v>1.7590876692801143</v>
          </cell>
          <cell r="AN102">
            <v>2.0203257009917963</v>
          </cell>
          <cell r="AO102">
            <v>2.0029806259314458</v>
          </cell>
          <cell r="AP102">
            <v>1.682284541723666</v>
          </cell>
          <cell r="AQ102">
            <v>2.0536164087801367</v>
          </cell>
          <cell r="AR102">
            <v>1.9368216712256241</v>
          </cell>
          <cell r="AS102">
            <v>1.4683472111326563</v>
          </cell>
          <cell r="AT102">
            <v>1.4387257557698561</v>
          </cell>
          <cell r="AU102">
            <v>1.590556274256145</v>
          </cell>
          <cell r="AV102">
            <v>2.3315002988643156</v>
          </cell>
          <cell r="AW102">
            <v>1.6950921794763871</v>
          </cell>
          <cell r="AX102">
            <v>1.7866195466731654</v>
          </cell>
          <cell r="AY102">
            <v>1.8949152542372885</v>
          </cell>
          <cell r="AZ102">
            <v>1.8703399765533413</v>
          </cell>
          <cell r="BA102">
            <v>1.6963314431200094</v>
          </cell>
          <cell r="BB102">
            <v>1.8105092675904264</v>
          </cell>
        </row>
        <row r="103">
          <cell r="A103" t="str">
            <v>Net Interest Expense</v>
          </cell>
          <cell r="B103">
            <v>5.2360974732462111</v>
          </cell>
          <cell r="C103">
            <v>1.5739739535892672</v>
          </cell>
          <cell r="D103">
            <v>0.5450969511401611</v>
          </cell>
          <cell r="E103">
            <v>-0.27881746677515595</v>
          </cell>
          <cell r="F103">
            <v>-1.2703820880992942</v>
          </cell>
          <cell r="G103">
            <v>-1.3420721716267194</v>
          </cell>
          <cell r="H103">
            <v>-1.2139182857704531</v>
          </cell>
          <cell r="I103">
            <v>-1.0249004656184628</v>
          </cell>
          <cell r="J103">
            <v>-1.1498052517354873</v>
          </cell>
          <cell r="K103">
            <v>-1.2508676156767626</v>
          </cell>
          <cell r="L103">
            <v>-1.3714461259389834</v>
          </cell>
          <cell r="M103">
            <v>-1.3175462019534818</v>
          </cell>
          <cell r="N103">
            <v>-1.2676785098309762</v>
          </cell>
          <cell r="O103">
            <v>-1.3747884940778341</v>
          </cell>
          <cell r="P103">
            <v>-1.2813802967736205</v>
          </cell>
          <cell r="Q103">
            <v>-1.1989936315748095</v>
          </cell>
          <cell r="R103">
            <v>-1.2638868205510052</v>
          </cell>
          <cell r="S103">
            <v>-1.2776536146502306</v>
          </cell>
          <cell r="T103">
            <v>-1.3432626762536182</v>
          </cell>
          <cell r="U103">
            <v>-1.4544386931241584</v>
          </cell>
          <cell r="V103">
            <v>-1.6231748627496789</v>
          </cell>
          <cell r="W103">
            <v>-1.9144972534033915</v>
          </cell>
          <cell r="X103">
            <v>-1.6013476799484523</v>
          </cell>
          <cell r="Y103">
            <v>-2.2724409448818896</v>
          </cell>
          <cell r="Z103">
            <v>-2.1646955208857577</v>
          </cell>
          <cell r="AA103">
            <v>-2.3646353646353644</v>
          </cell>
          <cell r="AB103">
            <v>-3.0886797454931072</v>
          </cell>
          <cell r="AC103">
            <v>-2.4658255836639134</v>
          </cell>
          <cell r="AD103">
            <v>-1.770511454448588</v>
          </cell>
          <cell r="AE103">
            <v>-1.8124127427338492</v>
          </cell>
          <cell r="AF103">
            <v>-1.806524333642753</v>
          </cell>
          <cell r="AG103">
            <v>-1.6812739168003947</v>
          </cell>
          <cell r="AH103">
            <v>-1.7666054336266073</v>
          </cell>
          <cell r="AI103">
            <v>-1.7230441323971917</v>
          </cell>
          <cell r="AJ103">
            <v>-1.5455727627379123</v>
          </cell>
          <cell r="AK103">
            <v>-1.5788753279342993</v>
          </cell>
          <cell r="AL103">
            <v>-1.5230224321133412</v>
          </cell>
          <cell r="AM103">
            <v>-1.5906094084105491</v>
          </cell>
          <cell r="AN103">
            <v>-1.5629974286763808</v>
          </cell>
          <cell r="AO103">
            <v>-1.5748022469333944</v>
          </cell>
          <cell r="AP103">
            <v>-1.5126538987688098</v>
          </cell>
          <cell r="AQ103">
            <v>-1.9226340410219502</v>
          </cell>
          <cell r="AR103">
            <v>-1.6412247419041734</v>
          </cell>
          <cell r="AS103">
            <v>-2.2988479525493322</v>
          </cell>
          <cell r="AT103">
            <v>-2.096651858272836</v>
          </cell>
          <cell r="AU103">
            <v>-2.1041397153945667</v>
          </cell>
          <cell r="AV103">
            <v>-2.2034668260609682</v>
          </cell>
          <cell r="AW103">
            <v>-2.1734152706456769</v>
          </cell>
          <cell r="AX103">
            <v>-2.1829149402875943</v>
          </cell>
          <cell r="AY103">
            <v>-2.0207156308851224</v>
          </cell>
          <cell r="AZ103">
            <v>-2.0078546307151228</v>
          </cell>
          <cell r="BA103">
            <v>-2.0254600162018281</v>
          </cell>
          <cell r="BB103">
            <v>-2.0585747705596544</v>
          </cell>
        </row>
        <row r="104">
          <cell r="A104" t="str">
            <v>Total Cash Expenses</v>
          </cell>
          <cell r="B104">
            <v>17.601813909261924</v>
          </cell>
          <cell r="C104">
            <v>8.6599279944130938</v>
          </cell>
          <cell r="D104">
            <v>7.8555836834312629</v>
          </cell>
          <cell r="E104">
            <v>6.7219962028749656</v>
          </cell>
          <cell r="F104">
            <v>6.211505700432447</v>
          </cell>
          <cell r="G104">
            <v>5.3700034294859584</v>
          </cell>
          <cell r="H104">
            <v>7.1807935519806021</v>
          </cell>
          <cell r="I104">
            <v>6.4050205816856742</v>
          </cell>
          <cell r="J104">
            <v>4.6471295590975936</v>
          </cell>
          <cell r="K104">
            <v>4.9428805441996859</v>
          </cell>
          <cell r="L104">
            <v>5.132938844474352</v>
          </cell>
          <cell r="M104">
            <v>5.6917995924390405</v>
          </cell>
          <cell r="N104">
            <v>5.088894624794758</v>
          </cell>
          <cell r="O104">
            <v>5.6799915397631127</v>
          </cell>
          <cell r="P104">
            <v>5.7703581972831488</v>
          </cell>
          <cell r="Q104">
            <v>5.6313389417407027</v>
          </cell>
          <cell r="R104">
            <v>5.518838421444527</v>
          </cell>
          <cell r="S104">
            <v>5.6447307506551656</v>
          </cell>
          <cell r="T104">
            <v>5.3118871976841895</v>
          </cell>
          <cell r="U104">
            <v>4.6198916255528815</v>
          </cell>
          <cell r="V104">
            <v>4.1515009928746629</v>
          </cell>
          <cell r="W104">
            <v>3.873059469787437</v>
          </cell>
          <cell r="X104">
            <v>4.4333989969337395</v>
          </cell>
          <cell r="Y104">
            <v>2.9880072683222281</v>
          </cell>
          <cell r="Z104">
            <v>3.3748112732762952</v>
          </cell>
          <cell r="AA104">
            <v>3.2187812187812188</v>
          </cell>
          <cell r="AB104">
            <v>2.5319459172852605</v>
          </cell>
          <cell r="AC104">
            <v>3.0286791962021207</v>
          </cell>
          <cell r="AD104">
            <v>3.8099360681939265</v>
          </cell>
          <cell r="AE104">
            <v>3.6088336083259303</v>
          </cell>
          <cell r="AF104">
            <v>3.6930115369314409</v>
          </cell>
          <cell r="AG104">
            <v>4.3124305641278848</v>
          </cell>
          <cell r="AH104">
            <v>3.8616455573818045</v>
          </cell>
          <cell r="AI104">
            <v>4.0343530591775325</v>
          </cell>
          <cell r="AJ104">
            <v>3.9689088544745244</v>
          </cell>
          <cell r="AK104">
            <v>3.7644576251853543</v>
          </cell>
          <cell r="AL104">
            <v>4.6848878394332942</v>
          </cell>
          <cell r="AM104">
            <v>4.1112794012829657</v>
          </cell>
          <cell r="AN104">
            <v>4.4109220031835434</v>
          </cell>
          <cell r="AO104">
            <v>4.406626160724521</v>
          </cell>
          <cell r="AP104">
            <v>4.0359097127222983</v>
          </cell>
          <cell r="AQ104">
            <v>4.4267722202231017</v>
          </cell>
          <cell r="AR104">
            <v>4.3169504985440756</v>
          </cell>
          <cell r="AS104">
            <v>3.0995779628151023</v>
          </cell>
          <cell r="AT104">
            <v>3.2190919926319208</v>
          </cell>
          <cell r="AU104">
            <v>3.7778137128072453</v>
          </cell>
          <cell r="AV104">
            <v>5.0284518828451876</v>
          </cell>
          <cell r="AW104">
            <v>3.7598282683727593</v>
          </cell>
          <cell r="AX104">
            <v>4.3972702900316829</v>
          </cell>
          <cell r="AY104">
            <v>4.9574387947269294</v>
          </cell>
          <cell r="AZ104">
            <v>5.0444314185228603</v>
          </cell>
          <cell r="BA104">
            <v>5.5403309802106246</v>
          </cell>
          <cell r="BB104">
            <v>4.9928918481194886</v>
          </cell>
        </row>
        <row r="106">
          <cell r="A106" t="str">
            <v>Non-Cash Expenses</v>
          </cell>
        </row>
        <row r="107">
          <cell r="A107" t="str">
            <v>Exploration Expense</v>
          </cell>
          <cell r="B107">
            <v>3.2640291045980798</v>
          </cell>
          <cell r="C107">
            <v>2.227735100012064</v>
          </cell>
          <cell r="D107">
            <v>0.90191446888650439</v>
          </cell>
          <cell r="E107">
            <v>0.98345538378085151</v>
          </cell>
          <cell r="F107">
            <v>1.0036130819776474</v>
          </cell>
          <cell r="G107">
            <v>1.4072324048317648</v>
          </cell>
          <cell r="H107">
            <v>0.98145539136987647</v>
          </cell>
          <cell r="I107">
            <v>1.0876577366893851</v>
          </cell>
          <cell r="J107">
            <v>0.47908552155645301</v>
          </cell>
          <cell r="K107">
            <v>0.31271690391919066</v>
          </cell>
          <cell r="L107">
            <v>0.71315198548827141</v>
          </cell>
          <cell r="M107">
            <v>1.001335113484646</v>
          </cell>
          <cell r="N107">
            <v>0.62090375991721292</v>
          </cell>
          <cell r="O107">
            <v>0.98984771573604058</v>
          </cell>
          <cell r="P107">
            <v>0.89883229555236976</v>
          </cell>
          <cell r="Q107">
            <v>0.78622533218020307</v>
          </cell>
          <cell r="R107">
            <v>0.78272524199553239</v>
          </cell>
          <cell r="S107">
            <v>0.8596764191796058</v>
          </cell>
          <cell r="T107">
            <v>0.47483425156410486</v>
          </cell>
          <cell r="U107">
            <v>0.8022772675342581</v>
          </cell>
          <cell r="V107">
            <v>0.77023712183156179</v>
          </cell>
          <cell r="W107">
            <v>0.9687126821112968</v>
          </cell>
          <cell r="X107">
            <v>0.77071649192882719</v>
          </cell>
          <cell r="Y107">
            <v>0.6025439127801332</v>
          </cell>
          <cell r="Z107">
            <v>0.50314544539506789</v>
          </cell>
          <cell r="AA107">
            <v>0.86699015270443847</v>
          </cell>
          <cell r="AB107">
            <v>1.198966065747614</v>
          </cell>
          <cell r="AC107">
            <v>0.78341028809260593</v>
          </cell>
          <cell r="AD107">
            <v>0.97496004262120395</v>
          </cell>
          <cell r="AE107">
            <v>1.406904429496129</v>
          </cell>
          <cell r="AF107">
            <v>1.164036599920435</v>
          </cell>
          <cell r="AG107">
            <v>1.3276138748302677</v>
          </cell>
          <cell r="AH107">
            <v>1.2226626704051049</v>
          </cell>
          <cell r="AI107">
            <v>1.3642176529588768</v>
          </cell>
          <cell r="AJ107">
            <v>1.1636127201796902</v>
          </cell>
          <cell r="AK107">
            <v>1.0149423976274667</v>
          </cell>
          <cell r="AL107">
            <v>1.4206611570247936</v>
          </cell>
          <cell r="AM107">
            <v>1.2370812544547398</v>
          </cell>
          <cell r="AN107">
            <v>1.248928615158565</v>
          </cell>
          <cell r="AO107">
            <v>1.0241889258282704</v>
          </cell>
          <cell r="AP107">
            <v>2.4606703146374831</v>
          </cell>
          <cell r="AQ107">
            <v>2.1550917596257646</v>
          </cell>
          <cell r="AR107">
            <v>1.7261095914585725</v>
          </cell>
          <cell r="AS107">
            <v>0.8298163567925172</v>
          </cell>
          <cell r="AT107">
            <v>0.65500054177050604</v>
          </cell>
          <cell r="AU107">
            <v>0.96798188874514879</v>
          </cell>
          <cell r="AV107">
            <v>1.4549910340705321</v>
          </cell>
          <cell r="AW107">
            <v>0.96725313578584049</v>
          </cell>
          <cell r="AX107">
            <v>1.1819400438703387</v>
          </cell>
          <cell r="AY107">
            <v>1.5186440677966102</v>
          </cell>
          <cell r="AZ107">
            <v>1.6498241500586168</v>
          </cell>
          <cell r="BA107">
            <v>2.6979516259692167</v>
          </cell>
          <cell r="BB107">
            <v>1.7749685081878712</v>
          </cell>
        </row>
        <row r="108">
          <cell r="A108" t="str">
            <v>DD&amp;A</v>
          </cell>
          <cell r="B108">
            <v>9.844090764801031</v>
          </cell>
          <cell r="C108">
            <v>5.9459393652307986</v>
          </cell>
          <cell r="D108">
            <v>3.4012576516142969</v>
          </cell>
          <cell r="E108">
            <v>3.7700027122321673</v>
          </cell>
          <cell r="F108">
            <v>3.4550798434955166</v>
          </cell>
          <cell r="G108">
            <v>3.3437488092062648</v>
          </cell>
          <cell r="H108">
            <v>2.7497460764719373</v>
          </cell>
          <cell r="I108">
            <v>3.312909103178352</v>
          </cell>
          <cell r="J108">
            <v>3.9764098289185599</v>
          </cell>
          <cell r="K108">
            <v>4.0132002669629472</v>
          </cell>
          <cell r="L108">
            <v>4.2240540678920695</v>
          </cell>
          <cell r="M108">
            <v>4.1107441500948632</v>
          </cell>
          <cell r="N108">
            <v>4.0746809244567093</v>
          </cell>
          <cell r="O108">
            <v>3.7330795262267338</v>
          </cell>
          <cell r="P108">
            <v>4.3231034284352727</v>
          </cell>
          <cell r="Q108">
            <v>4.2751002437298533</v>
          </cell>
          <cell r="R108">
            <v>4.3358153387937444</v>
          </cell>
          <cell r="S108">
            <v>4.1766831489460436</v>
          </cell>
          <cell r="T108">
            <v>4.3047903632458677</v>
          </cell>
          <cell r="U108">
            <v>5.5853049866287128</v>
          </cell>
          <cell r="V108">
            <v>5.6141805863800958</v>
          </cell>
          <cell r="W108">
            <v>5.0337950800095523</v>
          </cell>
          <cell r="X108">
            <v>5.1814190710817831</v>
          </cell>
          <cell r="Y108">
            <v>5.3080557238037551</v>
          </cell>
          <cell r="Z108">
            <v>5.3873930548565667</v>
          </cell>
          <cell r="AA108">
            <v>5.3432282003710583</v>
          </cell>
          <cell r="AB108">
            <v>4.3321845174973497</v>
          </cell>
          <cell r="AC108">
            <v>5.0971906093516282</v>
          </cell>
          <cell r="AD108">
            <v>4.1787426744805538</v>
          </cell>
          <cell r="AE108">
            <v>4.1754029699200403</v>
          </cell>
          <cell r="AF108">
            <v>4.4369447022941255</v>
          </cell>
          <cell r="AG108">
            <v>4.7449697568201454</v>
          </cell>
          <cell r="AH108">
            <v>4.3884752973025236</v>
          </cell>
          <cell r="AI108">
            <v>4.2227933801404216</v>
          </cell>
          <cell r="AJ108">
            <v>3.8412341884383494</v>
          </cell>
          <cell r="AK108">
            <v>3.8876468575339347</v>
          </cell>
          <cell r="AL108">
            <v>3.5543093270366</v>
          </cell>
          <cell r="AM108">
            <v>3.8715253029223096</v>
          </cell>
          <cell r="AN108">
            <v>3.8437614791233012</v>
          </cell>
          <cell r="AO108">
            <v>3.9296113722343238</v>
          </cell>
          <cell r="AP108">
            <v>4.2212722298221612</v>
          </cell>
          <cell r="AQ108">
            <v>4.0860021590500182</v>
          </cell>
          <cell r="AR108">
            <v>4.0225888996735204</v>
          </cell>
          <cell r="AS108">
            <v>4.8714497547621765</v>
          </cell>
          <cell r="AT108">
            <v>5.0423664535702679</v>
          </cell>
          <cell r="AU108">
            <v>4.6872574385511001</v>
          </cell>
          <cell r="AV108">
            <v>4.6859533771667667</v>
          </cell>
          <cell r="AW108">
            <v>4.8242276285882646</v>
          </cell>
          <cell r="AX108">
            <v>4.9748964172556658</v>
          </cell>
          <cell r="AY108">
            <v>5.0572504708097927</v>
          </cell>
          <cell r="AZ108">
            <v>4.9867526377491211</v>
          </cell>
          <cell r="BA108">
            <v>5.7614859391274154</v>
          </cell>
          <cell r="BB108">
            <v>5.2014576210185357</v>
          </cell>
        </row>
        <row r="109">
          <cell r="A109" t="str">
            <v>Total Pre-tax Costs</v>
          </cell>
          <cell r="B109">
            <v>30.709933778661036</v>
          </cell>
          <cell r="C109">
            <v>16.833602459655957</v>
          </cell>
          <cell r="D109">
            <v>12.158755803932063</v>
          </cell>
          <cell r="E109">
            <v>11.475454298887986</v>
          </cell>
          <cell r="F109">
            <v>10.670198625905611</v>
          </cell>
          <cell r="G109">
            <v>10.120984643523988</v>
          </cell>
          <cell r="H109">
            <v>10.911995019822417</v>
          </cell>
          <cell r="I109">
            <v>10.805587421553412</v>
          </cell>
          <cell r="J109">
            <v>9.1026249095726062</v>
          </cell>
          <cell r="K109">
            <v>9.2687977150818242</v>
          </cell>
          <cell r="L109">
            <v>10.070144897854693</v>
          </cell>
          <cell r="M109">
            <v>10.803878856018549</v>
          </cell>
          <cell r="N109">
            <v>9.784479309168681</v>
          </cell>
          <cell r="O109">
            <v>10.402918781725887</v>
          </cell>
          <cell r="P109">
            <v>10.992293921270791</v>
          </cell>
          <cell r="Q109">
            <v>10.692664517650758</v>
          </cell>
          <cell r="R109">
            <v>10.637379002233804</v>
          </cell>
          <cell r="S109">
            <v>10.681090318780814</v>
          </cell>
          <cell r="T109">
            <v>10.091511812494161</v>
          </cell>
          <cell r="U109">
            <v>11.007473879715853</v>
          </cell>
          <cell r="V109">
            <v>10.53591870108632</v>
          </cell>
          <cell r="W109">
            <v>9.8755672319082866</v>
          </cell>
          <cell r="X109">
            <v>10.38553455994435</v>
          </cell>
          <cell r="Y109">
            <v>8.8986069049061172</v>
          </cell>
          <cell r="Z109">
            <v>9.2653497735279302</v>
          </cell>
          <cell r="AA109">
            <v>9.4289995718567159</v>
          </cell>
          <cell r="AB109">
            <v>8.0630965005302251</v>
          </cell>
          <cell r="AC109">
            <v>8.9092800936463554</v>
          </cell>
          <cell r="AD109">
            <v>8.963638785295684</v>
          </cell>
          <cell r="AE109">
            <v>9.1911410077421003</v>
          </cell>
          <cell r="AF109">
            <v>9.2939928391460018</v>
          </cell>
          <cell r="AG109">
            <v>10.385014195778298</v>
          </cell>
          <cell r="AH109">
            <v>9.472783525089433</v>
          </cell>
          <cell r="AI109">
            <v>9.6213640922768313</v>
          </cell>
          <cell r="AJ109">
            <v>8.973755763092564</v>
          </cell>
          <cell r="AK109">
            <v>8.6670468803467564</v>
          </cell>
          <cell r="AL109">
            <v>9.6598583234946886</v>
          </cell>
          <cell r="AM109">
            <v>9.219885958660015</v>
          </cell>
          <cell r="AN109">
            <v>9.5036120974654104</v>
          </cell>
          <cell r="AO109">
            <v>9.3604264587871153</v>
          </cell>
          <cell r="AP109">
            <v>10.717852257181942</v>
          </cell>
          <cell r="AQ109">
            <v>10.667866138898884</v>
          </cell>
          <cell r="AR109">
            <v>10.065648989676168</v>
          </cell>
          <cell r="AS109">
            <v>8.8008440743697953</v>
          </cell>
          <cell r="AT109">
            <v>8.9164589879726943</v>
          </cell>
          <cell r="AU109">
            <v>9.4330530401034949</v>
          </cell>
          <cell r="AV109">
            <v>11.169396294082485</v>
          </cell>
          <cell r="AW109">
            <v>9.5513090327468646</v>
          </cell>
          <cell r="AX109">
            <v>10.554106751157686</v>
          </cell>
          <cell r="AY109">
            <v>11.533333333333331</v>
          </cell>
          <cell r="AZ109">
            <v>11.681008206330599</v>
          </cell>
          <cell r="BA109">
            <v>13.999768545307255</v>
          </cell>
          <cell r="BB109">
            <v>11.969317977325895</v>
          </cell>
        </row>
        <row r="111">
          <cell r="A111" t="str">
            <v>Upstream Revenue/Mcfe</v>
          </cell>
          <cell r="B111">
            <v>30.594009419125065</v>
          </cell>
          <cell r="C111">
            <v>18.76649759114418</v>
          </cell>
          <cell r="D111">
            <v>13.59503853737229</v>
          </cell>
          <cell r="E111">
            <v>14.351353403851368</v>
          </cell>
          <cell r="F111">
            <v>11.612579515884455</v>
          </cell>
          <cell r="G111">
            <v>10.929501962428077</v>
          </cell>
          <cell r="H111">
            <v>13.932027128862092</v>
          </cell>
          <cell r="I111">
            <v>12.767906066536202</v>
          </cell>
          <cell r="J111">
            <v>11.398166204349138</v>
          </cell>
          <cell r="K111">
            <v>11.621003465459236</v>
          </cell>
          <cell r="L111">
            <v>12.414330331999679</v>
          </cell>
          <cell r="M111">
            <v>15.57146511137657</v>
          </cell>
          <cell r="N111">
            <v>12.735635779579162</v>
          </cell>
          <cell r="O111">
            <v>14.187039974619289</v>
          </cell>
          <cell r="P111">
            <v>14.620344973977577</v>
          </cell>
          <cell r="Q111">
            <v>14.014249547920434</v>
          </cell>
          <cell r="R111">
            <v>14.307096053611318</v>
          </cell>
          <cell r="S111">
            <v>14.282456951623001</v>
          </cell>
          <cell r="T111">
            <v>15.316497338687084</v>
          </cell>
          <cell r="U111">
            <v>12.974900912055862</v>
          </cell>
          <cell r="V111">
            <v>11.887527158042285</v>
          </cell>
          <cell r="W111">
            <v>11.894702651062813</v>
          </cell>
          <cell r="X111">
            <v>12.837576724631226</v>
          </cell>
          <cell r="Y111">
            <v>10.849555420956996</v>
          </cell>
          <cell r="Z111">
            <v>10.904192249622547</v>
          </cell>
          <cell r="AA111">
            <v>9.952721564150135</v>
          </cell>
          <cell r="AB111">
            <v>11.933016967126193</v>
          </cell>
          <cell r="AC111">
            <v>10.925115432138909</v>
          </cell>
          <cell r="AD111">
            <v>14.533441662226959</v>
          </cell>
          <cell r="AE111">
            <v>13.054386343444598</v>
          </cell>
          <cell r="AF111">
            <v>12.089033284710249</v>
          </cell>
          <cell r="AG111">
            <v>16.943623009504996</v>
          </cell>
          <cell r="AH111">
            <v>14.198726675045924</v>
          </cell>
          <cell r="AI111">
            <v>18.915413741223674</v>
          </cell>
          <cell r="AJ111">
            <v>12.862938881664501</v>
          </cell>
          <cell r="AK111">
            <v>13.049924717691344</v>
          </cell>
          <cell r="AL111">
            <v>17.256752833530108</v>
          </cell>
          <cell r="AM111">
            <v>15.45053238595866</v>
          </cell>
          <cell r="AN111">
            <v>13.761365862617854</v>
          </cell>
          <cell r="AO111">
            <v>13.465281439871605</v>
          </cell>
          <cell r="AP111">
            <v>11.931908344733241</v>
          </cell>
          <cell r="AQ111">
            <v>12.903821518531846</v>
          </cell>
          <cell r="AR111">
            <v>13.003105532515661</v>
          </cell>
          <cell r="AS111">
            <v>11.441087030911369</v>
          </cell>
          <cell r="AT111">
            <v>12.73776140426915</v>
          </cell>
          <cell r="AU111">
            <v>14.360821474773612</v>
          </cell>
          <cell r="AV111">
            <v>16.069742976688584</v>
          </cell>
          <cell r="AW111">
            <v>13.623346241266098</v>
          </cell>
          <cell r="AX111">
            <v>15.927996587862536</v>
          </cell>
          <cell r="AY111">
            <v>16.40237288135593</v>
          </cell>
          <cell r="AZ111">
            <v>18.532192262602582</v>
          </cell>
          <cell r="BA111">
            <v>27.80070940863326</v>
          </cell>
          <cell r="BB111">
            <v>19.784523123987768</v>
          </cell>
        </row>
        <row r="112">
          <cell r="A112" t="str">
            <v>Cash Generation</v>
          </cell>
          <cell r="B112">
            <v>12.992195509863144</v>
          </cell>
          <cell r="C112">
            <v>10.106569596731086</v>
          </cell>
          <cell r="D112">
            <v>5.7394548539410275</v>
          </cell>
          <cell r="E112">
            <v>7.0717222674260913</v>
          </cell>
          <cell r="F112">
            <v>2.8603096392534195</v>
          </cell>
          <cell r="G112">
            <v>2.8753541896886801</v>
          </cell>
          <cell r="H112">
            <v>4.3233970053405848</v>
          </cell>
          <cell r="I112">
            <v>4.313084553613602</v>
          </cell>
          <cell r="J112">
            <v>4.4514261417805683</v>
          </cell>
          <cell r="K112">
            <v>4.1763876899060248</v>
          </cell>
          <cell r="L112">
            <v>4.5384992356473592</v>
          </cell>
          <cell r="M112">
            <v>7.2445731150305654</v>
          </cell>
          <cell r="N112">
            <v>5.1113841351224529</v>
          </cell>
          <cell r="O112">
            <v>5.7574714467005093</v>
          </cell>
          <cell r="P112">
            <v>6.2872261831471885</v>
          </cell>
          <cell r="Q112">
            <v>5.9849233430301112</v>
          </cell>
          <cell r="R112">
            <v>6.2604839910647812</v>
          </cell>
          <cell r="S112">
            <v>6.0824189716673729</v>
          </cell>
          <cell r="T112">
            <v>7.3180847884956579</v>
          </cell>
          <cell r="U112">
            <v>5.4461319002546649</v>
          </cell>
          <cell r="V112">
            <v>4.4896764396682638</v>
          </cell>
          <cell r="W112">
            <v>4.1926486744685931</v>
          </cell>
          <cell r="X112">
            <v>5.2014823678005833</v>
          </cell>
          <cell r="Y112">
            <v>3.3166662628709886</v>
          </cell>
          <cell r="Z112">
            <v>3.1999899345747354</v>
          </cell>
          <cell r="AA112">
            <v>2.0046696160981865</v>
          </cell>
          <cell r="AB112">
            <v>3.2237115588547187</v>
          </cell>
          <cell r="AC112">
            <v>2.9647850686089616</v>
          </cell>
          <cell r="AD112">
            <v>7.1824826851358559</v>
          </cell>
          <cell r="AE112">
            <v>5.8207272496509681</v>
          </cell>
          <cell r="AF112">
            <v>4.7829730804933011</v>
          </cell>
          <cell r="AG112">
            <v>9.2686446117763204</v>
          </cell>
          <cell r="AH112">
            <v>6.8038702504109052</v>
          </cell>
          <cell r="AI112">
            <v>11.434972417251757</v>
          </cell>
          <cell r="AJ112">
            <v>5.8028845017141517</v>
          </cell>
          <cell r="AK112">
            <v>6.1277164366373897</v>
          </cell>
          <cell r="AL112">
            <v>9.5258201298701337</v>
          </cell>
          <cell r="AM112">
            <v>8.1580341678545967</v>
          </cell>
          <cell r="AN112">
            <v>6.2244490020815491</v>
          </cell>
          <cell r="AO112">
            <v>5.9090507852802938</v>
          </cell>
          <cell r="AP112">
            <v>4.8706908344733248</v>
          </cell>
          <cell r="AQ112">
            <v>4.6317812162648426</v>
          </cell>
          <cell r="AR112">
            <v>5.4037055501632407</v>
          </cell>
          <cell r="AS112">
            <v>3.7438131629976032</v>
          </cell>
          <cell r="AT112">
            <v>5.3253656950915573</v>
          </cell>
          <cell r="AU112">
            <v>6.3747283311772325</v>
          </cell>
          <cell r="AV112">
            <v>6.6343574417214581</v>
          </cell>
          <cell r="AW112">
            <v>5.5166874316019863</v>
          </cell>
          <cell r="AX112">
            <v>7.1648964172556644</v>
          </cell>
          <cell r="AY112">
            <v>7.4035028248587542</v>
          </cell>
          <cell r="AZ112">
            <v>9.4720515826494758</v>
          </cell>
          <cell r="BA112">
            <v>18.209458396018977</v>
          </cell>
          <cell r="BB112">
            <v>10.674481734748969</v>
          </cell>
        </row>
        <row r="113">
          <cell r="A113" t="str">
            <v>Pre-tax Profit</v>
          </cell>
          <cell r="B113">
            <v>-0.11592435953596691</v>
          </cell>
          <cell r="C113">
            <v>1.9328951314882232</v>
          </cell>
          <cell r="D113">
            <v>1.4362827334402244</v>
          </cell>
          <cell r="E113">
            <v>2.3182641714130732</v>
          </cell>
          <cell r="F113">
            <v>-1.5983832862197453</v>
          </cell>
          <cell r="G113">
            <v>-1.8756270243493502</v>
          </cell>
          <cell r="H113">
            <v>0.59219553749877019</v>
          </cell>
          <cell r="I113">
            <v>-8.7482286254135566E-2</v>
          </cell>
          <cell r="J113">
            <v>-4.069208694445603E-3</v>
          </cell>
          <cell r="K113">
            <v>-0.14952948097611252</v>
          </cell>
          <cell r="L113">
            <v>-0.39870681773298156</v>
          </cell>
          <cell r="M113">
            <v>2.1324938514510556</v>
          </cell>
          <cell r="N113">
            <v>0.41579945074852986</v>
          </cell>
          <cell r="O113">
            <v>1.0345442047377356</v>
          </cell>
          <cell r="P113">
            <v>1.0652904591595442</v>
          </cell>
          <cell r="Q113">
            <v>0.92359776712005459</v>
          </cell>
          <cell r="R113">
            <v>1.1419434102755037</v>
          </cell>
          <cell r="S113">
            <v>1.0460594035417223</v>
          </cell>
          <cell r="T113">
            <v>2.5384601736856851</v>
          </cell>
          <cell r="U113">
            <v>-0.94145035390830589</v>
          </cell>
          <cell r="V113">
            <v>-1.8947412685433918</v>
          </cell>
          <cell r="W113">
            <v>-1.8098590876522542</v>
          </cell>
          <cell r="X113">
            <v>-0.75065319521002749</v>
          </cell>
          <cell r="Y113">
            <v>-2.5939333737129</v>
          </cell>
          <cell r="Z113">
            <v>-2.6905485656769002</v>
          </cell>
          <cell r="AA113">
            <v>-4.2055487369773097</v>
          </cell>
          <cell r="AB113">
            <v>-2.307439024390245</v>
          </cell>
          <cell r="AC113">
            <v>-2.9158158288352731</v>
          </cell>
          <cell r="AD113">
            <v>2.0287799680340983</v>
          </cell>
          <cell r="AE113">
            <v>0.23841985023479761</v>
          </cell>
          <cell r="AF113">
            <v>-0.81800822172125898</v>
          </cell>
          <cell r="AG113">
            <v>3.1960609801259086</v>
          </cell>
          <cell r="AH113">
            <v>1.1927322827032771</v>
          </cell>
          <cell r="AI113">
            <v>5.8479613841524598</v>
          </cell>
          <cell r="AJ113">
            <v>0.79803759309611078</v>
          </cell>
          <cell r="AK113">
            <v>1.2251271814759876</v>
          </cell>
          <cell r="AL113">
            <v>4.5508496458087411</v>
          </cell>
          <cell r="AM113">
            <v>3.0494276104775482</v>
          </cell>
          <cell r="AN113">
            <v>1.1317589077996821</v>
          </cell>
          <cell r="AO113">
            <v>0.95525048721769856</v>
          </cell>
          <cell r="AP113">
            <v>-1.8112517099863199</v>
          </cell>
          <cell r="AQ113">
            <v>-1.609312702410941</v>
          </cell>
          <cell r="AR113">
            <v>-0.34499294096885169</v>
          </cell>
          <cell r="AS113">
            <v>-1.9574529485570897</v>
          </cell>
          <cell r="AT113">
            <v>-0.37200130024921663</v>
          </cell>
          <cell r="AU113">
            <v>0.71948900388098469</v>
          </cell>
          <cell r="AV113">
            <v>0.49341303048415863</v>
          </cell>
          <cell r="AW113">
            <v>-0.27479333277211992</v>
          </cell>
          <cell r="AX113">
            <v>1.0080599561296593</v>
          </cell>
          <cell r="AY113">
            <v>0.82760828625235039</v>
          </cell>
          <cell r="AZ113">
            <v>2.8354747948417396</v>
          </cell>
          <cell r="BA113">
            <v>9.7500208309223453</v>
          </cell>
          <cell r="BB113">
            <v>3.6980556055425602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Q_US_CoreIndustrials"/>
      <sheetName val="Model"/>
      <sheetName val="EOGVALUE"/>
      <sheetName val="EOGCMP"/>
      <sheetName val="Balance Sheet"/>
      <sheetName val="Module1"/>
    </sheetNames>
    <sheetDataSet>
      <sheetData sheetId="0" refreshError="1"/>
      <sheetData sheetId="1" refreshError="1">
        <row r="130">
          <cell r="A130" t="str">
            <v>BARRELS OF OIL EQUIVALENTS</v>
          </cell>
        </row>
        <row r="131">
          <cell r="A131" t="str">
            <v>Natural Gas (Bcf)</v>
          </cell>
        </row>
        <row r="132">
          <cell r="A132" t="str">
            <v xml:space="preserve">  U.S. </v>
          </cell>
          <cell r="B132">
            <v>20.074999999999999</v>
          </cell>
          <cell r="C132">
            <v>19.702999999999999</v>
          </cell>
          <cell r="D132">
            <v>19.953333333333333</v>
          </cell>
          <cell r="E132">
            <v>6.57</v>
          </cell>
          <cell r="F132">
            <v>6.3093333333333339</v>
          </cell>
          <cell r="G132">
            <v>5.7653333333333334</v>
          </cell>
          <cell r="H132">
            <v>7.9733333333333336</v>
          </cell>
          <cell r="I132">
            <v>26.584166666666665</v>
          </cell>
          <cell r="J132">
            <v>6.96</v>
          </cell>
          <cell r="K132">
            <v>6.2941666666666665</v>
          </cell>
          <cell r="L132">
            <v>6.1640000000000006</v>
          </cell>
          <cell r="M132">
            <v>8.908666666666667</v>
          </cell>
          <cell r="N132">
            <v>28.348333333333333</v>
          </cell>
          <cell r="O132">
            <v>7.6591666666666667</v>
          </cell>
          <cell r="P132">
            <v>7.8866666666666667</v>
          </cell>
          <cell r="Q132">
            <v>8.0346666666666664</v>
          </cell>
          <cell r="R132">
            <v>8.74</v>
          </cell>
          <cell r="S132">
            <v>32.320500000000003</v>
          </cell>
          <cell r="T132">
            <v>9.7200000000000006</v>
          </cell>
          <cell r="U132">
            <v>9.7521666666666658</v>
          </cell>
          <cell r="V132">
            <v>9.9666666666666668</v>
          </cell>
          <cell r="W132">
            <v>10.012666666666666</v>
          </cell>
          <cell r="X132">
            <v>39.451500000000003</v>
          </cell>
          <cell r="Y132">
            <v>10.26</v>
          </cell>
          <cell r="Z132">
            <v>9.2061666666666664</v>
          </cell>
          <cell r="AA132">
            <v>8.2493333333333343</v>
          </cell>
          <cell r="AB132">
            <v>9.6293333333333333</v>
          </cell>
          <cell r="AC132">
            <v>37.344833333333334</v>
          </cell>
          <cell r="AD132">
            <v>8.2050000000000001</v>
          </cell>
          <cell r="AE132">
            <v>7.1890000000000001</v>
          </cell>
          <cell r="AF132">
            <v>8.9239999999999995</v>
          </cell>
          <cell r="AG132">
            <v>9.7366666666666664</v>
          </cell>
          <cell r="AH132">
            <v>34.05466666666667</v>
          </cell>
          <cell r="AI132">
            <v>9.375</v>
          </cell>
          <cell r="AJ132">
            <v>9.0544999999999991</v>
          </cell>
          <cell r="AK132">
            <v>8.7553333333333327</v>
          </cell>
          <cell r="AL132">
            <v>9.7826666666666657</v>
          </cell>
          <cell r="AM132">
            <v>36.967500000000001</v>
          </cell>
          <cell r="AN132">
            <v>9.6449999999999996</v>
          </cell>
          <cell r="AO132">
            <v>10.449833333333332</v>
          </cell>
          <cell r="AP132">
            <v>9.798</v>
          </cell>
          <cell r="AQ132">
            <v>10.058666666666666</v>
          </cell>
          <cell r="AR132">
            <v>39.951500000000003</v>
          </cell>
          <cell r="AS132">
            <v>9.66</v>
          </cell>
          <cell r="AT132">
            <v>9.4640000000000004</v>
          </cell>
          <cell r="AU132">
            <v>10.610666666666667</v>
          </cell>
          <cell r="AV132">
            <v>11.070666666666668</v>
          </cell>
          <cell r="AW132">
            <v>40.80533333333333</v>
          </cell>
          <cell r="AX132">
            <v>10.154999999999999</v>
          </cell>
          <cell r="AY132">
            <v>9.7370000000000001</v>
          </cell>
          <cell r="AZ132">
            <v>9.8439999999999994</v>
          </cell>
          <cell r="BA132">
            <v>10.089333333333334</v>
          </cell>
          <cell r="BB132">
            <v>39.825333333333333</v>
          </cell>
        </row>
        <row r="133">
          <cell r="A133" t="str">
            <v xml:space="preserve">  Canada</v>
          </cell>
          <cell r="B133">
            <v>0.85166666666666668</v>
          </cell>
          <cell r="C133">
            <v>0.91500000000000004</v>
          </cell>
          <cell r="D133">
            <v>0.97333333333333327</v>
          </cell>
          <cell r="E133">
            <v>0.255</v>
          </cell>
          <cell r="F133">
            <v>0.24266666666666667</v>
          </cell>
          <cell r="G133">
            <v>0.27599999999999997</v>
          </cell>
          <cell r="H133">
            <v>0.29133333333333333</v>
          </cell>
          <cell r="I133">
            <v>1.095</v>
          </cell>
          <cell r="J133">
            <v>0.33</v>
          </cell>
          <cell r="K133">
            <v>0.36400000000000005</v>
          </cell>
          <cell r="L133">
            <v>0.33733333333333332</v>
          </cell>
          <cell r="M133">
            <v>0.47533333333333333</v>
          </cell>
          <cell r="N133">
            <v>1.5208333333333333</v>
          </cell>
          <cell r="O133">
            <v>0.45500000000000002</v>
          </cell>
          <cell r="P133">
            <v>0.47016666666666668</v>
          </cell>
          <cell r="Q133">
            <v>0.36800000000000005</v>
          </cell>
          <cell r="R133">
            <v>0.45999999999999996</v>
          </cell>
          <cell r="S133">
            <v>1.7531666666666668</v>
          </cell>
          <cell r="T133">
            <v>0.85499999999999998</v>
          </cell>
          <cell r="U133">
            <v>0.78866666666666674</v>
          </cell>
          <cell r="V133">
            <v>0.81266666666666676</v>
          </cell>
          <cell r="W133">
            <v>1.0886666666666667</v>
          </cell>
          <cell r="X133">
            <v>3.5449999999999999</v>
          </cell>
          <cell r="Y133">
            <v>1.095</v>
          </cell>
          <cell r="Z133">
            <v>1.0919999999999999</v>
          </cell>
          <cell r="AA133">
            <v>1.0426666666666666</v>
          </cell>
          <cell r="AB133">
            <v>1.1500000000000001</v>
          </cell>
          <cell r="AC133">
            <v>4.3796666666666662</v>
          </cell>
          <cell r="AD133">
            <v>1.1100000000000001</v>
          </cell>
          <cell r="AE133">
            <v>1.1223333333333334</v>
          </cell>
          <cell r="AF133">
            <v>1.1500000000000001</v>
          </cell>
          <cell r="AG133">
            <v>1.242</v>
          </cell>
          <cell r="AH133">
            <v>4.6243333333333334</v>
          </cell>
          <cell r="AI133">
            <v>1.3499999999999999</v>
          </cell>
          <cell r="AJ133">
            <v>1.5621666666666665</v>
          </cell>
          <cell r="AK133">
            <v>1.518</v>
          </cell>
          <cell r="AL133">
            <v>1.5333333333333332</v>
          </cell>
          <cell r="AM133">
            <v>5.9634999999999998</v>
          </cell>
          <cell r="AN133">
            <v>1.425</v>
          </cell>
          <cell r="AO133">
            <v>1.3953333333333333</v>
          </cell>
          <cell r="AP133">
            <v>1.6713333333333333</v>
          </cell>
          <cell r="AQ133">
            <v>1.6866666666666665</v>
          </cell>
          <cell r="AR133">
            <v>6.1783333333333337</v>
          </cell>
          <cell r="AS133">
            <v>1.5149999999999999</v>
          </cell>
          <cell r="AT133">
            <v>1.4863333333333333</v>
          </cell>
          <cell r="AU133">
            <v>1.6253333333333335</v>
          </cell>
          <cell r="AV133">
            <v>1.7786666666666668</v>
          </cell>
          <cell r="AW133">
            <v>6.405333333333334</v>
          </cell>
          <cell r="AX133">
            <v>1.5599999999999998</v>
          </cell>
          <cell r="AY133">
            <v>1.6986666666666668</v>
          </cell>
          <cell r="AZ133">
            <v>1.7939999999999998</v>
          </cell>
          <cell r="BA133">
            <v>1.9013333333333333</v>
          </cell>
          <cell r="BB133">
            <v>6.9539999999999997</v>
          </cell>
        </row>
        <row r="134">
          <cell r="A134" t="str">
            <v xml:space="preserve">  Trinidad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0.13799999999999998</v>
          </cell>
          <cell r="X134">
            <v>0.13799999999999998</v>
          </cell>
          <cell r="Y134">
            <v>0.63</v>
          </cell>
          <cell r="Z134">
            <v>1.2285000000000001</v>
          </cell>
          <cell r="AA134">
            <v>1.012</v>
          </cell>
          <cell r="AB134">
            <v>0.98133333333333328</v>
          </cell>
          <cell r="AC134">
            <v>3.851833333333333</v>
          </cell>
          <cell r="AD134">
            <v>1.425</v>
          </cell>
          <cell r="AE134">
            <v>1.8503333333333334</v>
          </cell>
          <cell r="AF134">
            <v>1.7173333333333334</v>
          </cell>
          <cell r="AG134">
            <v>1.5026666666666666</v>
          </cell>
          <cell r="AH134">
            <v>6.4953333333333338</v>
          </cell>
          <cell r="AI134">
            <v>1.9950000000000001</v>
          </cell>
          <cell r="AJ134">
            <v>2.1233333333333335</v>
          </cell>
          <cell r="AK134">
            <v>1.5946666666666667</v>
          </cell>
          <cell r="AL134">
            <v>1.8706666666666667</v>
          </cell>
          <cell r="AM134">
            <v>7.5836666666666659</v>
          </cell>
          <cell r="AN134">
            <v>1.68</v>
          </cell>
          <cell r="AO134">
            <v>1.7290000000000001</v>
          </cell>
          <cell r="AP134">
            <v>1.7633333333333334</v>
          </cell>
          <cell r="AQ134">
            <v>1.6559999999999999</v>
          </cell>
          <cell r="AR134">
            <v>6.8283333333333331</v>
          </cell>
          <cell r="AS134">
            <v>1.635</v>
          </cell>
          <cell r="AT134">
            <v>2.0020000000000002</v>
          </cell>
          <cell r="AU134">
            <v>2.4993333333333334</v>
          </cell>
          <cell r="AV134">
            <v>2.3460000000000001</v>
          </cell>
          <cell r="AW134">
            <v>8.4710416666666664</v>
          </cell>
          <cell r="AX134">
            <v>2.2799999999999998</v>
          </cell>
          <cell r="AY134">
            <v>1.9716666666666667</v>
          </cell>
          <cell r="AZ134">
            <v>1.748</v>
          </cell>
          <cell r="BA134">
            <v>1.4873333333333332</v>
          </cell>
          <cell r="BB134">
            <v>7.4977083333333328</v>
          </cell>
        </row>
        <row r="135">
          <cell r="A135" t="str">
            <v xml:space="preserve">  India</v>
          </cell>
          <cell r="AP135">
            <v>0.52133333333333332</v>
          </cell>
          <cell r="AQ135">
            <v>0.58266666666666667</v>
          </cell>
          <cell r="AR135">
            <v>1.1191666666666666</v>
          </cell>
          <cell r="AS135">
            <v>0.70500000000000007</v>
          </cell>
          <cell r="AT135">
            <v>0.8038333333333334</v>
          </cell>
          <cell r="AU135">
            <v>0.88933333333333342</v>
          </cell>
          <cell r="AV135">
            <v>0.95066666666666666</v>
          </cell>
          <cell r="AW135">
            <v>3.3458333333333332</v>
          </cell>
          <cell r="AX135">
            <v>1.0649999999999999</v>
          </cell>
          <cell r="AY135">
            <v>1.1375</v>
          </cell>
          <cell r="AZ135">
            <v>0.58266666666666667</v>
          </cell>
          <cell r="BA135">
            <v>0</v>
          </cell>
          <cell r="BB135">
            <v>2.7983333333333333</v>
          </cell>
        </row>
        <row r="136">
          <cell r="A136" t="str">
            <v>Total</v>
          </cell>
          <cell r="B136">
            <v>20.926666666666666</v>
          </cell>
          <cell r="C136">
            <v>20.617999999999999</v>
          </cell>
          <cell r="D136">
            <v>20.926666666666666</v>
          </cell>
          <cell r="E136">
            <v>6.8250000000000002</v>
          </cell>
          <cell r="F136">
            <v>6.5520000000000005</v>
          </cell>
          <cell r="G136">
            <v>6.0413333333333332</v>
          </cell>
          <cell r="H136">
            <v>8.2646666666666668</v>
          </cell>
          <cell r="I136">
            <v>27.679166666666664</v>
          </cell>
          <cell r="J136">
            <v>7.2899999999999991</v>
          </cell>
          <cell r="K136">
            <v>6.6581666666666663</v>
          </cell>
          <cell r="L136">
            <v>6.5013333333333341</v>
          </cell>
          <cell r="M136">
            <v>9.3839999999999986</v>
          </cell>
          <cell r="N136">
            <v>29.869166666666668</v>
          </cell>
          <cell r="O136">
            <v>8.1141666666666659</v>
          </cell>
          <cell r="P136">
            <v>8.3568333333333324</v>
          </cell>
          <cell r="Q136">
            <v>8.4026666666666667</v>
          </cell>
          <cell r="R136">
            <v>9.1999999999999993</v>
          </cell>
          <cell r="S136">
            <v>34.073666666666668</v>
          </cell>
          <cell r="T136">
            <v>10.575000000000001</v>
          </cell>
          <cell r="U136">
            <v>10.540833333333333</v>
          </cell>
          <cell r="V136">
            <v>10.779333333333334</v>
          </cell>
          <cell r="W136">
            <v>11.239333333333335</v>
          </cell>
          <cell r="X136">
            <v>43.134499999999996</v>
          </cell>
          <cell r="Y136">
            <v>11.984999999999999</v>
          </cell>
          <cell r="Z136">
            <v>11.526666666666666</v>
          </cell>
          <cell r="AA136">
            <v>10.304</v>
          </cell>
          <cell r="AB136">
            <v>11.760666666666667</v>
          </cell>
          <cell r="AC136">
            <v>45.576333333333338</v>
          </cell>
          <cell r="AD136">
            <v>10.74</v>
          </cell>
          <cell r="AE136">
            <v>10.161666666666667</v>
          </cell>
          <cell r="AF136">
            <v>11.791333333333332</v>
          </cell>
          <cell r="AG136">
            <v>12.481333333333334</v>
          </cell>
          <cell r="AH136">
            <v>45.17433333333333</v>
          </cell>
          <cell r="AI136">
            <v>12.719999999999999</v>
          </cell>
          <cell r="AJ136">
            <v>12.74</v>
          </cell>
          <cell r="AK136">
            <v>11.868</v>
          </cell>
          <cell r="AL136">
            <v>13.186666666666667</v>
          </cell>
          <cell r="AM136">
            <v>50.51466666666667</v>
          </cell>
          <cell r="AN136">
            <v>12.75</v>
          </cell>
          <cell r="AO136">
            <v>13.574166666666665</v>
          </cell>
          <cell r="AP136">
            <v>13.754</v>
          </cell>
          <cell r="AQ136">
            <v>13.401333333333332</v>
          </cell>
          <cell r="AR136">
            <v>52.958166666666671</v>
          </cell>
          <cell r="AS136">
            <v>13.515000000000001</v>
          </cell>
          <cell r="AT136">
            <v>13.756166666666667</v>
          </cell>
          <cell r="AU136">
            <v>15.624666666666664</v>
          </cell>
          <cell r="AV136">
            <v>16.145999999999997</v>
          </cell>
          <cell r="AW136">
            <v>59.027541666666671</v>
          </cell>
          <cell r="AX136">
            <v>15.06</v>
          </cell>
          <cell r="AY136">
            <v>14.544833333333335</v>
          </cell>
          <cell r="AZ136">
            <v>13.968666666666666</v>
          </cell>
          <cell r="BA136">
            <v>13.478</v>
          </cell>
          <cell r="BB136">
            <v>57.075375000000001</v>
          </cell>
        </row>
        <row r="138">
          <cell r="A138" t="str">
            <v>Natural Gas Liquids</v>
          </cell>
        </row>
        <row r="139">
          <cell r="A139" t="str">
            <v xml:space="preserve">  U.S. </v>
          </cell>
          <cell r="B139">
            <v>0.2263</v>
          </cell>
          <cell r="C139">
            <v>0.31768799999999997</v>
          </cell>
          <cell r="D139">
            <v>0.11315</v>
          </cell>
          <cell r="E139">
            <v>2.7899999999999998E-2</v>
          </cell>
          <cell r="F139">
            <v>2.2568000000000001E-2</v>
          </cell>
          <cell r="G139">
            <v>1.7111999999999999E-2</v>
          </cell>
          <cell r="H139">
            <v>1.7111999999999999E-2</v>
          </cell>
          <cell r="I139">
            <v>9.0519999999999989E-2</v>
          </cell>
          <cell r="J139">
            <v>1.6740000000000001E-2</v>
          </cell>
          <cell r="K139">
            <v>5.6420000000000003E-3</v>
          </cell>
          <cell r="L139">
            <v>1.7111999999999999E-2</v>
          </cell>
          <cell r="M139">
            <v>2.2816000000000003E-2</v>
          </cell>
          <cell r="N139">
            <v>6.7890000000000006E-2</v>
          </cell>
          <cell r="O139">
            <v>1.1284000000000001E-2</v>
          </cell>
          <cell r="P139">
            <v>1.6926E-2</v>
          </cell>
          <cell r="Q139">
            <v>3.9927999999999991E-2</v>
          </cell>
          <cell r="R139">
            <v>1.7111999999999999E-2</v>
          </cell>
          <cell r="S139">
            <v>8.5250000000000006E-2</v>
          </cell>
          <cell r="T139">
            <v>1.6740000000000001E-2</v>
          </cell>
          <cell r="U139">
            <v>1.6926E-2</v>
          </cell>
          <cell r="V139">
            <v>1.1408000000000001E-2</v>
          </cell>
          <cell r="W139">
            <v>1.1408000000000001E-2</v>
          </cell>
          <cell r="X139">
            <v>5.6482000000000011E-2</v>
          </cell>
          <cell r="Y139">
            <v>1.116E-2</v>
          </cell>
          <cell r="Z139">
            <v>1.1284000000000001E-2</v>
          </cell>
          <cell r="AA139">
            <v>1.7111999999999999E-2</v>
          </cell>
          <cell r="AB139">
            <v>2.2816000000000003E-2</v>
          </cell>
          <cell r="AC139">
            <v>6.2371999999999997E-2</v>
          </cell>
          <cell r="AD139">
            <v>0.11718000000000001</v>
          </cell>
          <cell r="AE139">
            <v>3.9493999999999994E-2</v>
          </cell>
          <cell r="AF139">
            <v>3.4223999999999997E-2</v>
          </cell>
          <cell r="AG139">
            <v>5.1336E-2</v>
          </cell>
          <cell r="AH139">
            <v>0.242234</v>
          </cell>
          <cell r="AI139">
            <v>9.486E-2</v>
          </cell>
          <cell r="AJ139">
            <v>3.9493999999999994E-2</v>
          </cell>
          <cell r="AK139">
            <v>5.704E-2</v>
          </cell>
          <cell r="AL139">
            <v>0.102672</v>
          </cell>
          <cell r="AM139">
            <v>0.29406599999999999</v>
          </cell>
          <cell r="AN139">
            <v>0.14508000000000001</v>
          </cell>
          <cell r="AO139">
            <v>0.12412400000000001</v>
          </cell>
          <cell r="AP139">
            <v>0.16541600000000004</v>
          </cell>
          <cell r="AQ139">
            <v>0.15400800000000001</v>
          </cell>
          <cell r="AR139">
            <v>0.58862799999999993</v>
          </cell>
          <cell r="AS139">
            <v>0.15066000000000002</v>
          </cell>
          <cell r="AT139">
            <v>0.14105000000000001</v>
          </cell>
          <cell r="AU139">
            <v>0.17112000000000002</v>
          </cell>
          <cell r="AV139">
            <v>0.17112000000000002</v>
          </cell>
          <cell r="AW139">
            <v>0.63395000000000001</v>
          </cell>
          <cell r="AX139">
            <v>0.14508000000000001</v>
          </cell>
          <cell r="AY139">
            <v>0.15797599999999998</v>
          </cell>
          <cell r="AZ139">
            <v>0.13689599999999999</v>
          </cell>
          <cell r="BA139">
            <v>0.14830400000000002</v>
          </cell>
          <cell r="BB139">
            <v>0.588256</v>
          </cell>
        </row>
        <row r="140">
          <cell r="A140" t="str">
            <v xml:space="preserve">  Canada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3.9927999999999991E-2</v>
          </cell>
          <cell r="M140">
            <v>2.2816000000000003E-2</v>
          </cell>
          <cell r="N140">
            <v>6.7890000000000006E-2</v>
          </cell>
          <cell r="O140">
            <v>2.2568000000000001E-2</v>
          </cell>
          <cell r="P140">
            <v>1.6926E-2</v>
          </cell>
          <cell r="Q140">
            <v>2.2816000000000003E-2</v>
          </cell>
          <cell r="R140">
            <v>1.82528E-2</v>
          </cell>
          <cell r="S140">
            <v>8.0562800000000004E-2</v>
          </cell>
          <cell r="T140">
            <v>2.232E-2</v>
          </cell>
          <cell r="U140">
            <v>1.1284000000000001E-2</v>
          </cell>
          <cell r="V140">
            <v>1.7111999999999999E-2</v>
          </cell>
          <cell r="W140">
            <v>3.4223999999999997E-2</v>
          </cell>
          <cell r="X140">
            <v>8.4940000000000002E-2</v>
          </cell>
          <cell r="Y140">
            <v>2.7899999999999998E-2</v>
          </cell>
          <cell r="Z140">
            <v>2.2568000000000001E-2</v>
          </cell>
          <cell r="AA140">
            <v>2.2816000000000003E-2</v>
          </cell>
          <cell r="AB140">
            <v>2.2816000000000003E-2</v>
          </cell>
          <cell r="AC140">
            <v>9.6100000000000005E-2</v>
          </cell>
          <cell r="AD140">
            <v>2.232E-2</v>
          </cell>
          <cell r="AE140">
            <v>1.1284000000000001E-2</v>
          </cell>
          <cell r="AF140">
            <v>2.2816000000000003E-2</v>
          </cell>
          <cell r="AG140">
            <v>2.852E-2</v>
          </cell>
          <cell r="AH140">
            <v>8.4940000000000002E-2</v>
          </cell>
          <cell r="AI140">
            <v>3.9059999999999991E-2</v>
          </cell>
          <cell r="AJ140">
            <v>7.8987999999999989E-2</v>
          </cell>
          <cell r="AK140">
            <v>7.415200000000001E-2</v>
          </cell>
          <cell r="AL140">
            <v>7.9855999999999983E-2</v>
          </cell>
          <cell r="AM140">
            <v>0.27205599999999996</v>
          </cell>
          <cell r="AN140">
            <v>7.2540000000000007E-2</v>
          </cell>
          <cell r="AO140">
            <v>5.6419999999999998E-2</v>
          </cell>
          <cell r="AP140">
            <v>8.5560000000000011E-2</v>
          </cell>
          <cell r="AQ140">
            <v>6.2743999999999994E-2</v>
          </cell>
          <cell r="AR140">
            <v>0.27726400000000001</v>
          </cell>
          <cell r="AS140">
            <v>6.1380000000000011E-2</v>
          </cell>
          <cell r="AT140">
            <v>6.2062000000000006E-2</v>
          </cell>
          <cell r="AU140">
            <v>5.704E-2</v>
          </cell>
          <cell r="AV140">
            <v>5.704E-2</v>
          </cell>
          <cell r="AW140">
            <v>0.23752200000000007</v>
          </cell>
          <cell r="AX140">
            <v>2.232E-2</v>
          </cell>
          <cell r="AY140">
            <v>5.6419999999999998E-2</v>
          </cell>
          <cell r="AZ140">
            <v>4.5632000000000006E-2</v>
          </cell>
          <cell r="BA140">
            <v>5.1336E-2</v>
          </cell>
          <cell r="BB140">
            <v>0.17570800000000003</v>
          </cell>
        </row>
        <row r="141">
          <cell r="A141" t="str">
            <v>Total</v>
          </cell>
          <cell r="B141">
            <v>0.2263</v>
          </cell>
          <cell r="C141">
            <v>0.31768799999999997</v>
          </cell>
          <cell r="D141">
            <v>0.11315</v>
          </cell>
          <cell r="E141">
            <v>2.7899999999999998E-2</v>
          </cell>
          <cell r="F141">
            <v>2.2568000000000001E-2</v>
          </cell>
          <cell r="G141">
            <v>1.7111999999999999E-2</v>
          </cell>
          <cell r="H141">
            <v>1.7111999999999999E-2</v>
          </cell>
          <cell r="I141">
            <v>9.0519999999999989E-2</v>
          </cell>
          <cell r="J141">
            <v>1.6740000000000001E-2</v>
          </cell>
          <cell r="K141">
            <v>5.6420000000000003E-3</v>
          </cell>
          <cell r="L141">
            <v>5.7039999999999993E-2</v>
          </cell>
          <cell r="M141">
            <v>4.5632000000000006E-2</v>
          </cell>
          <cell r="N141">
            <v>0.13578000000000001</v>
          </cell>
          <cell r="O141">
            <v>3.3852E-2</v>
          </cell>
          <cell r="P141">
            <v>3.3852E-2</v>
          </cell>
          <cell r="Q141">
            <v>6.2743999999999994E-2</v>
          </cell>
          <cell r="R141">
            <v>3.5364800000000002E-2</v>
          </cell>
          <cell r="S141">
            <v>0.16581280000000001</v>
          </cell>
          <cell r="T141">
            <v>3.9059999999999997E-2</v>
          </cell>
          <cell r="U141">
            <v>2.8209999999999999E-2</v>
          </cell>
          <cell r="V141">
            <v>2.852E-2</v>
          </cell>
          <cell r="W141">
            <v>4.5631999999999999E-2</v>
          </cell>
          <cell r="X141">
            <v>0.14142200000000002</v>
          </cell>
          <cell r="Y141">
            <v>3.9059999999999997E-2</v>
          </cell>
          <cell r="Z141">
            <v>3.3852E-2</v>
          </cell>
          <cell r="AA141">
            <v>3.9928000000000005E-2</v>
          </cell>
          <cell r="AB141">
            <v>4.5632000000000006E-2</v>
          </cell>
          <cell r="AC141">
            <v>0.15847200000000003</v>
          </cell>
          <cell r="AD141">
            <v>0.13950000000000001</v>
          </cell>
          <cell r="AE141">
            <v>5.0777999999999997E-2</v>
          </cell>
          <cell r="AF141">
            <v>5.704E-2</v>
          </cell>
          <cell r="AG141">
            <v>7.9855999999999996E-2</v>
          </cell>
          <cell r="AH141">
            <v>0.32717400000000002</v>
          </cell>
          <cell r="AI141">
            <v>0.13391999999999998</v>
          </cell>
          <cell r="AJ141">
            <v>0.11848199999999999</v>
          </cell>
          <cell r="AK141">
            <v>0.131192</v>
          </cell>
          <cell r="AL141">
            <v>0.182528</v>
          </cell>
          <cell r="AM141">
            <v>0.5661219999999999</v>
          </cell>
          <cell r="AN141">
            <v>0.21762000000000001</v>
          </cell>
          <cell r="AO141">
            <v>0.18054400000000001</v>
          </cell>
          <cell r="AP141">
            <v>0.25097600000000003</v>
          </cell>
          <cell r="AQ141">
            <v>0.216752</v>
          </cell>
          <cell r="AR141">
            <v>0.86589199999999988</v>
          </cell>
          <cell r="AS141">
            <v>0.21204000000000001</v>
          </cell>
          <cell r="AT141">
            <v>0.20311199999999999</v>
          </cell>
          <cell r="AU141">
            <v>0.22816</v>
          </cell>
          <cell r="AV141">
            <v>0.22816</v>
          </cell>
          <cell r="AW141">
            <v>0.87147200000000014</v>
          </cell>
          <cell r="AX141">
            <v>0.16740000000000002</v>
          </cell>
          <cell r="AY141">
            <v>0.214396</v>
          </cell>
          <cell r="AZ141">
            <v>0.182528</v>
          </cell>
          <cell r="BA141">
            <v>0.19964000000000001</v>
          </cell>
          <cell r="BB141">
            <v>0.76396399999999998</v>
          </cell>
        </row>
        <row r="143">
          <cell r="A143" t="str">
            <v>Crude Oil &amp; Condensate (MMBbl)</v>
          </cell>
        </row>
        <row r="144">
          <cell r="A144" t="str">
            <v xml:space="preserve">  U.S. </v>
          </cell>
          <cell r="B144">
            <v>3.2850000000000001</v>
          </cell>
          <cell r="C144">
            <v>2.9279999999999999</v>
          </cell>
          <cell r="D144">
            <v>2.0804999999999998</v>
          </cell>
          <cell r="E144">
            <v>0.53100000000000003</v>
          </cell>
          <cell r="F144">
            <v>0.50049999999999994</v>
          </cell>
          <cell r="G144">
            <v>0.52439999999999998</v>
          </cell>
          <cell r="H144">
            <v>0.57040000000000002</v>
          </cell>
          <cell r="I144">
            <v>2.117</v>
          </cell>
          <cell r="J144">
            <v>0.54900000000000004</v>
          </cell>
          <cell r="K144">
            <v>0.57329999999999992</v>
          </cell>
          <cell r="L144">
            <v>0.49680000000000002</v>
          </cell>
          <cell r="M144">
            <v>0.55200000000000005</v>
          </cell>
          <cell r="N144">
            <v>2.1535000000000002</v>
          </cell>
          <cell r="O144">
            <v>0.60060000000000002</v>
          </cell>
          <cell r="P144">
            <v>0.51870000000000005</v>
          </cell>
          <cell r="Q144">
            <v>0.55200000000000005</v>
          </cell>
          <cell r="R144">
            <v>0.53360000000000007</v>
          </cell>
          <cell r="S144">
            <v>2.2049000000000003</v>
          </cell>
          <cell r="T144">
            <v>0.67500000000000004</v>
          </cell>
          <cell r="U144">
            <v>0.6643</v>
          </cell>
          <cell r="V144">
            <v>0.5796</v>
          </cell>
          <cell r="W144">
            <v>0.50600000000000001</v>
          </cell>
          <cell r="X144">
            <v>2.4249000000000001</v>
          </cell>
          <cell r="Y144">
            <v>0.63900000000000001</v>
          </cell>
          <cell r="Z144">
            <v>0.6552</v>
          </cell>
          <cell r="AA144">
            <v>0.75439999999999996</v>
          </cell>
          <cell r="AB144">
            <v>0.85560000000000003</v>
          </cell>
          <cell r="AC144">
            <v>2.9041999999999999</v>
          </cell>
          <cell r="AD144">
            <v>0.86399999999999999</v>
          </cell>
          <cell r="AE144">
            <v>0.79169999999999996</v>
          </cell>
          <cell r="AF144">
            <v>0.84639999999999993</v>
          </cell>
          <cell r="AG144">
            <v>0.81880000000000008</v>
          </cell>
          <cell r="AH144">
            <v>3.3209</v>
          </cell>
          <cell r="AI144">
            <v>0.78299999999999992</v>
          </cell>
          <cell r="AJ144">
            <v>0.79169999999999996</v>
          </cell>
          <cell r="AK144">
            <v>0.8004</v>
          </cell>
          <cell r="AL144">
            <v>0.98439999999999994</v>
          </cell>
          <cell r="AM144">
            <v>3.3595000000000002</v>
          </cell>
          <cell r="AN144">
            <v>0.96299999999999986</v>
          </cell>
          <cell r="AO144">
            <v>1.0191999999999999</v>
          </cell>
          <cell r="AP144">
            <v>1.1316000000000002</v>
          </cell>
          <cell r="AQ144">
            <v>1.1499999999999999</v>
          </cell>
          <cell r="AR144">
            <v>4.2637999999999998</v>
          </cell>
          <cell r="AS144">
            <v>1.1339999999999999</v>
          </cell>
          <cell r="AT144">
            <v>1.1102000000000001</v>
          </cell>
          <cell r="AU144">
            <v>1.5272000000000001</v>
          </cell>
          <cell r="AV144">
            <v>1.3248</v>
          </cell>
          <cell r="AW144">
            <v>5.0961999999999996</v>
          </cell>
          <cell r="AX144">
            <v>1.179</v>
          </cell>
          <cell r="AY144">
            <v>1.1920999999999999</v>
          </cell>
          <cell r="AZ144">
            <v>1.3431999999999999</v>
          </cell>
          <cell r="BA144">
            <v>1.5548</v>
          </cell>
          <cell r="BB144">
            <v>5.2691000000000008</v>
          </cell>
        </row>
        <row r="145">
          <cell r="A145" t="str">
            <v xml:space="preserve">  Canada</v>
          </cell>
          <cell r="B145">
            <v>0.73</v>
          </cell>
          <cell r="C145">
            <v>0.73199999999999998</v>
          </cell>
          <cell r="D145">
            <v>0.94899999999999995</v>
          </cell>
          <cell r="E145">
            <v>0.22500000000000001</v>
          </cell>
          <cell r="F145">
            <v>0.20929999999999999</v>
          </cell>
          <cell r="G145">
            <v>0.2208</v>
          </cell>
          <cell r="H145">
            <v>0.2208</v>
          </cell>
          <cell r="I145">
            <v>0.876</v>
          </cell>
          <cell r="J145">
            <v>0.216</v>
          </cell>
          <cell r="K145">
            <v>0.21840000000000001</v>
          </cell>
          <cell r="L145">
            <v>0.1656</v>
          </cell>
          <cell r="M145">
            <v>0.2208</v>
          </cell>
          <cell r="N145">
            <v>0.83949999999999991</v>
          </cell>
          <cell r="O145">
            <v>0.20020000000000002</v>
          </cell>
          <cell r="P145">
            <v>0.20020000000000002</v>
          </cell>
          <cell r="Q145">
            <v>0.2024</v>
          </cell>
          <cell r="R145">
            <v>0.2024</v>
          </cell>
          <cell r="S145">
            <v>0.80520000000000003</v>
          </cell>
          <cell r="T145">
            <v>0.19800000000000004</v>
          </cell>
          <cell r="U145">
            <v>0.20020000000000002</v>
          </cell>
          <cell r="V145">
            <v>0.19320000000000001</v>
          </cell>
          <cell r="W145">
            <v>0.2024</v>
          </cell>
          <cell r="X145">
            <v>0.79380000000000006</v>
          </cell>
          <cell r="Y145">
            <v>0.17100000000000001</v>
          </cell>
          <cell r="Z145">
            <v>0.1729</v>
          </cell>
          <cell r="AA145">
            <v>0.17479999999999998</v>
          </cell>
          <cell r="AB145">
            <v>0.2208</v>
          </cell>
          <cell r="AC145">
            <v>0.73949999999999994</v>
          </cell>
          <cell r="AD145">
            <v>0.189</v>
          </cell>
          <cell r="AE145">
            <v>0.20020000000000002</v>
          </cell>
          <cell r="AF145">
            <v>0.25759999999999994</v>
          </cell>
          <cell r="AG145">
            <v>0.23</v>
          </cell>
          <cell r="AH145">
            <v>0.87679999999999991</v>
          </cell>
          <cell r="AI145">
            <v>0.23400000000000001</v>
          </cell>
          <cell r="AJ145">
            <v>0.20929999999999999</v>
          </cell>
          <cell r="AK145">
            <v>0.19320000000000001</v>
          </cell>
          <cell r="AL145">
            <v>0.23</v>
          </cell>
          <cell r="AM145">
            <v>0.86650000000000005</v>
          </cell>
          <cell r="AN145">
            <v>0.216</v>
          </cell>
          <cell r="AO145">
            <v>0.21840000000000001</v>
          </cell>
          <cell r="AP145">
            <v>0.23</v>
          </cell>
          <cell r="AQ145">
            <v>0.27600000000000002</v>
          </cell>
          <cell r="AR145">
            <v>0.9403999999999999</v>
          </cell>
          <cell r="AS145">
            <v>0.24300000000000002</v>
          </cell>
          <cell r="AT145">
            <v>0.22750000000000001</v>
          </cell>
          <cell r="AU145">
            <v>0.25759999999999994</v>
          </cell>
          <cell r="AV145">
            <v>0.24840000000000001</v>
          </cell>
          <cell r="AW145">
            <v>0.97649999999999992</v>
          </cell>
          <cell r="AX145">
            <v>0.24300000000000002</v>
          </cell>
          <cell r="AY145">
            <v>0.24570000000000003</v>
          </cell>
          <cell r="AZ145">
            <v>0.24840000000000001</v>
          </cell>
          <cell r="BA145">
            <v>0.21159999999999998</v>
          </cell>
          <cell r="BB145">
            <v>0.94870000000000021</v>
          </cell>
        </row>
        <row r="146">
          <cell r="A146" t="str">
            <v xml:space="preserve">  Trinidad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3.6800000000000006E-2</v>
          </cell>
          <cell r="X146">
            <v>3.6499999999999998E-2</v>
          </cell>
          <cell r="Y146">
            <v>0.16200000000000001</v>
          </cell>
          <cell r="Z146">
            <v>0.29120000000000001</v>
          </cell>
          <cell r="AA146">
            <v>0.24840000000000001</v>
          </cell>
          <cell r="AB146">
            <v>0.26680000000000004</v>
          </cell>
          <cell r="AC146">
            <v>0.96840000000000004</v>
          </cell>
          <cell r="AD146">
            <v>0.32400000000000001</v>
          </cell>
          <cell r="AE146">
            <v>0.43680000000000002</v>
          </cell>
          <cell r="AF146">
            <v>0.54280000000000006</v>
          </cell>
          <cell r="AG146">
            <v>0.55200000000000005</v>
          </cell>
          <cell r="AH146">
            <v>1.8555999999999999</v>
          </cell>
          <cell r="AI146">
            <v>0.63900000000000001</v>
          </cell>
          <cell r="AJ146">
            <v>0.49140000000000006</v>
          </cell>
          <cell r="AK146">
            <v>0.41399999999999998</v>
          </cell>
          <cell r="AL146">
            <v>0.38640000000000002</v>
          </cell>
          <cell r="AM146">
            <v>1.9307999999999998</v>
          </cell>
          <cell r="AN146">
            <v>0.33300000000000002</v>
          </cell>
          <cell r="AO146">
            <v>0.31850000000000001</v>
          </cell>
          <cell r="AP146">
            <v>0.31280000000000002</v>
          </cell>
          <cell r="AQ146">
            <v>0.27600000000000002</v>
          </cell>
          <cell r="AR146">
            <v>1.2403</v>
          </cell>
          <cell r="AS146">
            <v>0.25199999999999995</v>
          </cell>
          <cell r="AT146">
            <v>0.26389999999999997</v>
          </cell>
          <cell r="AU146">
            <v>0.28520000000000001</v>
          </cell>
          <cell r="AV146">
            <v>0.27600000000000002</v>
          </cell>
          <cell r="AW146">
            <v>1.0770999999999999</v>
          </cell>
          <cell r="AX146">
            <v>0.25199999999999995</v>
          </cell>
          <cell r="AY146">
            <v>0.20929999999999999</v>
          </cell>
          <cell r="AZ146">
            <v>0.2208</v>
          </cell>
          <cell r="BA146">
            <v>0.19320000000000001</v>
          </cell>
          <cell r="BB146">
            <v>0.87529999999999997</v>
          </cell>
        </row>
        <row r="147">
          <cell r="A147" t="str">
            <v xml:space="preserve">  India</v>
          </cell>
          <cell r="AD147">
            <v>0.25199999999999995</v>
          </cell>
          <cell r="AE147">
            <v>0.15469999999999998</v>
          </cell>
          <cell r="AF147">
            <v>0.21159999999999998</v>
          </cell>
          <cell r="AG147">
            <v>0.29440000000000005</v>
          </cell>
          <cell r="AH147">
            <v>0.91270000000000018</v>
          </cell>
          <cell r="AI147">
            <v>0.27</v>
          </cell>
          <cell r="AJ147">
            <v>0.24570000000000003</v>
          </cell>
          <cell r="AK147">
            <v>0.2208</v>
          </cell>
          <cell r="AL147">
            <v>0.27600000000000002</v>
          </cell>
          <cell r="AM147">
            <v>1.0125000000000002</v>
          </cell>
          <cell r="AN147">
            <v>0.25199999999999995</v>
          </cell>
          <cell r="AO147">
            <v>0</v>
          </cell>
          <cell r="AP147">
            <v>0.2208</v>
          </cell>
          <cell r="AQ147">
            <v>0.35880000000000001</v>
          </cell>
          <cell r="AR147">
            <v>0.83159999999999989</v>
          </cell>
          <cell r="AS147">
            <v>0.378</v>
          </cell>
          <cell r="AT147">
            <v>0.43680000000000002</v>
          </cell>
          <cell r="AU147">
            <v>0.46920000000000001</v>
          </cell>
          <cell r="AV147">
            <v>0.5888000000000001</v>
          </cell>
          <cell r="AW147">
            <v>1.8728000000000002</v>
          </cell>
          <cell r="AX147">
            <v>0.63900000000000001</v>
          </cell>
          <cell r="AY147">
            <v>0.58240000000000003</v>
          </cell>
          <cell r="AZ147">
            <v>0.26680000000000004</v>
          </cell>
          <cell r="BA147">
            <v>0</v>
          </cell>
          <cell r="BB147">
            <v>1.4882</v>
          </cell>
        </row>
        <row r="148">
          <cell r="A148" t="str">
            <v>Total</v>
          </cell>
          <cell r="B148">
            <v>4.0150000000000006</v>
          </cell>
          <cell r="C148">
            <v>3.66</v>
          </cell>
          <cell r="D148">
            <v>3.0294999999999996</v>
          </cell>
          <cell r="E148">
            <v>0.75600000000000001</v>
          </cell>
          <cell r="F148">
            <v>0.70979999999999999</v>
          </cell>
          <cell r="G148">
            <v>0.74519999999999997</v>
          </cell>
          <cell r="H148">
            <v>0.79120000000000001</v>
          </cell>
          <cell r="I148">
            <v>2.9929999999999999</v>
          </cell>
          <cell r="J148">
            <v>0.76500000000000001</v>
          </cell>
          <cell r="K148">
            <v>0.79169999999999996</v>
          </cell>
          <cell r="L148">
            <v>0.66239999999999999</v>
          </cell>
          <cell r="M148">
            <v>0.77280000000000004</v>
          </cell>
          <cell r="N148">
            <v>2.9930000000000003</v>
          </cell>
          <cell r="O148">
            <v>0.80080000000000007</v>
          </cell>
          <cell r="P148">
            <v>0.71890000000000009</v>
          </cell>
          <cell r="Q148">
            <v>0.75440000000000007</v>
          </cell>
          <cell r="R148">
            <v>0.7360000000000001</v>
          </cell>
          <cell r="S148">
            <v>3.0101000000000004</v>
          </cell>
          <cell r="T148">
            <v>0.87300000000000011</v>
          </cell>
          <cell r="U148">
            <v>0.86450000000000005</v>
          </cell>
          <cell r="V148">
            <v>0.77280000000000004</v>
          </cell>
          <cell r="W148">
            <v>0.74520000000000008</v>
          </cell>
          <cell r="X148">
            <v>3.2552000000000003</v>
          </cell>
          <cell r="Y148">
            <v>0.97200000000000009</v>
          </cell>
          <cell r="Z148">
            <v>1.1193</v>
          </cell>
          <cell r="AA148">
            <v>1.1776</v>
          </cell>
          <cell r="AB148">
            <v>1.3431999999999999</v>
          </cell>
          <cell r="AC148">
            <v>4.6120999999999999</v>
          </cell>
          <cell r="AD148">
            <v>1.629</v>
          </cell>
          <cell r="AE148">
            <v>1.5834000000000001</v>
          </cell>
          <cell r="AF148">
            <v>1.8583999999999998</v>
          </cell>
          <cell r="AG148">
            <v>1.8952000000000002</v>
          </cell>
          <cell r="AH148">
            <v>6.9660000000000002</v>
          </cell>
          <cell r="AI148">
            <v>1.9259999999999999</v>
          </cell>
          <cell r="AJ148">
            <v>1.7381</v>
          </cell>
          <cell r="AK148">
            <v>1.6284000000000001</v>
          </cell>
          <cell r="AL148">
            <v>1.8768</v>
          </cell>
          <cell r="AM148">
            <v>7.1692999999999998</v>
          </cell>
          <cell r="AN148">
            <v>1.7639999999999998</v>
          </cell>
          <cell r="AO148">
            <v>1.5560999999999998</v>
          </cell>
          <cell r="AP148">
            <v>1.8952</v>
          </cell>
          <cell r="AQ148">
            <v>2.0608</v>
          </cell>
          <cell r="AR148">
            <v>7.2760999999999996</v>
          </cell>
          <cell r="AS148">
            <v>2.0070000000000001</v>
          </cell>
          <cell r="AT148">
            <v>2.0384000000000002</v>
          </cell>
          <cell r="AU148">
            <v>2.5392000000000001</v>
          </cell>
          <cell r="AV148">
            <v>2.4380000000000002</v>
          </cell>
          <cell r="AW148">
            <v>9.0225999999999988</v>
          </cell>
          <cell r="AX148">
            <v>2.3130000000000002</v>
          </cell>
          <cell r="AY148">
            <v>2.2294999999999998</v>
          </cell>
          <cell r="AZ148">
            <v>2.0791999999999997</v>
          </cell>
          <cell r="BA148">
            <v>1.9596</v>
          </cell>
          <cell r="BB148">
            <v>8.5813000000000024</v>
          </cell>
        </row>
        <row r="149">
          <cell r="A149" t="str">
            <v>Total BOE</v>
          </cell>
          <cell r="B149">
            <v>25.167966666666665</v>
          </cell>
          <cell r="C149">
            <v>24.595687999999999</v>
          </cell>
          <cell r="D149">
            <v>24.069316666666666</v>
          </cell>
          <cell r="E149">
            <v>7.6089000000000002</v>
          </cell>
          <cell r="F149">
            <v>7.2843680000000006</v>
          </cell>
          <cell r="G149">
            <v>6.8036453333333329</v>
          </cell>
          <cell r="H149">
            <v>9.0729786666666659</v>
          </cell>
          <cell r="I149">
            <v>30.762686666666664</v>
          </cell>
          <cell r="J149">
            <v>8.0717400000000001</v>
          </cell>
          <cell r="K149">
            <v>7.4555086666666659</v>
          </cell>
          <cell r="L149">
            <v>7.2207733333333337</v>
          </cell>
          <cell r="M149">
            <v>10.202431999999998</v>
          </cell>
          <cell r="N149">
            <v>32.997946666666671</v>
          </cell>
          <cell r="O149">
            <v>8.948818666666666</v>
          </cell>
          <cell r="P149">
            <v>9.1095853333333316</v>
          </cell>
          <cell r="Q149">
            <v>9.2198106666666675</v>
          </cell>
          <cell r="R149">
            <v>9.9713647999999999</v>
          </cell>
          <cell r="S149">
            <v>37.249579466666667</v>
          </cell>
          <cell r="T149">
            <v>11.48706</v>
          </cell>
          <cell r="U149">
            <v>11.433543333333333</v>
          </cell>
          <cell r="V149">
            <v>11.580653333333334</v>
          </cell>
          <cell r="W149">
            <v>12.030165333333334</v>
          </cell>
          <cell r="X149">
            <v>46.531121999999996</v>
          </cell>
          <cell r="Y149">
            <v>12.996059999999998</v>
          </cell>
          <cell r="Z149">
            <v>12.679818666666666</v>
          </cell>
          <cell r="AA149">
            <v>11.521528</v>
          </cell>
          <cell r="AB149">
            <v>13.149498666666666</v>
          </cell>
          <cell r="AC149">
            <v>50.346905333333339</v>
          </cell>
          <cell r="AD149">
            <v>12.5085</v>
          </cell>
          <cell r="AE149">
            <v>11.795844666666667</v>
          </cell>
          <cell r="AF149">
            <v>13.706773333333333</v>
          </cell>
          <cell r="AG149">
            <v>14.456389333333334</v>
          </cell>
          <cell r="AH149">
            <v>52.46750733333333</v>
          </cell>
          <cell r="AI149">
            <v>14.779919999999999</v>
          </cell>
          <cell r="AJ149">
            <v>14.596582</v>
          </cell>
          <cell r="AK149">
            <v>13.627592</v>
          </cell>
          <cell r="AL149">
            <v>15.245994666666666</v>
          </cell>
          <cell r="AM149">
            <v>58.25008866666667</v>
          </cell>
          <cell r="AN149">
            <v>14.731619999999999</v>
          </cell>
          <cell r="AO149">
            <v>15.310810666666665</v>
          </cell>
          <cell r="AP149">
            <v>15.900175999999998</v>
          </cell>
          <cell r="AQ149">
            <v>15.678885333333332</v>
          </cell>
          <cell r="AR149">
            <v>61.100158666666673</v>
          </cell>
          <cell r="AS149">
            <v>15.73404</v>
          </cell>
          <cell r="AT149">
            <v>15.997678666666669</v>
          </cell>
          <cell r="AU149">
            <v>18.392026666666666</v>
          </cell>
          <cell r="AV149">
            <v>18.812159999999995</v>
          </cell>
          <cell r="AW149">
            <v>68.921613666666673</v>
          </cell>
          <cell r="AX149">
            <v>17.540400000000002</v>
          </cell>
          <cell r="AY149">
            <v>16.988729333333335</v>
          </cell>
          <cell r="AZ149">
            <v>16.230394666666665</v>
          </cell>
          <cell r="BA149">
            <v>15.63724</v>
          </cell>
          <cell r="BB149">
            <v>66.420639000000008</v>
          </cell>
        </row>
        <row r="152">
          <cell r="A152" t="str">
            <v>EOG RESOURCES</v>
          </cell>
        </row>
        <row r="153">
          <cell r="A153" t="str">
            <v>REVENUE WORKSHEET - Page 4</v>
          </cell>
        </row>
        <row r="154">
          <cell r="A154" t="str">
            <v>BCF EQUIVALENTS</v>
          </cell>
        </row>
        <row r="155">
          <cell r="A155" t="str">
            <v>Natural Gas (Bcf)</v>
          </cell>
          <cell r="B155">
            <v>1987</v>
          </cell>
          <cell r="C155">
            <v>1988</v>
          </cell>
          <cell r="D155">
            <v>1989</v>
          </cell>
          <cell r="E155" t="str">
            <v>1q</v>
          </cell>
          <cell r="F155" t="str">
            <v>2q</v>
          </cell>
          <cell r="G155" t="str">
            <v>3q</v>
          </cell>
          <cell r="H155" t="str">
            <v>4q</v>
          </cell>
          <cell r="I155">
            <v>1990</v>
          </cell>
          <cell r="J155" t="str">
            <v>1q</v>
          </cell>
          <cell r="K155" t="str">
            <v>2q</v>
          </cell>
          <cell r="L155" t="str">
            <v>3q</v>
          </cell>
          <cell r="M155" t="str">
            <v>4q</v>
          </cell>
          <cell r="N155">
            <v>1991</v>
          </cell>
          <cell r="O155" t="str">
            <v>1q</v>
          </cell>
          <cell r="P155" t="str">
            <v xml:space="preserve">2q </v>
          </cell>
          <cell r="Q155" t="str">
            <v xml:space="preserve">3q </v>
          </cell>
          <cell r="R155" t="str">
            <v>4q</v>
          </cell>
          <cell r="S155" t="str">
            <v>1992</v>
          </cell>
          <cell r="T155" t="str">
            <v>1q</v>
          </cell>
          <cell r="U155" t="str">
            <v>2q</v>
          </cell>
          <cell r="V155" t="str">
            <v>3q</v>
          </cell>
          <cell r="W155" t="str">
            <v>4q</v>
          </cell>
          <cell r="X155">
            <v>1993</v>
          </cell>
          <cell r="Y155" t="str">
            <v>1q</v>
          </cell>
          <cell r="Z155" t="str">
            <v>2q</v>
          </cell>
          <cell r="AA155" t="str">
            <v>3q</v>
          </cell>
          <cell r="AB155" t="str">
            <v>4q</v>
          </cell>
          <cell r="AC155">
            <v>1994</v>
          </cell>
          <cell r="AD155" t="str">
            <v>1q</v>
          </cell>
          <cell r="AE155" t="str">
            <v>2q</v>
          </cell>
          <cell r="AF155" t="str">
            <v>3q</v>
          </cell>
          <cell r="AG155" t="str">
            <v>4q</v>
          </cell>
          <cell r="AH155" t="str">
            <v>1995</v>
          </cell>
          <cell r="AI155" t="str">
            <v>1q</v>
          </cell>
          <cell r="AJ155" t="str">
            <v>2q</v>
          </cell>
          <cell r="AK155" t="str">
            <v>3q</v>
          </cell>
          <cell r="AL155" t="str">
            <v>4q</v>
          </cell>
          <cell r="AM155">
            <v>1996</v>
          </cell>
          <cell r="AN155" t="str">
            <v>1q</v>
          </cell>
          <cell r="AO155" t="str">
            <v>2q</v>
          </cell>
          <cell r="AP155" t="str">
            <v>3q</v>
          </cell>
          <cell r="AQ155" t="str">
            <v>4q</v>
          </cell>
          <cell r="AR155" t="str">
            <v>1997</v>
          </cell>
          <cell r="AS155" t="str">
            <v>1q</v>
          </cell>
          <cell r="AT155" t="str">
            <v>2q</v>
          </cell>
          <cell r="AU155" t="str">
            <v>3q</v>
          </cell>
          <cell r="AV155" t="str">
            <v>4q</v>
          </cell>
          <cell r="AW155" t="str">
            <v>1998</v>
          </cell>
          <cell r="AX155" t="str">
            <v>1q</v>
          </cell>
          <cell r="AY155" t="str">
            <v>2q</v>
          </cell>
          <cell r="AZ155" t="str">
            <v>3q</v>
          </cell>
          <cell r="BA155" t="str">
            <v>4q</v>
          </cell>
          <cell r="BB155" t="str">
            <v>1999</v>
          </cell>
        </row>
        <row r="156">
          <cell r="A156" t="str">
            <v xml:space="preserve">  U.S. </v>
          </cell>
          <cell r="B156">
            <v>120.45</v>
          </cell>
          <cell r="C156">
            <v>118.218</v>
          </cell>
          <cell r="D156">
            <v>119.72</v>
          </cell>
          <cell r="E156">
            <v>39.42</v>
          </cell>
          <cell r="F156">
            <v>37.856000000000002</v>
          </cell>
          <cell r="G156">
            <v>34.591999999999999</v>
          </cell>
          <cell r="H156">
            <v>47.84</v>
          </cell>
          <cell r="I156">
            <v>159.505</v>
          </cell>
          <cell r="J156">
            <v>41.76</v>
          </cell>
          <cell r="K156">
            <v>37.765000000000001</v>
          </cell>
          <cell r="L156">
            <v>36.984000000000002</v>
          </cell>
          <cell r="M156">
            <v>53.451999999999998</v>
          </cell>
          <cell r="N156">
            <v>170.09</v>
          </cell>
          <cell r="O156">
            <v>45.954999999999998</v>
          </cell>
          <cell r="P156">
            <v>47.32</v>
          </cell>
          <cell r="Q156">
            <v>48.207999999999998</v>
          </cell>
          <cell r="R156">
            <v>52.44</v>
          </cell>
          <cell r="S156">
            <v>193.923</v>
          </cell>
          <cell r="T156">
            <v>58.32</v>
          </cell>
          <cell r="U156">
            <v>58.512999999999998</v>
          </cell>
          <cell r="V156">
            <v>59.8</v>
          </cell>
          <cell r="W156">
            <v>60.076000000000001</v>
          </cell>
          <cell r="X156">
            <v>236.709</v>
          </cell>
          <cell r="Y156">
            <v>61.56</v>
          </cell>
          <cell r="Z156">
            <v>55.237000000000002</v>
          </cell>
          <cell r="AA156">
            <v>49.496000000000002</v>
          </cell>
          <cell r="AB156">
            <v>57.776000000000003</v>
          </cell>
          <cell r="AC156">
            <v>224.06900000000002</v>
          </cell>
          <cell r="AD156">
            <v>49.23</v>
          </cell>
          <cell r="AE156">
            <v>43.134</v>
          </cell>
          <cell r="AF156">
            <v>53.543999999999997</v>
          </cell>
          <cell r="AG156">
            <v>58.42</v>
          </cell>
          <cell r="AH156">
            <v>204.328</v>
          </cell>
          <cell r="AI156">
            <v>56.25</v>
          </cell>
          <cell r="AJ156">
            <v>54.326999999999998</v>
          </cell>
          <cell r="AK156">
            <v>52.531999999999996</v>
          </cell>
          <cell r="AL156">
            <v>58.695999999999998</v>
          </cell>
          <cell r="AM156">
            <v>221.80500000000001</v>
          </cell>
          <cell r="AN156">
            <v>57.87</v>
          </cell>
          <cell r="AO156">
            <v>62.698999999999998</v>
          </cell>
          <cell r="AP156">
            <v>58.787999999999997</v>
          </cell>
          <cell r="AQ156">
            <v>60.351999999999997</v>
          </cell>
          <cell r="AR156">
            <v>239.709</v>
          </cell>
          <cell r="AS156">
            <v>57.96</v>
          </cell>
          <cell r="AT156">
            <v>56.783999999999999</v>
          </cell>
          <cell r="AU156">
            <v>63.664000000000001</v>
          </cell>
          <cell r="AV156">
            <v>66.424000000000007</v>
          </cell>
          <cell r="AW156">
            <v>244.83199999999999</v>
          </cell>
          <cell r="AX156">
            <v>60.93</v>
          </cell>
          <cell r="AY156">
            <v>58.421999999999997</v>
          </cell>
          <cell r="AZ156">
            <v>59.064</v>
          </cell>
          <cell r="BA156">
            <v>60.536000000000001</v>
          </cell>
          <cell r="BB156">
            <v>238.952</v>
          </cell>
        </row>
        <row r="157">
          <cell r="A157" t="str">
            <v xml:space="preserve">  Canada</v>
          </cell>
          <cell r="B157">
            <v>5.1100000000000003</v>
          </cell>
          <cell r="C157">
            <v>5.49</v>
          </cell>
          <cell r="D157">
            <v>5.84</v>
          </cell>
          <cell r="E157">
            <v>1.53</v>
          </cell>
          <cell r="F157">
            <v>1.456</v>
          </cell>
          <cell r="G157">
            <v>1.6559999999999999</v>
          </cell>
          <cell r="H157">
            <v>1.748</v>
          </cell>
          <cell r="I157">
            <v>6.57</v>
          </cell>
          <cell r="J157">
            <v>1.98</v>
          </cell>
          <cell r="K157">
            <v>2.1840000000000002</v>
          </cell>
          <cell r="L157">
            <v>2.024</v>
          </cell>
          <cell r="M157">
            <v>2.8519999999999999</v>
          </cell>
          <cell r="N157">
            <v>9.125</v>
          </cell>
          <cell r="O157">
            <v>2.73</v>
          </cell>
          <cell r="P157">
            <v>2.8210000000000002</v>
          </cell>
          <cell r="Q157">
            <v>2.2080000000000002</v>
          </cell>
          <cell r="R157">
            <v>2.76</v>
          </cell>
          <cell r="S157">
            <v>10.519</v>
          </cell>
          <cell r="T157">
            <v>5.13</v>
          </cell>
          <cell r="U157">
            <v>4.7320000000000002</v>
          </cell>
          <cell r="V157">
            <v>4.8760000000000003</v>
          </cell>
          <cell r="W157">
            <v>6.532</v>
          </cell>
          <cell r="X157">
            <v>21.27</v>
          </cell>
          <cell r="Y157">
            <v>6.57</v>
          </cell>
          <cell r="Z157">
            <v>6.5519999999999996</v>
          </cell>
          <cell r="AA157">
            <v>6.2560000000000002</v>
          </cell>
          <cell r="AB157">
            <v>6.9</v>
          </cell>
          <cell r="AC157">
            <v>26.277999999999999</v>
          </cell>
          <cell r="AD157">
            <v>6.66</v>
          </cell>
          <cell r="AE157">
            <v>6.734</v>
          </cell>
          <cell r="AF157">
            <v>6.9</v>
          </cell>
          <cell r="AG157">
            <v>7.452</v>
          </cell>
          <cell r="AH157">
            <v>27.745999999999999</v>
          </cell>
          <cell r="AI157">
            <v>8.1</v>
          </cell>
          <cell r="AJ157">
            <v>9.3729999999999993</v>
          </cell>
          <cell r="AK157">
            <v>9.1080000000000005</v>
          </cell>
          <cell r="AL157">
            <v>9.1999999999999993</v>
          </cell>
          <cell r="AM157">
            <v>35.780999999999999</v>
          </cell>
          <cell r="AN157">
            <v>8.5500000000000007</v>
          </cell>
          <cell r="AO157">
            <v>8.3719999999999999</v>
          </cell>
          <cell r="AP157">
            <v>10.028</v>
          </cell>
          <cell r="AQ157">
            <v>10.119999999999999</v>
          </cell>
          <cell r="AR157">
            <v>37.07</v>
          </cell>
          <cell r="AS157">
            <v>9.09</v>
          </cell>
          <cell r="AT157">
            <v>8.9179999999999993</v>
          </cell>
          <cell r="AU157">
            <v>9.7520000000000007</v>
          </cell>
          <cell r="AV157">
            <v>10.672000000000001</v>
          </cell>
          <cell r="AW157">
            <v>38.432000000000002</v>
          </cell>
          <cell r="AX157">
            <v>9.36</v>
          </cell>
          <cell r="AY157">
            <v>10.192</v>
          </cell>
          <cell r="AZ157">
            <v>10.763999999999999</v>
          </cell>
          <cell r="BA157">
            <v>11.407999999999999</v>
          </cell>
          <cell r="BB157">
            <v>41.723999999999997</v>
          </cell>
        </row>
        <row r="158">
          <cell r="A158" t="str">
            <v xml:space="preserve">  Trinidad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0.82799999999999996</v>
          </cell>
          <cell r="X158">
            <v>0.82799999999999996</v>
          </cell>
          <cell r="Y158">
            <v>3.78</v>
          </cell>
          <cell r="Z158">
            <v>7.3710000000000004</v>
          </cell>
          <cell r="AA158">
            <v>6.0720000000000001</v>
          </cell>
          <cell r="AB158">
            <v>5.8879999999999999</v>
          </cell>
          <cell r="AC158">
            <v>23.110999999999997</v>
          </cell>
          <cell r="AD158">
            <v>8.5500000000000007</v>
          </cell>
          <cell r="AE158">
            <v>11.102</v>
          </cell>
          <cell r="AF158">
            <v>10.304</v>
          </cell>
          <cell r="AG158">
            <v>9.016</v>
          </cell>
          <cell r="AH158">
            <v>38.972000000000001</v>
          </cell>
          <cell r="AI158">
            <v>11.97</v>
          </cell>
          <cell r="AJ158">
            <v>12.74</v>
          </cell>
          <cell r="AK158">
            <v>9.5679999999999996</v>
          </cell>
          <cell r="AL158">
            <v>11.224</v>
          </cell>
          <cell r="AM158">
            <v>45.501999999999995</v>
          </cell>
          <cell r="AN158">
            <v>10.08</v>
          </cell>
          <cell r="AO158">
            <v>10.374000000000001</v>
          </cell>
          <cell r="AP158">
            <v>10.58</v>
          </cell>
          <cell r="AQ158">
            <v>9.9359999999999999</v>
          </cell>
          <cell r="AR158">
            <v>40.97</v>
          </cell>
          <cell r="AS158">
            <v>9.81</v>
          </cell>
          <cell r="AT158">
            <v>12.012</v>
          </cell>
          <cell r="AU158">
            <v>14.996</v>
          </cell>
          <cell r="AV158">
            <v>14.076000000000001</v>
          </cell>
          <cell r="AW158">
            <v>50.826250000000002</v>
          </cell>
          <cell r="AX158">
            <v>13.68</v>
          </cell>
          <cell r="AY158">
            <v>11.83</v>
          </cell>
          <cell r="AZ158">
            <v>10.488</v>
          </cell>
          <cell r="BA158">
            <v>8.9239999999999995</v>
          </cell>
          <cell r="BB158">
            <v>44.986249999999998</v>
          </cell>
        </row>
        <row r="159">
          <cell r="A159" t="str">
            <v xml:space="preserve">  India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9.0999999999999998E-2</v>
          </cell>
          <cell r="AP159">
            <v>3.1280000000000001</v>
          </cell>
          <cell r="AQ159">
            <v>3.496</v>
          </cell>
          <cell r="AR159">
            <v>6.7149999999999999</v>
          </cell>
          <cell r="AS159">
            <v>4.2300000000000004</v>
          </cell>
          <cell r="AT159">
            <v>4.8230000000000004</v>
          </cell>
          <cell r="AU159">
            <v>5.3360000000000003</v>
          </cell>
          <cell r="AV159">
            <v>5.7039999999999997</v>
          </cell>
          <cell r="AW159">
            <v>20.074999999999999</v>
          </cell>
          <cell r="AX159">
            <v>6.39</v>
          </cell>
          <cell r="AY159">
            <v>6.8250000000000002</v>
          </cell>
          <cell r="AZ159">
            <v>3.496</v>
          </cell>
          <cell r="BA159">
            <v>0</v>
          </cell>
          <cell r="BB159">
            <v>16.79</v>
          </cell>
        </row>
        <row r="160">
          <cell r="A160" t="str">
            <v>Total</v>
          </cell>
          <cell r="B160">
            <v>125.56</v>
          </cell>
          <cell r="C160">
            <v>123.708</v>
          </cell>
          <cell r="D160">
            <v>125.56</v>
          </cell>
          <cell r="E160">
            <v>40.950000000000003</v>
          </cell>
          <cell r="F160">
            <v>39.312000000000005</v>
          </cell>
          <cell r="G160">
            <v>36.247999999999998</v>
          </cell>
          <cell r="H160">
            <v>49.588000000000001</v>
          </cell>
          <cell r="I160">
            <v>166.07499999999999</v>
          </cell>
          <cell r="J160">
            <v>43.739999999999995</v>
          </cell>
          <cell r="K160">
            <v>39.948999999999998</v>
          </cell>
          <cell r="L160">
            <v>39.008000000000003</v>
          </cell>
          <cell r="M160">
            <v>56.303999999999995</v>
          </cell>
          <cell r="N160">
            <v>179.215</v>
          </cell>
          <cell r="O160">
            <v>48.684999999999995</v>
          </cell>
          <cell r="P160">
            <v>50.140999999999998</v>
          </cell>
          <cell r="Q160">
            <v>50.415999999999997</v>
          </cell>
          <cell r="R160">
            <v>55.199999999999996</v>
          </cell>
          <cell r="S160">
            <v>204.44200000000001</v>
          </cell>
          <cell r="T160">
            <v>63.45</v>
          </cell>
          <cell r="U160">
            <v>63.244999999999997</v>
          </cell>
          <cell r="V160">
            <v>64.676000000000002</v>
          </cell>
          <cell r="W160">
            <v>67.436000000000007</v>
          </cell>
          <cell r="X160">
            <v>258.80699999999996</v>
          </cell>
          <cell r="Y160">
            <v>71.91</v>
          </cell>
          <cell r="Z160">
            <v>69.16</v>
          </cell>
          <cell r="AA160">
            <v>61.824000000000005</v>
          </cell>
          <cell r="AB160">
            <v>70.564000000000007</v>
          </cell>
          <cell r="AC160">
            <v>273.45800000000003</v>
          </cell>
          <cell r="AD160">
            <v>64.44</v>
          </cell>
          <cell r="AE160">
            <v>60.97</v>
          </cell>
          <cell r="AF160">
            <v>70.74799999999999</v>
          </cell>
          <cell r="AG160">
            <v>74.888000000000005</v>
          </cell>
          <cell r="AH160">
            <v>271.04599999999999</v>
          </cell>
          <cell r="AI160">
            <v>76.319999999999993</v>
          </cell>
          <cell r="AJ160">
            <v>76.44</v>
          </cell>
          <cell r="AK160">
            <v>71.207999999999998</v>
          </cell>
          <cell r="AL160">
            <v>79.12</v>
          </cell>
          <cell r="AM160">
            <v>303.08800000000002</v>
          </cell>
          <cell r="AN160">
            <v>76.5</v>
          </cell>
          <cell r="AO160">
            <v>81.444999999999993</v>
          </cell>
          <cell r="AP160">
            <v>82.524000000000001</v>
          </cell>
          <cell r="AQ160">
            <v>80.407999999999987</v>
          </cell>
          <cell r="AR160">
            <v>317.74900000000002</v>
          </cell>
          <cell r="AS160">
            <v>81.09</v>
          </cell>
          <cell r="AT160">
            <v>82.537000000000006</v>
          </cell>
          <cell r="AU160">
            <v>93.74799999999999</v>
          </cell>
          <cell r="AV160">
            <v>96.875999999999991</v>
          </cell>
          <cell r="AW160">
            <v>354.16525000000001</v>
          </cell>
          <cell r="AX160">
            <v>90.36</v>
          </cell>
          <cell r="AY160">
            <v>87.269000000000005</v>
          </cell>
          <cell r="AZ160">
            <v>83.811999999999998</v>
          </cell>
          <cell r="BA160">
            <v>80.867999999999995</v>
          </cell>
          <cell r="BB160">
            <v>342.45224999999999</v>
          </cell>
        </row>
        <row r="162">
          <cell r="A162" t="str">
            <v>Natural Gas Liquids</v>
          </cell>
        </row>
        <row r="163">
          <cell r="A163" t="str">
            <v xml:space="preserve">  U.S. </v>
          </cell>
          <cell r="B163">
            <v>1.387</v>
          </cell>
          <cell r="C163">
            <v>1.9471199999999997</v>
          </cell>
          <cell r="D163">
            <v>0.69350000000000001</v>
          </cell>
          <cell r="E163">
            <v>0.17099999999999999</v>
          </cell>
          <cell r="F163">
            <v>0.13832</v>
          </cell>
          <cell r="G163">
            <v>0.10487999999999999</v>
          </cell>
          <cell r="H163">
            <v>0.10487999999999999</v>
          </cell>
          <cell r="I163">
            <v>0.55479999999999996</v>
          </cell>
          <cell r="J163">
            <v>0.1026</v>
          </cell>
          <cell r="K163">
            <v>3.458E-2</v>
          </cell>
          <cell r="L163">
            <v>0.10487999999999999</v>
          </cell>
          <cell r="M163">
            <v>0.13984000000000002</v>
          </cell>
          <cell r="N163">
            <v>0.41609999999999997</v>
          </cell>
          <cell r="O163">
            <v>6.9159999999999999E-2</v>
          </cell>
          <cell r="P163">
            <v>0.10374</v>
          </cell>
          <cell r="Q163">
            <v>0.24471999999999994</v>
          </cell>
          <cell r="R163">
            <v>0.10487999999999999</v>
          </cell>
          <cell r="S163">
            <v>0.52249999999999996</v>
          </cell>
          <cell r="T163">
            <v>0.1026</v>
          </cell>
          <cell r="U163">
            <v>0.10374</v>
          </cell>
          <cell r="V163">
            <v>6.992000000000001E-2</v>
          </cell>
          <cell r="W163">
            <v>6.992000000000001E-2</v>
          </cell>
          <cell r="X163">
            <v>0.34618000000000004</v>
          </cell>
          <cell r="Y163">
            <v>6.8399999999999989E-2</v>
          </cell>
          <cell r="Z163">
            <v>6.9159999999999999E-2</v>
          </cell>
          <cell r="AA163">
            <v>0.10487999999999999</v>
          </cell>
          <cell r="AB163">
            <v>0.13984000000000002</v>
          </cell>
          <cell r="AC163">
            <v>0.38227999999999995</v>
          </cell>
          <cell r="AD163">
            <v>0.71819999999999995</v>
          </cell>
          <cell r="AE163">
            <v>0.24205999999999997</v>
          </cell>
          <cell r="AF163">
            <v>0.20975999999999997</v>
          </cell>
          <cell r="AG163">
            <v>0.31463999999999998</v>
          </cell>
          <cell r="AH163">
            <v>1.4846599999999999</v>
          </cell>
          <cell r="AI163">
            <v>0.58139999999999992</v>
          </cell>
          <cell r="AJ163">
            <v>0.24205999999999997</v>
          </cell>
          <cell r="AK163">
            <v>0.34959999999999997</v>
          </cell>
          <cell r="AL163">
            <v>0.62927999999999995</v>
          </cell>
          <cell r="AM163">
            <v>1.8023399999999998</v>
          </cell>
          <cell r="AN163">
            <v>0.88919999999999999</v>
          </cell>
          <cell r="AO163">
            <v>0.76075999999999999</v>
          </cell>
          <cell r="AP163">
            <v>1.0138400000000001</v>
          </cell>
          <cell r="AQ163">
            <v>0.94391999999999998</v>
          </cell>
          <cell r="AR163">
            <v>3.6077199999999996</v>
          </cell>
          <cell r="AS163">
            <v>0.90639000000000003</v>
          </cell>
          <cell r="AT163">
            <v>0.84857500000000008</v>
          </cell>
          <cell r="AU163">
            <v>1.0294800000000002</v>
          </cell>
          <cell r="AV163">
            <v>1.0294800000000002</v>
          </cell>
          <cell r="AW163">
            <v>3.8037000000000001</v>
          </cell>
          <cell r="AX163">
            <v>0.87282000000000004</v>
          </cell>
          <cell r="AY163">
            <v>0.95040399999999992</v>
          </cell>
          <cell r="AZ163">
            <v>0.82358399999999998</v>
          </cell>
          <cell r="BA163">
            <v>0.89221600000000012</v>
          </cell>
          <cell r="BB163">
            <v>3.6054399999999998</v>
          </cell>
        </row>
        <row r="164">
          <cell r="A164" t="str">
            <v xml:space="preserve">  Canada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0.24471999999999994</v>
          </cell>
          <cell r="M164">
            <v>0.13984000000000002</v>
          </cell>
          <cell r="N164">
            <v>0.41609999999999997</v>
          </cell>
          <cell r="O164">
            <v>0.13832</v>
          </cell>
          <cell r="P164">
            <v>0.10374</v>
          </cell>
          <cell r="Q164">
            <v>0.13984000000000002</v>
          </cell>
          <cell r="R164">
            <v>0.111872</v>
          </cell>
          <cell r="S164">
            <v>0.49377199999999999</v>
          </cell>
          <cell r="T164">
            <v>0.13679999999999998</v>
          </cell>
          <cell r="U164">
            <v>6.9159999999999999E-2</v>
          </cell>
          <cell r="V164">
            <v>0.10487999999999999</v>
          </cell>
          <cell r="W164">
            <v>0.20975999999999997</v>
          </cell>
          <cell r="X164">
            <v>0.52060000000000006</v>
          </cell>
          <cell r="Y164">
            <v>0.17099999999999999</v>
          </cell>
          <cell r="Z164">
            <v>0.13832</v>
          </cell>
          <cell r="AA164">
            <v>0.13984000000000002</v>
          </cell>
          <cell r="AB164">
            <v>0.13984000000000002</v>
          </cell>
          <cell r="AC164">
            <v>0.58899999999999997</v>
          </cell>
          <cell r="AD164">
            <v>0.13679999999999998</v>
          </cell>
          <cell r="AE164">
            <v>6.9159999999999999E-2</v>
          </cell>
          <cell r="AF164">
            <v>0.13984000000000002</v>
          </cell>
          <cell r="AG164">
            <v>0.17479999999999998</v>
          </cell>
          <cell r="AH164">
            <v>0.52060000000000006</v>
          </cell>
          <cell r="AI164">
            <v>0.23939999999999995</v>
          </cell>
          <cell r="AJ164">
            <v>0.48411999999999994</v>
          </cell>
          <cell r="AK164">
            <v>0.45448000000000005</v>
          </cell>
          <cell r="AL164">
            <v>0.48943999999999988</v>
          </cell>
          <cell r="AM164">
            <v>1.6674399999999996</v>
          </cell>
          <cell r="AN164">
            <v>0.4446</v>
          </cell>
          <cell r="AO164">
            <v>0.3458</v>
          </cell>
          <cell r="AP164">
            <v>0.52439999999999998</v>
          </cell>
          <cell r="AQ164">
            <v>0.38455999999999996</v>
          </cell>
          <cell r="AR164">
            <v>1.6993599999999998</v>
          </cell>
          <cell r="AS164">
            <v>0.36828000000000011</v>
          </cell>
          <cell r="AT164">
            <v>0.37237200000000004</v>
          </cell>
          <cell r="AU164">
            <v>0.34223999999999999</v>
          </cell>
          <cell r="AV164">
            <v>0.34223999999999999</v>
          </cell>
          <cell r="AW164">
            <v>1.4251320000000005</v>
          </cell>
          <cell r="AX164">
            <v>0.13391999999999998</v>
          </cell>
          <cell r="AY164">
            <v>0.33851999999999999</v>
          </cell>
          <cell r="AZ164">
            <v>0.27379200000000004</v>
          </cell>
          <cell r="BA164">
            <v>0.30801600000000001</v>
          </cell>
          <cell r="BB164">
            <v>1.0769200000000001</v>
          </cell>
        </row>
        <row r="165">
          <cell r="A165" t="str">
            <v>Total</v>
          </cell>
          <cell r="B165">
            <v>1.387</v>
          </cell>
          <cell r="C165">
            <v>1.9471199999999997</v>
          </cell>
          <cell r="D165">
            <v>0.69350000000000001</v>
          </cell>
          <cell r="E165">
            <v>0.17099999999999999</v>
          </cell>
          <cell r="F165">
            <v>0.13832</v>
          </cell>
          <cell r="G165">
            <v>0.10487999999999999</v>
          </cell>
          <cell r="H165">
            <v>0.10487999999999999</v>
          </cell>
          <cell r="I165">
            <v>0.55479999999999996</v>
          </cell>
          <cell r="J165">
            <v>0.1026</v>
          </cell>
          <cell r="K165">
            <v>3.458E-2</v>
          </cell>
          <cell r="L165">
            <v>0.34959999999999991</v>
          </cell>
          <cell r="M165">
            <v>0.27968000000000004</v>
          </cell>
          <cell r="N165">
            <v>0.83219999999999994</v>
          </cell>
          <cell r="O165">
            <v>0.20748</v>
          </cell>
          <cell r="P165">
            <v>0.20748</v>
          </cell>
          <cell r="Q165">
            <v>0.38455999999999996</v>
          </cell>
          <cell r="R165">
            <v>0.216752</v>
          </cell>
          <cell r="S165">
            <v>1.0162719999999998</v>
          </cell>
          <cell r="T165">
            <v>0.23939999999999997</v>
          </cell>
          <cell r="U165">
            <v>0.1729</v>
          </cell>
          <cell r="V165">
            <v>0.17480000000000001</v>
          </cell>
          <cell r="W165">
            <v>0.27967999999999998</v>
          </cell>
          <cell r="X165">
            <v>0.86678000000000011</v>
          </cell>
          <cell r="Y165">
            <v>0.23939999999999997</v>
          </cell>
          <cell r="Z165">
            <v>0.20748</v>
          </cell>
          <cell r="AA165">
            <v>0.24471999999999999</v>
          </cell>
          <cell r="AB165">
            <v>0.27968000000000004</v>
          </cell>
          <cell r="AC165">
            <v>0.97127999999999992</v>
          </cell>
          <cell r="AD165">
            <v>0.85499999999999998</v>
          </cell>
          <cell r="AE165">
            <v>0.31121999999999994</v>
          </cell>
          <cell r="AF165">
            <v>0.34960000000000002</v>
          </cell>
          <cell r="AG165">
            <v>0.48943999999999999</v>
          </cell>
          <cell r="AH165">
            <v>2.0052599999999998</v>
          </cell>
          <cell r="AI165">
            <v>0.82079999999999986</v>
          </cell>
          <cell r="AJ165">
            <v>0.72617999999999994</v>
          </cell>
          <cell r="AK165">
            <v>0.80408000000000002</v>
          </cell>
          <cell r="AL165">
            <v>1.1187199999999997</v>
          </cell>
          <cell r="AM165">
            <v>3.4697799999999992</v>
          </cell>
          <cell r="AN165">
            <v>1.3338000000000001</v>
          </cell>
          <cell r="AO165">
            <v>1.10656</v>
          </cell>
          <cell r="AP165">
            <v>1.5382400000000001</v>
          </cell>
          <cell r="AQ165">
            <v>1.3284799999999999</v>
          </cell>
          <cell r="AR165">
            <v>5.3070799999999991</v>
          </cell>
          <cell r="AS165">
            <v>1.2746700000000002</v>
          </cell>
          <cell r="AT165">
            <v>1.2209470000000002</v>
          </cell>
          <cell r="AU165">
            <v>1.3717200000000003</v>
          </cell>
          <cell r="AV165">
            <v>1.3717200000000003</v>
          </cell>
          <cell r="AW165">
            <v>5.2288320000000006</v>
          </cell>
          <cell r="AX165">
            <v>1.00674</v>
          </cell>
          <cell r="AY165">
            <v>1.288924</v>
          </cell>
          <cell r="AZ165">
            <v>1.0973760000000001</v>
          </cell>
          <cell r="BA165">
            <v>1.2002320000000002</v>
          </cell>
          <cell r="BB165">
            <v>4.6823600000000001</v>
          </cell>
        </row>
        <row r="167">
          <cell r="A167" t="str">
            <v>Crude Oil &amp; Condensate (MMBbl)</v>
          </cell>
        </row>
        <row r="168">
          <cell r="A168" t="str">
            <v xml:space="preserve">  U.S. </v>
          </cell>
          <cell r="B168">
            <v>19.71</v>
          </cell>
          <cell r="C168">
            <v>17.567999999999998</v>
          </cell>
          <cell r="D168">
            <v>12.482999999999999</v>
          </cell>
          <cell r="E168">
            <v>3.1859999999999999</v>
          </cell>
          <cell r="F168">
            <v>3.0029999999999997</v>
          </cell>
          <cell r="G168">
            <v>3.1463999999999999</v>
          </cell>
          <cell r="H168">
            <v>3.4224000000000001</v>
          </cell>
          <cell r="I168">
            <v>12.702</v>
          </cell>
          <cell r="J168">
            <v>3.2940000000000005</v>
          </cell>
          <cell r="K168">
            <v>3.4397999999999995</v>
          </cell>
          <cell r="L168">
            <v>2.9808000000000003</v>
          </cell>
          <cell r="M168">
            <v>3.3120000000000003</v>
          </cell>
          <cell r="N168">
            <v>12.921000000000001</v>
          </cell>
          <cell r="O168">
            <v>3.6036000000000001</v>
          </cell>
          <cell r="P168">
            <v>3.1122000000000005</v>
          </cell>
          <cell r="Q168">
            <v>3.3120000000000003</v>
          </cell>
          <cell r="R168">
            <v>3.2016000000000004</v>
          </cell>
          <cell r="S168">
            <v>13.229400000000002</v>
          </cell>
          <cell r="T168">
            <v>4.0500000000000007</v>
          </cell>
          <cell r="U168">
            <v>3.9858000000000002</v>
          </cell>
          <cell r="V168">
            <v>3.4775999999999998</v>
          </cell>
          <cell r="W168">
            <v>3.036</v>
          </cell>
          <cell r="X168">
            <v>14.5494</v>
          </cell>
          <cell r="Y168">
            <v>3.8340000000000001</v>
          </cell>
          <cell r="Z168">
            <v>3.9312</v>
          </cell>
          <cell r="AA168">
            <v>4.5263999999999998</v>
          </cell>
          <cell r="AB168">
            <v>5.1336000000000004</v>
          </cell>
          <cell r="AC168">
            <v>17.4252</v>
          </cell>
          <cell r="AD168">
            <v>5.1840000000000002</v>
          </cell>
          <cell r="AE168">
            <v>4.7501999999999995</v>
          </cell>
          <cell r="AF168">
            <v>5.0783999999999994</v>
          </cell>
          <cell r="AG168">
            <v>4.9128000000000007</v>
          </cell>
          <cell r="AH168">
            <v>19.9254</v>
          </cell>
          <cell r="AI168">
            <v>4.6979999999999995</v>
          </cell>
          <cell r="AJ168">
            <v>4.7501999999999995</v>
          </cell>
          <cell r="AK168">
            <v>4.8024000000000004</v>
          </cell>
          <cell r="AL168">
            <v>5.9063999999999997</v>
          </cell>
          <cell r="AM168">
            <v>20.157</v>
          </cell>
          <cell r="AN168">
            <v>5.7779999999999987</v>
          </cell>
          <cell r="AO168">
            <v>6.1151999999999997</v>
          </cell>
          <cell r="AP168">
            <v>6.789600000000001</v>
          </cell>
          <cell r="AQ168">
            <v>6.8999999999999995</v>
          </cell>
          <cell r="AR168">
            <v>25.582799999999999</v>
          </cell>
          <cell r="AS168">
            <v>6.8039999999999994</v>
          </cell>
          <cell r="AT168">
            <v>6.6612000000000009</v>
          </cell>
          <cell r="AU168">
            <v>9.1631999999999998</v>
          </cell>
          <cell r="AV168">
            <v>7.9488000000000003</v>
          </cell>
          <cell r="AW168">
            <v>30.577199999999998</v>
          </cell>
          <cell r="AX168">
            <v>7.0739999999999998</v>
          </cell>
          <cell r="AY168">
            <v>7.1525999999999996</v>
          </cell>
          <cell r="AZ168">
            <v>8.0592000000000006</v>
          </cell>
          <cell r="BA168">
            <v>9.3287999999999993</v>
          </cell>
          <cell r="BB168">
            <v>31.614600000000003</v>
          </cell>
        </row>
        <row r="169">
          <cell r="A169" t="str">
            <v xml:space="preserve">  Canada</v>
          </cell>
          <cell r="B169">
            <v>4.38</v>
          </cell>
          <cell r="C169">
            <v>4.3919999999999995</v>
          </cell>
          <cell r="D169">
            <v>5.694</v>
          </cell>
          <cell r="E169">
            <v>1.35</v>
          </cell>
          <cell r="F169">
            <v>1.2557999999999998</v>
          </cell>
          <cell r="G169">
            <v>1.3248</v>
          </cell>
          <cell r="H169">
            <v>1.3248</v>
          </cell>
          <cell r="I169">
            <v>5.2560000000000002</v>
          </cell>
          <cell r="J169">
            <v>1.296</v>
          </cell>
          <cell r="K169">
            <v>1.3104</v>
          </cell>
          <cell r="L169">
            <v>0.99360000000000004</v>
          </cell>
          <cell r="M169">
            <v>1.3248</v>
          </cell>
          <cell r="N169">
            <v>5.036999999999999</v>
          </cell>
          <cell r="O169">
            <v>1.2012</v>
          </cell>
          <cell r="P169">
            <v>1.2012</v>
          </cell>
          <cell r="Q169">
            <v>1.2143999999999999</v>
          </cell>
          <cell r="R169">
            <v>1.2143999999999999</v>
          </cell>
          <cell r="S169">
            <v>4.8311999999999999</v>
          </cell>
          <cell r="T169">
            <v>1.1880000000000002</v>
          </cell>
          <cell r="U169">
            <v>1.2012</v>
          </cell>
          <cell r="V169">
            <v>1.1592</v>
          </cell>
          <cell r="W169">
            <v>1.2143999999999999</v>
          </cell>
          <cell r="X169">
            <v>4.7628000000000004</v>
          </cell>
          <cell r="Y169">
            <v>1.026</v>
          </cell>
          <cell r="Z169">
            <v>1.0373999999999999</v>
          </cell>
          <cell r="AA169">
            <v>1.0488</v>
          </cell>
          <cell r="AB169">
            <v>1.3248</v>
          </cell>
          <cell r="AC169">
            <v>4.4369999999999994</v>
          </cell>
          <cell r="AD169">
            <v>1.1339999999999999</v>
          </cell>
          <cell r="AE169">
            <v>1.2012</v>
          </cell>
          <cell r="AF169">
            <v>1.5455999999999996</v>
          </cell>
          <cell r="AG169">
            <v>1.3800000000000001</v>
          </cell>
          <cell r="AH169">
            <v>5.2607999999999997</v>
          </cell>
          <cell r="AI169">
            <v>1.4040000000000001</v>
          </cell>
          <cell r="AJ169">
            <v>1.2557999999999998</v>
          </cell>
          <cell r="AK169">
            <v>1.1592</v>
          </cell>
          <cell r="AL169">
            <v>1.3800000000000001</v>
          </cell>
          <cell r="AM169">
            <v>5.1989999999999998</v>
          </cell>
          <cell r="AN169">
            <v>1.296</v>
          </cell>
          <cell r="AO169">
            <v>1.3104</v>
          </cell>
          <cell r="AP169">
            <v>1.3800000000000001</v>
          </cell>
          <cell r="AQ169">
            <v>1.6560000000000001</v>
          </cell>
          <cell r="AR169">
            <v>5.6423999999999994</v>
          </cell>
          <cell r="AS169">
            <v>1.4580000000000002</v>
          </cell>
          <cell r="AT169">
            <v>1.365</v>
          </cell>
          <cell r="AU169">
            <v>1.5455999999999996</v>
          </cell>
          <cell r="AV169">
            <v>1.4904000000000002</v>
          </cell>
          <cell r="AW169">
            <v>5.859</v>
          </cell>
          <cell r="AX169">
            <v>1.4580000000000002</v>
          </cell>
          <cell r="AY169">
            <v>1.4742000000000002</v>
          </cell>
          <cell r="AZ169">
            <v>1.4904000000000002</v>
          </cell>
          <cell r="BA169">
            <v>1.2695999999999998</v>
          </cell>
          <cell r="BB169">
            <v>5.6922000000000015</v>
          </cell>
        </row>
        <row r="170">
          <cell r="A170" t="str">
            <v xml:space="preserve">  Trinidad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0.22080000000000005</v>
          </cell>
          <cell r="X170">
            <v>0.21899999999999997</v>
          </cell>
          <cell r="Y170">
            <v>0.97199999999999998</v>
          </cell>
          <cell r="Z170">
            <v>1.7472000000000001</v>
          </cell>
          <cell r="AA170">
            <v>1.4904000000000002</v>
          </cell>
          <cell r="AB170">
            <v>1.6008000000000002</v>
          </cell>
          <cell r="AC170">
            <v>5.8104000000000005</v>
          </cell>
          <cell r="AD170">
            <v>1.944</v>
          </cell>
          <cell r="AE170">
            <v>2.6208</v>
          </cell>
          <cell r="AF170">
            <v>3.2568000000000001</v>
          </cell>
          <cell r="AG170">
            <v>3.3120000000000003</v>
          </cell>
          <cell r="AH170">
            <v>11.133600000000001</v>
          </cell>
          <cell r="AI170">
            <v>3.8340000000000001</v>
          </cell>
          <cell r="AJ170">
            <v>2.9484000000000004</v>
          </cell>
          <cell r="AK170">
            <v>2.484</v>
          </cell>
          <cell r="AL170">
            <v>2.3184</v>
          </cell>
          <cell r="AM170">
            <v>11.584800000000001</v>
          </cell>
          <cell r="AN170">
            <v>1.9980000000000002</v>
          </cell>
          <cell r="AO170">
            <v>1.911</v>
          </cell>
          <cell r="AP170">
            <v>1.8768000000000002</v>
          </cell>
          <cell r="AQ170">
            <v>1.6560000000000001</v>
          </cell>
          <cell r="AR170">
            <v>7.4417999999999997</v>
          </cell>
          <cell r="AS170">
            <v>1.5119999999999996</v>
          </cell>
          <cell r="AT170">
            <v>1.5833999999999997</v>
          </cell>
          <cell r="AU170">
            <v>1.7112000000000001</v>
          </cell>
          <cell r="AV170">
            <v>1.6560000000000001</v>
          </cell>
          <cell r="AW170">
            <v>6.4626000000000001</v>
          </cell>
          <cell r="AX170">
            <v>1.5119999999999996</v>
          </cell>
          <cell r="AY170">
            <v>1.2557999999999998</v>
          </cell>
          <cell r="AZ170">
            <v>1.3248</v>
          </cell>
          <cell r="BA170">
            <v>1.1592</v>
          </cell>
          <cell r="BB170">
            <v>5.2517999999999994</v>
          </cell>
        </row>
        <row r="171">
          <cell r="A171" t="str">
            <v xml:space="preserve">  India</v>
          </cell>
          <cell r="AD171">
            <v>1.5119999999999996</v>
          </cell>
          <cell r="AE171">
            <v>0.92819999999999991</v>
          </cell>
          <cell r="AF171">
            <v>1.2695999999999998</v>
          </cell>
          <cell r="AG171">
            <v>1.7664000000000004</v>
          </cell>
          <cell r="AH171">
            <v>5.4762000000000004</v>
          </cell>
          <cell r="AI171">
            <v>1.62</v>
          </cell>
          <cell r="AJ171">
            <v>1.4742000000000002</v>
          </cell>
          <cell r="AK171">
            <v>1.3248</v>
          </cell>
          <cell r="AL171">
            <v>1.6560000000000001</v>
          </cell>
          <cell r="AM171">
            <v>6.0750000000000011</v>
          </cell>
          <cell r="AN171">
            <v>1.5119999999999996</v>
          </cell>
          <cell r="AO171">
            <v>0</v>
          </cell>
          <cell r="AP171">
            <v>1.3248</v>
          </cell>
          <cell r="AQ171">
            <v>2.1528</v>
          </cell>
          <cell r="AR171">
            <v>4.9895999999999994</v>
          </cell>
          <cell r="AS171">
            <v>2.2679999999999998</v>
          </cell>
          <cell r="AT171">
            <v>2.6208</v>
          </cell>
          <cell r="AU171">
            <v>2.8151999999999999</v>
          </cell>
          <cell r="AV171">
            <v>3.5328000000000008</v>
          </cell>
          <cell r="AW171">
            <v>11.236800000000002</v>
          </cell>
          <cell r="AX171">
            <v>3.8340000000000001</v>
          </cell>
          <cell r="AY171">
            <v>3.4944000000000002</v>
          </cell>
          <cell r="AZ171">
            <v>1.6008000000000002</v>
          </cell>
          <cell r="BA171">
            <v>0</v>
          </cell>
          <cell r="BB171">
            <v>8.9291999999999998</v>
          </cell>
        </row>
        <row r="172">
          <cell r="A172" t="str">
            <v>Total</v>
          </cell>
          <cell r="B172">
            <v>24.09</v>
          </cell>
          <cell r="C172">
            <v>21.959999999999997</v>
          </cell>
          <cell r="D172">
            <v>18.177</v>
          </cell>
          <cell r="E172">
            <v>4.5359999999999996</v>
          </cell>
          <cell r="F172">
            <v>4.258799999999999</v>
          </cell>
          <cell r="G172">
            <v>4.4711999999999996</v>
          </cell>
          <cell r="H172">
            <v>4.7472000000000003</v>
          </cell>
          <cell r="I172">
            <v>17.957999999999998</v>
          </cell>
          <cell r="J172">
            <v>4.5900000000000007</v>
          </cell>
          <cell r="K172">
            <v>4.7501999999999995</v>
          </cell>
          <cell r="L172">
            <v>3.9744000000000002</v>
          </cell>
          <cell r="M172">
            <v>4.6368</v>
          </cell>
          <cell r="N172">
            <v>17.957999999999998</v>
          </cell>
          <cell r="O172">
            <v>4.8048000000000002</v>
          </cell>
          <cell r="P172">
            <v>4.3134000000000006</v>
          </cell>
          <cell r="Q172">
            <v>4.5264000000000006</v>
          </cell>
          <cell r="R172">
            <v>4.4160000000000004</v>
          </cell>
          <cell r="S172">
            <v>18.060600000000001</v>
          </cell>
          <cell r="T172">
            <v>5.2380000000000013</v>
          </cell>
          <cell r="U172">
            <v>5.1870000000000003</v>
          </cell>
          <cell r="V172">
            <v>4.6368</v>
          </cell>
          <cell r="W172">
            <v>4.4711999999999996</v>
          </cell>
          <cell r="X172">
            <v>19.312200000000001</v>
          </cell>
          <cell r="Y172">
            <v>5.8320000000000007</v>
          </cell>
          <cell r="Z172">
            <v>6.7158000000000007</v>
          </cell>
          <cell r="AA172">
            <v>7.0655999999999999</v>
          </cell>
          <cell r="AB172">
            <v>8.0592000000000006</v>
          </cell>
          <cell r="AC172">
            <v>27.672600000000003</v>
          </cell>
          <cell r="AD172">
            <v>9.7740000000000009</v>
          </cell>
          <cell r="AE172">
            <v>9.5003999999999991</v>
          </cell>
          <cell r="AF172">
            <v>11.150399999999999</v>
          </cell>
          <cell r="AG172">
            <v>11.371200000000002</v>
          </cell>
          <cell r="AH172">
            <v>41.795999999999999</v>
          </cell>
          <cell r="AI172">
            <v>11.556000000000001</v>
          </cell>
          <cell r="AJ172">
            <v>10.428599999999999</v>
          </cell>
          <cell r="AK172">
            <v>9.7704000000000004</v>
          </cell>
          <cell r="AL172">
            <v>11.2608</v>
          </cell>
          <cell r="AM172">
            <v>43.015799999999999</v>
          </cell>
          <cell r="AN172">
            <v>10.584</v>
          </cell>
          <cell r="AO172">
            <v>9.3365999999999989</v>
          </cell>
          <cell r="AP172">
            <v>11.371200000000002</v>
          </cell>
          <cell r="AQ172">
            <v>12.364799999999999</v>
          </cell>
          <cell r="AR172">
            <v>43.656599999999997</v>
          </cell>
          <cell r="AS172">
            <v>12.042000000000002</v>
          </cell>
          <cell r="AT172">
            <v>12.230399999999999</v>
          </cell>
          <cell r="AU172">
            <v>15.235199999999999</v>
          </cell>
          <cell r="AV172">
            <v>14.628</v>
          </cell>
          <cell r="AW172">
            <v>54.135600000000004</v>
          </cell>
          <cell r="AX172">
            <v>13.878</v>
          </cell>
          <cell r="AY172">
            <v>13.377000000000001</v>
          </cell>
          <cell r="AZ172">
            <v>12.475200000000001</v>
          </cell>
          <cell r="BA172">
            <v>11.7576</v>
          </cell>
          <cell r="BB172">
            <v>51.4878</v>
          </cell>
        </row>
        <row r="173">
          <cell r="A173" t="str">
            <v>Total Bcfe</v>
          </cell>
          <cell r="B173">
            <v>151.03700000000001</v>
          </cell>
          <cell r="C173">
            <v>147.61511999999999</v>
          </cell>
          <cell r="D173">
            <v>144.43049999999999</v>
          </cell>
          <cell r="E173">
            <v>45.657000000000004</v>
          </cell>
          <cell r="F173">
            <v>43.709120000000006</v>
          </cell>
          <cell r="G173">
            <v>40.824079999999995</v>
          </cell>
          <cell r="H173">
            <v>54.440080000000002</v>
          </cell>
          <cell r="I173">
            <v>184.58779999999999</v>
          </cell>
          <cell r="J173">
            <v>48.432600000000001</v>
          </cell>
          <cell r="K173">
            <v>44.733779999999996</v>
          </cell>
          <cell r="L173">
            <v>43.332000000000008</v>
          </cell>
          <cell r="M173">
            <v>61.220479999999995</v>
          </cell>
          <cell r="N173">
            <v>198.0052</v>
          </cell>
          <cell r="O173">
            <v>53.697279999999992</v>
          </cell>
          <cell r="P173">
            <v>54.661879999999996</v>
          </cell>
          <cell r="Q173">
            <v>55.32696</v>
          </cell>
          <cell r="R173">
            <v>59.832751999999999</v>
          </cell>
          <cell r="S173">
            <v>223.51887199999999</v>
          </cell>
          <cell r="T173">
            <v>68.927400000000006</v>
          </cell>
          <cell r="U173">
            <v>68.604900000000001</v>
          </cell>
          <cell r="V173">
            <v>69.4876</v>
          </cell>
          <cell r="W173">
            <v>72.186880000000002</v>
          </cell>
          <cell r="X173">
            <v>278.98597999999998</v>
          </cell>
          <cell r="Y173">
            <v>77.981400000000008</v>
          </cell>
          <cell r="Z173">
            <v>76.083280000000002</v>
          </cell>
          <cell r="AA173">
            <v>69.134320000000002</v>
          </cell>
          <cell r="AB173">
            <v>78.90288000000001</v>
          </cell>
          <cell r="AC173">
            <v>302.10188000000005</v>
          </cell>
          <cell r="AD173">
            <v>75.069000000000003</v>
          </cell>
          <cell r="AE173">
            <v>70.781620000000004</v>
          </cell>
          <cell r="AF173">
            <v>82.24799999999999</v>
          </cell>
          <cell r="AG173">
            <v>86.748640000000009</v>
          </cell>
          <cell r="AH173">
            <v>314.84726000000001</v>
          </cell>
          <cell r="AI173">
            <v>88.696799999999996</v>
          </cell>
          <cell r="AJ173">
            <v>87.59478</v>
          </cell>
          <cell r="AK173">
            <v>81.782479999999993</v>
          </cell>
          <cell r="AL173">
            <v>91.499520000000004</v>
          </cell>
          <cell r="AM173">
            <v>349.57358000000005</v>
          </cell>
          <cell r="AN173">
            <v>88.4178</v>
          </cell>
          <cell r="AO173">
            <v>91.888159999999999</v>
          </cell>
          <cell r="AP173">
            <v>95.433440000000004</v>
          </cell>
          <cell r="AQ173">
            <v>94.101279999999988</v>
          </cell>
          <cell r="AR173">
            <v>366.71267999999998</v>
          </cell>
          <cell r="AS173">
            <v>94.406670000000005</v>
          </cell>
          <cell r="AT173">
            <v>95.988347000000005</v>
          </cell>
          <cell r="AU173">
            <v>110.35491999999999</v>
          </cell>
          <cell r="AV173">
            <v>112.87571999999999</v>
          </cell>
          <cell r="AW173">
            <v>413.52968200000004</v>
          </cell>
          <cell r="AX173">
            <v>105.24473999999999</v>
          </cell>
          <cell r="AY173">
            <v>101.934924</v>
          </cell>
          <cell r="AZ173">
            <v>97.384575999999996</v>
          </cell>
          <cell r="BA173">
            <v>93.825831999999991</v>
          </cell>
          <cell r="BB173">
            <v>398.62241</v>
          </cell>
        </row>
        <row r="175">
          <cell r="A175" t="str">
            <v>Per Unit Production Expenses</v>
          </cell>
        </row>
        <row r="176">
          <cell r="A176" t="str">
            <v>Lease &amp; Well</v>
          </cell>
        </row>
        <row r="177">
          <cell r="A177" t="str">
            <v xml:space="preserve">  Per MCF</v>
          </cell>
          <cell r="B177">
            <v>0.31757119116507876</v>
          </cell>
          <cell r="C177">
            <v>0.31395835331773603</v>
          </cell>
          <cell r="D177">
            <v>0.27618127750025101</v>
          </cell>
          <cell r="E177">
            <v>0.19804192128260725</v>
          </cell>
          <cell r="F177">
            <v>0.25754350579467167</v>
          </cell>
          <cell r="G177">
            <v>0.24840731254690862</v>
          </cell>
          <cell r="H177">
            <v>0.24551764067944054</v>
          </cell>
          <cell r="I177">
            <v>0.23731795925841254</v>
          </cell>
          <cell r="J177">
            <v>0.22856505742000224</v>
          </cell>
          <cell r="K177">
            <v>0.2473410474142807</v>
          </cell>
          <cell r="L177">
            <v>0.28117788239638136</v>
          </cell>
          <cell r="M177">
            <v>0.25487385920528555</v>
          </cell>
          <cell r="N177">
            <v>0.25212469167476409</v>
          </cell>
          <cell r="O177">
            <v>0.2192103585135039</v>
          </cell>
          <cell r="P177">
            <v>0.23332530824040448</v>
          </cell>
          <cell r="Q177">
            <v>0.21400055235277701</v>
          </cell>
          <cell r="R177">
            <v>0.220614956838355</v>
          </cell>
          <cell r="S177">
            <v>0.2217486136920018</v>
          </cell>
          <cell r="T177">
            <v>0.19960131964937017</v>
          </cell>
          <cell r="U177">
            <v>0.20453349542088101</v>
          </cell>
          <cell r="V177">
            <v>0.2236514140652433</v>
          </cell>
          <cell r="W177">
            <v>0.22182701344066957</v>
          </cell>
          <cell r="X177">
            <v>0.21271319798937571</v>
          </cell>
          <cell r="Y177">
            <v>0.19234073766308374</v>
          </cell>
          <cell r="Z177">
            <v>0.21511953743319162</v>
          </cell>
          <cell r="AA177">
            <v>0.19405701827977767</v>
          </cell>
          <cell r="AB177">
            <v>0.19773676195342932</v>
          </cell>
          <cell r="AC177">
            <v>0.19987959028920968</v>
          </cell>
          <cell r="AD177">
            <v>0.22248864378105479</v>
          </cell>
          <cell r="AE177">
            <v>0.23886144453885061</v>
          </cell>
          <cell r="AF177">
            <v>0.23476558700515518</v>
          </cell>
          <cell r="AG177">
            <v>0.1907234511111644</v>
          </cell>
          <cell r="AH177">
            <v>0.22062443865638218</v>
          </cell>
          <cell r="AI177">
            <v>0.21146196931569122</v>
          </cell>
          <cell r="AJ177">
            <v>0.22802728655748664</v>
          </cell>
          <cell r="AK177">
            <v>0.22013272280322144</v>
          </cell>
          <cell r="AL177">
            <v>0.2173235444295227</v>
          </cell>
          <cell r="AM177">
            <v>0.21917560245828646</v>
          </cell>
          <cell r="AN177">
            <v>0.26543297842742075</v>
          </cell>
          <cell r="AO177">
            <v>0.28265883221516241</v>
          </cell>
          <cell r="AP177">
            <v>0.23566162971805268</v>
          </cell>
          <cell r="AQ177">
            <v>0.25644709615002054</v>
          </cell>
          <cell r="AR177">
            <v>0.2619598536925421</v>
          </cell>
          <cell r="AS177">
            <v>0.26384788278201105</v>
          </cell>
          <cell r="AT177">
            <v>0.2381226546176485</v>
          </cell>
          <cell r="AU177">
            <v>0.22190220426964199</v>
          </cell>
          <cell r="AV177">
            <v>0.23578144174850008</v>
          </cell>
          <cell r="AW177">
            <v>0.23908320080395096</v>
          </cell>
          <cell r="AX177">
            <v>0.22869551485423406</v>
          </cell>
          <cell r="AY177">
            <v>0.23091202775606132</v>
          </cell>
          <cell r="AZ177">
            <v>0.21465411524716194</v>
          </cell>
          <cell r="BA177">
            <v>0.21317157091663202</v>
          </cell>
          <cell r="BB177">
            <v>0.22204471645234397</v>
          </cell>
        </row>
        <row r="178">
          <cell r="A178" t="str">
            <v xml:space="preserve">  Per BOE</v>
          </cell>
          <cell r="B178">
            <v>1.9057955946646468</v>
          </cell>
          <cell r="C178">
            <v>1.8842733734465977</v>
          </cell>
          <cell r="D178">
            <v>1.6572551914297526</v>
          </cell>
          <cell r="E178">
            <v>1.1883452272996096</v>
          </cell>
          <cell r="F178">
            <v>1.5453639903969705</v>
          </cell>
          <cell r="G178">
            <v>1.4905244913805031</v>
          </cell>
          <cell r="H178">
            <v>1.4731655932472891</v>
          </cell>
          <cell r="I178">
            <v>1.4239978606116546</v>
          </cell>
          <cell r="J178">
            <v>1.3714515085966594</v>
          </cell>
          <cell r="K178">
            <v>1.484070436329719</v>
          </cell>
          <cell r="L178">
            <v>1.6873538937657646</v>
          </cell>
          <cell r="M178">
            <v>1.5293902473449468</v>
          </cell>
          <cell r="N178">
            <v>1.5128820136687291</v>
          </cell>
          <cell r="O178">
            <v>1.3153691496561037</v>
          </cell>
          <cell r="P178">
            <v>1.4000637277452368</v>
          </cell>
          <cell r="Q178">
            <v>1.2841912299572888</v>
          </cell>
          <cell r="R178">
            <v>1.3237907011485528</v>
          </cell>
          <cell r="S178">
            <v>1.3306190488500405</v>
          </cell>
          <cell r="T178">
            <v>1.1976954938861641</v>
          </cell>
          <cell r="U178">
            <v>1.2272660881155828</v>
          </cell>
          <cell r="V178">
            <v>1.3419795544062567</v>
          </cell>
          <cell r="W178">
            <v>1.331070650843923</v>
          </cell>
          <cell r="X178">
            <v>1.2753614666760027</v>
          </cell>
          <cell r="Y178">
            <v>1.1541190176099527</v>
          </cell>
          <cell r="Z178">
            <v>1.290791329928588</v>
          </cell>
          <cell r="AA178">
            <v>1.1644288847798661</v>
          </cell>
          <cell r="AB178">
            <v>1.1865091130470475</v>
          </cell>
          <cell r="AC178">
            <v>1.199358721260299</v>
          </cell>
          <cell r="AD178">
            <v>1.3352520286205383</v>
          </cell>
          <cell r="AE178">
            <v>1.4333013427835914</v>
          </cell>
          <cell r="AF178">
            <v>1.4087195819487788</v>
          </cell>
          <cell r="AG178">
            <v>1.1444766475575461</v>
          </cell>
          <cell r="AH178">
            <v>1.3239241490679547</v>
          </cell>
          <cell r="AI178">
            <v>1.2690190474643979</v>
          </cell>
          <cell r="AJ178">
            <v>1.3684025479389628</v>
          </cell>
          <cell r="AK178">
            <v>1.3210697825411857</v>
          </cell>
          <cell r="AL178">
            <v>1.3042769878095197</v>
          </cell>
          <cell r="AM178">
            <v>1.3153284699435022</v>
          </cell>
          <cell r="AN178">
            <v>1.5931038134298876</v>
          </cell>
          <cell r="AO178">
            <v>1.6963830698100202</v>
          </cell>
          <cell r="AP178">
            <v>1.4144497520027453</v>
          </cell>
          <cell r="AQ178">
            <v>1.5391400273012608</v>
          </cell>
          <cell r="AR178">
            <v>1.5722381430149694</v>
          </cell>
          <cell r="AS178">
            <v>1.5831280459436989</v>
          </cell>
          <cell r="AT178">
            <v>1.4287697906837982</v>
          </cell>
          <cell r="AU178">
            <v>1.3314465253783887</v>
          </cell>
          <cell r="AV178">
            <v>1.4147232428386749</v>
          </cell>
          <cell r="AW178">
            <v>1.4344992048237057</v>
          </cell>
          <cell r="AX178">
            <v>1.3722035985496337</v>
          </cell>
          <cell r="AY178">
            <v>1.3855067991351442</v>
          </cell>
          <cell r="AZ178">
            <v>1.2879538932550911</v>
          </cell>
          <cell r="BA178">
            <v>1.2790620339650731</v>
          </cell>
          <cell r="BB178">
            <v>1.332597839054213</v>
          </cell>
        </row>
        <row r="180">
          <cell r="A180" t="str">
            <v>Production Taxes</v>
          </cell>
        </row>
        <row r="181">
          <cell r="A181" t="str">
            <v xml:space="preserve">  Per MCF</v>
          </cell>
          <cell r="B181">
            <v>0.14178644967789347</v>
          </cell>
          <cell r="C181">
            <v>0.18912696748137997</v>
          </cell>
          <cell r="D181">
            <v>0.16450818905979003</v>
          </cell>
          <cell r="E181">
            <v>0.14709683071599097</v>
          </cell>
          <cell r="F181">
            <v>0.10558437232321309</v>
          </cell>
          <cell r="G181">
            <v>0.13504284726073437</v>
          </cell>
          <cell r="H181">
            <v>0.11245391263201672</v>
          </cell>
          <cell r="I181">
            <v>0.12441775675315488</v>
          </cell>
          <cell r="J181">
            <v>0.12388349995664077</v>
          </cell>
          <cell r="K181">
            <v>7.1243699951133124E-2</v>
          </cell>
          <cell r="L181">
            <v>9.717991322809931E-2</v>
          </cell>
          <cell r="M181">
            <v>7.8797160688710732E-2</v>
          </cell>
          <cell r="N181">
            <v>9.2027886136323692E-2</v>
          </cell>
          <cell r="O181">
            <v>0.1094655073776549</v>
          </cell>
          <cell r="P181">
            <v>0.12822464210890663</v>
          </cell>
          <cell r="Q181">
            <v>0.1285268520084964</v>
          </cell>
          <cell r="R181">
            <v>0.16203586958527327</v>
          </cell>
          <cell r="S181">
            <v>0.13284360168030915</v>
          </cell>
          <cell r="T181">
            <v>0.14267185473411154</v>
          </cell>
          <cell r="U181">
            <v>0.15370622215031288</v>
          </cell>
          <cell r="V181">
            <v>8.7641536043840909E-2</v>
          </cell>
          <cell r="W181">
            <v>0.12366513139229732</v>
          </cell>
          <cell r="X181">
            <v>0.12687375903262238</v>
          </cell>
          <cell r="Y181">
            <v>0.12777405894226057</v>
          </cell>
          <cell r="Z181">
            <v>6.2089857324763076E-2</v>
          </cell>
          <cell r="AA181">
            <v>0.10590977100808975</v>
          </cell>
          <cell r="AB181">
            <v>7.9135260968927867E-2</v>
          </cell>
          <cell r="AC181">
            <v>9.3524740726538991E-2</v>
          </cell>
          <cell r="AD181">
            <v>0.13074637999706934</v>
          </cell>
          <cell r="AE181">
            <v>0.1108762416005737</v>
          </cell>
          <cell r="AF181">
            <v>9.6573776869954289E-2</v>
          </cell>
          <cell r="AG181">
            <v>7.9436403844486775E-2</v>
          </cell>
          <cell r="AH181">
            <v>0.1032151272334401</v>
          </cell>
          <cell r="AI181">
            <v>0.12932822830135923</v>
          </cell>
          <cell r="AJ181">
            <v>0.12769025734181877</v>
          </cell>
          <cell r="AK181">
            <v>0.12271576993018554</v>
          </cell>
          <cell r="AL181">
            <v>0.16827410679312851</v>
          </cell>
          <cell r="AM181">
            <v>0.13756474388024401</v>
          </cell>
          <cell r="AN181">
            <v>0.1955036203117472</v>
          </cell>
          <cell r="AO181">
            <v>0.1345004623011278</v>
          </cell>
          <cell r="AP181">
            <v>0.13606341760288634</v>
          </cell>
          <cell r="AQ181">
            <v>0.18305808380077296</v>
          </cell>
          <cell r="AR181">
            <v>0.16322315334173884</v>
          </cell>
          <cell r="AS181">
            <v>0.15352728784947078</v>
          </cell>
          <cell r="AT181">
            <v>0.13824594770863174</v>
          </cell>
          <cell r="AU181">
            <v>0.12489701410684725</v>
          </cell>
          <cell r="AV181">
            <v>9.062179182555824E-2</v>
          </cell>
          <cell r="AW181">
            <v>0.12520503909076106</v>
          </cell>
          <cell r="AX181">
            <v>0.13012526801814514</v>
          </cell>
          <cell r="AY181">
            <v>0.12145984432185382</v>
          </cell>
          <cell r="AZ181">
            <v>0.13654112947003025</v>
          </cell>
          <cell r="BA181">
            <v>0.13707312502168914</v>
          </cell>
          <cell r="BB181">
            <v>0.1310362856920162</v>
          </cell>
        </row>
        <row r="182">
          <cell r="A182" t="str">
            <v xml:space="preserve">  Per BOE</v>
          </cell>
          <cell r="B182">
            <v>0.85088319941089141</v>
          </cell>
          <cell r="C182">
            <v>1.1350770102466741</v>
          </cell>
          <cell r="D182">
            <v>0.98714892196773363</v>
          </cell>
          <cell r="E182">
            <v>0.88265058024155918</v>
          </cell>
          <cell r="F182">
            <v>0.63354844236315355</v>
          </cell>
          <cell r="G182">
            <v>0.81030090927726195</v>
          </cell>
          <cell r="H182">
            <v>0.67475084257518381</v>
          </cell>
          <cell r="I182">
            <v>0.74655377954634661</v>
          </cell>
          <cell r="J182">
            <v>0.74333415100089939</v>
          </cell>
          <cell r="K182">
            <v>0.42746915636339772</v>
          </cell>
          <cell r="L182">
            <v>0.58317853304724521</v>
          </cell>
          <cell r="M182">
            <v>0.47282843933681717</v>
          </cell>
          <cell r="N182">
            <v>0.55221617829957903</v>
          </cell>
          <cell r="O182">
            <v>0.65684647537835172</v>
          </cell>
          <cell r="P182">
            <v>0.76940933571948922</v>
          </cell>
          <cell r="Q182">
            <v>0.7712739726542468</v>
          </cell>
          <cell r="R182">
            <v>0.97228937005694538</v>
          </cell>
          <cell r="S182">
            <v>0.79713791202854423</v>
          </cell>
          <cell r="T182">
            <v>0.85609372633206404</v>
          </cell>
          <cell r="U182">
            <v>0.92228626704524086</v>
          </cell>
          <cell r="V182">
            <v>0.52587706623345365</v>
          </cell>
          <cell r="W182">
            <v>0.74205131456214946</v>
          </cell>
          <cell r="X182">
            <v>0.76069517515610308</v>
          </cell>
          <cell r="Y182">
            <v>0.76669390569141738</v>
          </cell>
          <cell r="Z182">
            <v>0.37256053293716929</v>
          </cell>
          <cell r="AA182">
            <v>0.63550598497004906</v>
          </cell>
          <cell r="AB182">
            <v>0.47484700050415102</v>
          </cell>
          <cell r="AC182">
            <v>0.56118642869780888</v>
          </cell>
          <cell r="AD182">
            <v>0.78466642682975574</v>
          </cell>
          <cell r="AE182">
            <v>0.66531903579379104</v>
          </cell>
          <cell r="AF182">
            <v>0.57949451755239256</v>
          </cell>
          <cell r="AG182">
            <v>0.47667504250946202</v>
          </cell>
          <cell r="AH182">
            <v>0.61937381155811466</v>
          </cell>
          <cell r="AI182">
            <v>0.77612057440094406</v>
          </cell>
          <cell r="AJ182">
            <v>0.76627528280250823</v>
          </cell>
          <cell r="AK182">
            <v>0.73644705535651489</v>
          </cell>
          <cell r="AL182">
            <v>1.0099045904603055</v>
          </cell>
          <cell r="AM182">
            <v>0.82556097511176318</v>
          </cell>
          <cell r="AN182">
            <v>1.1733943721057156</v>
          </cell>
          <cell r="AO182">
            <v>0.80720742154475955</v>
          </cell>
          <cell r="AP182">
            <v>0.81665762693444399</v>
          </cell>
          <cell r="AQ182">
            <v>1.0986750418652211</v>
          </cell>
          <cell r="AR182">
            <v>0.9796373905761161</v>
          </cell>
          <cell r="AS182">
            <v>0.92118743819133542</v>
          </cell>
          <cell r="AT182">
            <v>0.8294953459497747</v>
          </cell>
          <cell r="AU182">
            <v>0.74940082731502489</v>
          </cell>
          <cell r="AV182">
            <v>0.54374404640402818</v>
          </cell>
          <cell r="AW182">
            <v>0.75123023454456639</v>
          </cell>
          <cell r="AX182">
            <v>0.78076896764041859</v>
          </cell>
          <cell r="AY182">
            <v>0.72877728269573538</v>
          </cell>
          <cell r="AZ182">
            <v>0.81926535201937178</v>
          </cell>
          <cell r="BA182">
            <v>0.82245971795534256</v>
          </cell>
          <cell r="BB182">
            <v>0.78641218733231399</v>
          </cell>
        </row>
        <row r="184">
          <cell r="A184" t="str">
            <v>SG&amp;A</v>
          </cell>
        </row>
        <row r="185">
          <cell r="A185" t="str">
            <v xml:space="preserve">  Per MCF</v>
          </cell>
          <cell r="B185">
            <v>0.25879089229791374</v>
          </cell>
          <cell r="C185">
            <v>0.28871703657457315</v>
          </cell>
          <cell r="D185">
            <v>0.27861151211136154</v>
          </cell>
          <cell r="E185">
            <v>0.19186543136868386</v>
          </cell>
          <cell r="F185">
            <v>0.19224820815427077</v>
          </cell>
          <cell r="G185">
            <v>0.31003760525650553</v>
          </cell>
          <cell r="H185">
            <v>0.1549226231849769</v>
          </cell>
          <cell r="I185">
            <v>0.20724013179635925</v>
          </cell>
          <cell r="J185">
            <v>0.21235696617567507</v>
          </cell>
          <cell r="K185">
            <v>0.20794129179336066</v>
          </cell>
          <cell r="L185">
            <v>0.26929290132004058</v>
          </cell>
          <cell r="M185">
            <v>8.1018639514097268E-2</v>
          </cell>
          <cell r="N185">
            <v>0.18290428736215009</v>
          </cell>
          <cell r="O185">
            <v>0.11419572834974137</v>
          </cell>
          <cell r="P185">
            <v>0.20617658960869989</v>
          </cell>
          <cell r="Q185">
            <v>0.15972321631262587</v>
          </cell>
          <cell r="R185">
            <v>0.15041928875342389</v>
          </cell>
          <cell r="S185">
            <v>0.15765559160481091</v>
          </cell>
          <cell r="T185">
            <v>0.15893534356438802</v>
          </cell>
          <cell r="U185">
            <v>0.15883705099781503</v>
          </cell>
          <cell r="V185">
            <v>0.17516794363310864</v>
          </cell>
          <cell r="W185">
            <v>0.15584549436130221</v>
          </cell>
          <cell r="X185">
            <v>0.16228055617705234</v>
          </cell>
          <cell r="Y185">
            <v>0.17205384873828886</v>
          </cell>
          <cell r="Z185">
            <v>0.1428303301329806</v>
          </cell>
          <cell r="AA185">
            <v>0.19911962683656972</v>
          </cell>
          <cell r="AB185">
            <v>0.16942347351579559</v>
          </cell>
          <cell r="AC185">
            <v>0.17020086071625901</v>
          </cell>
          <cell r="AD185">
            <v>0.17015012854840211</v>
          </cell>
          <cell r="AE185">
            <v>0.20358392475334697</v>
          </cell>
          <cell r="AF185">
            <v>0.17025338002139873</v>
          </cell>
          <cell r="AG185">
            <v>0.17798549925393642</v>
          </cell>
          <cell r="AH185">
            <v>0.17985228774104622</v>
          </cell>
          <cell r="AI185">
            <v>0.15997194938261583</v>
          </cell>
          <cell r="AJ185">
            <v>0.16322890473610413</v>
          </cell>
          <cell r="AK185">
            <v>0.15895825120490356</v>
          </cell>
          <cell r="AL185">
            <v>0.16297353253874994</v>
          </cell>
          <cell r="AM185">
            <v>0.16133656324943091</v>
          </cell>
          <cell r="AN185">
            <v>0.15389435158983825</v>
          </cell>
          <cell r="AO185">
            <v>0.13183417754801055</v>
          </cell>
          <cell r="AP185">
            <v>0.15656985643606686</v>
          </cell>
          <cell r="AQ185">
            <v>0.14614041381796297</v>
          </cell>
          <cell r="AR185">
            <v>0.14838592436999998</v>
          </cell>
          <cell r="AS185">
            <v>0.17534777998207116</v>
          </cell>
          <cell r="AT185">
            <v>0.15839422674921155</v>
          </cell>
          <cell r="AU185">
            <v>0.1432831449653536</v>
          </cell>
          <cell r="AV185">
            <v>0.18994341741518905</v>
          </cell>
          <cell r="AW185">
            <v>0.16688040303718754</v>
          </cell>
          <cell r="AX185">
            <v>0.2245717933266784</v>
          </cell>
          <cell r="AY185">
            <v>0.17152119522843812</v>
          </cell>
          <cell r="AZ185">
            <v>0.17776942418479083</v>
          </cell>
          <cell r="BA185">
            <v>0.13680667388060042</v>
          </cell>
          <cell r="BB185">
            <v>0.17878322495717186</v>
          </cell>
        </row>
        <row r="186">
          <cell r="A186" t="str">
            <v xml:space="preserve">  Per BOE</v>
          </cell>
          <cell r="B186">
            <v>1.5530456042667997</v>
          </cell>
          <cell r="C186">
            <v>1.7327834049610649</v>
          </cell>
          <cell r="D186">
            <v>1.6718380732315488</v>
          </cell>
          <cell r="E186">
            <v>1.1512833655324686</v>
          </cell>
          <cell r="F186">
            <v>1.1535661020969836</v>
          </cell>
          <cell r="G186">
            <v>1.8603262486345555</v>
          </cell>
          <cell r="H186">
            <v>0.92957344107793172</v>
          </cell>
          <cell r="I186">
            <v>1.2435194758671924</v>
          </cell>
          <cell r="J186">
            <v>1.2741986238407084</v>
          </cell>
          <cell r="K186">
            <v>1.2476680553788282</v>
          </cell>
          <cell r="L186">
            <v>1.6160318931674909</v>
          </cell>
          <cell r="M186">
            <v>0.48615859434299602</v>
          </cell>
          <cell r="N186">
            <v>1.0975228357643263</v>
          </cell>
          <cell r="O186">
            <v>0.68523011007486423</v>
          </cell>
          <cell r="P186">
            <v>1.2371583982820149</v>
          </cell>
          <cell r="Q186">
            <v>0.95847955229160153</v>
          </cell>
          <cell r="R186">
            <v>0.90258456896492245</v>
          </cell>
          <cell r="S186">
            <v>0.94602410294414574</v>
          </cell>
          <cell r="T186">
            <v>0.95368179499367123</v>
          </cell>
          <cell r="U186">
            <v>0.95307287358861925</v>
          </cell>
          <cell r="V186">
            <v>1.0510633251549424</v>
          </cell>
          <cell r="W186">
            <v>0.93514924261500854</v>
          </cell>
          <cell r="X186">
            <v>0.97298320036211472</v>
          </cell>
          <cell r="Y186">
            <v>1.0323898166059562</v>
          </cell>
          <cell r="Z186">
            <v>0.85703118362155351</v>
          </cell>
          <cell r="AA186">
            <v>1.194806799931398</v>
          </cell>
          <cell r="AB186">
            <v>1.0166167044746142</v>
          </cell>
          <cell r="AC186">
            <v>1.0212742900397795</v>
          </cell>
          <cell r="AD186">
            <v>1.0211456209777352</v>
          </cell>
          <cell r="AE186">
            <v>1.2216166291779471</v>
          </cell>
          <cell r="AF186">
            <v>1.0216116995198481</v>
          </cell>
          <cell r="AG186">
            <v>1.0680398572552741</v>
          </cell>
          <cell r="AH186">
            <v>1.0792584378031758</v>
          </cell>
          <cell r="AI186">
            <v>0.96001872811219557</v>
          </cell>
          <cell r="AJ186">
            <v>0.97954438922756026</v>
          </cell>
          <cell r="AK186">
            <v>0.95394696289704006</v>
          </cell>
          <cell r="AL186">
            <v>0.97809295661129281</v>
          </cell>
          <cell r="AM186">
            <v>0.96822170216324588</v>
          </cell>
          <cell r="AN186">
            <v>0.92365944818017298</v>
          </cell>
          <cell r="AO186">
            <v>0.79120565616904426</v>
          </cell>
          <cell r="AP186">
            <v>0.93973802554135266</v>
          </cell>
          <cell r="AQ186">
            <v>0.87710316821842105</v>
          </cell>
          <cell r="AR186">
            <v>0.89058688532811003</v>
          </cell>
          <cell r="AS186">
            <v>1.052113760992091</v>
          </cell>
          <cell r="AT186">
            <v>0.95038788544237951</v>
          </cell>
          <cell r="AU186">
            <v>0.85972037158130843</v>
          </cell>
          <cell r="AV186">
            <v>1.1396883717765534</v>
          </cell>
          <cell r="AW186">
            <v>1.0012824182231252</v>
          </cell>
          <cell r="AX186">
            <v>1.3474607192538368</v>
          </cell>
          <cell r="AY186">
            <v>1.029152896426156</v>
          </cell>
          <cell r="AZ186">
            <v>1.06664072904861</v>
          </cell>
          <cell r="BA186">
            <v>0.82086097035026639</v>
          </cell>
          <cell r="BB186">
            <v>1.0729646849678756</v>
          </cell>
        </row>
        <row r="188">
          <cell r="A188" t="str">
            <v>Interest Expense</v>
          </cell>
        </row>
        <row r="189">
          <cell r="A189" t="str">
            <v xml:space="preserve">  Per MCF</v>
          </cell>
          <cell r="B189">
            <v>0.2669147295033667</v>
          </cell>
          <cell r="C189">
            <v>0.25119378014935057</v>
          </cell>
          <cell r="D189">
            <v>0.23436185570222354</v>
          </cell>
          <cell r="E189">
            <v>0.19230348029874933</v>
          </cell>
          <cell r="F189">
            <v>0.20613547012614297</v>
          </cell>
          <cell r="G189">
            <v>0.22570012600406431</v>
          </cell>
          <cell r="H189">
            <v>0.16860739367025179</v>
          </cell>
          <cell r="I189">
            <v>0.19602053873549607</v>
          </cell>
          <cell r="J189">
            <v>0.17824770918761329</v>
          </cell>
          <cell r="K189">
            <v>0.16365708419901023</v>
          </cell>
          <cell r="L189">
            <v>0.14995846026031567</v>
          </cell>
          <cell r="M189">
            <v>0.10819908631882669</v>
          </cell>
          <cell r="N189">
            <v>0.14684462832289252</v>
          </cell>
          <cell r="O189">
            <v>0.11577867631284118</v>
          </cell>
          <cell r="P189">
            <v>0.13171885050422708</v>
          </cell>
          <cell r="Q189">
            <v>9.948133785048012E-2</v>
          </cell>
          <cell r="R189">
            <v>2.506988145890398E-2</v>
          </cell>
          <cell r="S189">
            <v>9.1361413098040328E-2</v>
          </cell>
          <cell r="T189">
            <v>3.5370549302599544E-2</v>
          </cell>
          <cell r="U189">
            <v>3.6615460411719862E-2</v>
          </cell>
          <cell r="V189">
            <v>3.556030140629407E-2</v>
          </cell>
          <cell r="W189">
            <v>3.4632332080289381E-2</v>
          </cell>
          <cell r="X189">
            <v>3.5560926753380226E-2</v>
          </cell>
          <cell r="Y189">
            <v>2.7609147822429448E-2</v>
          </cell>
          <cell r="Z189">
            <v>2.4709765404435768E-2</v>
          </cell>
          <cell r="AA189">
            <v>3.0057430231468247E-2</v>
          </cell>
          <cell r="AB189">
            <v>3.0138316877660231E-2</v>
          </cell>
          <cell r="AC189">
            <v>2.8099792030423634E-2</v>
          </cell>
          <cell r="AD189">
            <v>3.6473111404174821E-2</v>
          </cell>
          <cell r="AE189">
            <v>3.5658974745138634E-2</v>
          </cell>
          <cell r="AF189">
            <v>4.3137827059624559E-2</v>
          </cell>
          <cell r="AG189">
            <v>3.5896816365074996E-2</v>
          </cell>
          <cell r="AH189">
            <v>3.787233212701295E-2</v>
          </cell>
          <cell r="AI189">
            <v>4.6720964003210942E-2</v>
          </cell>
          <cell r="AJ189">
            <v>3.7673477803129365E-2</v>
          </cell>
          <cell r="AK189">
            <v>1.6788436838794815E-2</v>
          </cell>
          <cell r="AL189">
            <v>4.4164166107100888E-2</v>
          </cell>
          <cell r="AM189">
            <v>3.6781955890373634E-2</v>
          </cell>
          <cell r="AN189">
            <v>5.7850342351879372E-2</v>
          </cell>
          <cell r="AO189">
            <v>5.9463591391970418E-2</v>
          </cell>
          <cell r="AP189">
            <v>8.3786144563163606E-2</v>
          </cell>
          <cell r="AQ189">
            <v>9.7150644497078054E-2</v>
          </cell>
          <cell r="AR189">
            <v>7.5582333286102907E-2</v>
          </cell>
          <cell r="AS189">
            <v>9.6497419091256989E-2</v>
          </cell>
          <cell r="AT189">
            <v>0.10858609743534806</v>
          </cell>
          <cell r="AU189">
            <v>0.12350151674252494</v>
          </cell>
          <cell r="AV189">
            <v>0.136583846375465</v>
          </cell>
          <cell r="AW189">
            <v>0.11747403418553157</v>
          </cell>
          <cell r="AX189">
            <v>0.13556021897151346</v>
          </cell>
          <cell r="AY189">
            <v>0.14493560617163948</v>
          </cell>
          <cell r="AZ189">
            <v>0.16982155367190796</v>
          </cell>
          <cell r="BA189">
            <v>0.16896199758718899</v>
          </cell>
          <cell r="BB189">
            <v>0.15411075358256951</v>
          </cell>
        </row>
        <row r="190">
          <cell r="A190" t="str">
            <v xml:space="preserve">  Per BOE</v>
          </cell>
          <cell r="B190">
            <v>1.6017980528158149</v>
          </cell>
          <cell r="C190">
            <v>1.5075813288898443</v>
          </cell>
          <cell r="D190">
            <v>1.4063132937578202</v>
          </cell>
          <cell r="E190">
            <v>1.1539118663670174</v>
          </cell>
          <cell r="F190">
            <v>1.2368952255020613</v>
          </cell>
          <cell r="G190">
            <v>1.3542740029168678</v>
          </cell>
          <cell r="H190">
            <v>1.0116853943151933</v>
          </cell>
          <cell r="I190">
            <v>1.1761976576384856</v>
          </cell>
          <cell r="J190">
            <v>1.0695339542651274</v>
          </cell>
          <cell r="K190">
            <v>0.98195848564055055</v>
          </cell>
          <cell r="L190">
            <v>0.8999036114322011</v>
          </cell>
          <cell r="M190">
            <v>0.64925696147742062</v>
          </cell>
          <cell r="N190">
            <v>0.88114573593670065</v>
          </cell>
          <cell r="O190">
            <v>0.69472857050479964</v>
          </cell>
          <cell r="P190">
            <v>0.79037626154662888</v>
          </cell>
          <cell r="Q190">
            <v>0.5969753825747397</v>
          </cell>
          <cell r="R190">
            <v>0.15043076149415374</v>
          </cell>
          <cell r="S190">
            <v>0.54822095423316208</v>
          </cell>
          <cell r="T190">
            <v>0.21223881480552903</v>
          </cell>
          <cell r="U190">
            <v>0.2197044194232001</v>
          </cell>
          <cell r="V190">
            <v>0.21337310848322891</v>
          </cell>
          <cell r="W190">
            <v>0.20781094280333523</v>
          </cell>
          <cell r="X190">
            <v>0.21321213788913149</v>
          </cell>
          <cell r="Y190">
            <v>0.16566559403388414</v>
          </cell>
          <cell r="Z190">
            <v>0.14826710455585906</v>
          </cell>
          <cell r="AA190">
            <v>0.18035802195680989</v>
          </cell>
          <cell r="AB190">
            <v>0.18084339641237529</v>
          </cell>
          <cell r="AC190">
            <v>0.16861016469228068</v>
          </cell>
          <cell r="AD190">
            <v>0.21889115401526962</v>
          </cell>
          <cell r="AE190">
            <v>0.21397365524254952</v>
          </cell>
          <cell r="AF190">
            <v>0.2588501256799558</v>
          </cell>
          <cell r="AG190">
            <v>0.21540648416404942</v>
          </cell>
          <cell r="AH190">
            <v>0.22726446530507308</v>
          </cell>
          <cell r="AI190">
            <v>0.28038040801303393</v>
          </cell>
          <cell r="AJ190">
            <v>0.22608032483221072</v>
          </cell>
          <cell r="AK190">
            <v>0.10075147538904893</v>
          </cell>
          <cell r="AL190">
            <v>0.26505322141002108</v>
          </cell>
          <cell r="AM190">
            <v>0.22073786142334112</v>
          </cell>
          <cell r="AN190">
            <v>0.34721232288098663</v>
          </cell>
          <cell r="AO190">
            <v>0.35687202454248457</v>
          </cell>
          <cell r="AP190">
            <v>0.50288751520737895</v>
          </cell>
          <cell r="AQ190">
            <v>0.5830771643290289</v>
          </cell>
          <cell r="AR190">
            <v>0.45363220988034969</v>
          </cell>
          <cell r="AS190">
            <v>0.57899941782275877</v>
          </cell>
          <cell r="AT190">
            <v>0.65153202643816899</v>
          </cell>
          <cell r="AU190">
            <v>0.7410276337137397</v>
          </cell>
          <cell r="AV190">
            <v>0.81952311696264568</v>
          </cell>
          <cell r="AW190">
            <v>0.70484420511318935</v>
          </cell>
          <cell r="AX190">
            <v>0.81337939841736784</v>
          </cell>
          <cell r="AY190">
            <v>0.86963537473118435</v>
          </cell>
          <cell r="AZ190">
            <v>1.0189524247346298</v>
          </cell>
          <cell r="BA190">
            <v>1.0137978313308487</v>
          </cell>
          <cell r="BB190">
            <v>0.92489323988587324</v>
          </cell>
        </row>
        <row r="192">
          <cell r="A192" t="str">
            <v>Exploration Expense</v>
          </cell>
        </row>
        <row r="193">
          <cell r="A193" t="str">
            <v xml:space="preserve">  Per MCF</v>
          </cell>
          <cell r="B193">
            <v>0.35209915451180834</v>
          </cell>
          <cell r="C193">
            <v>0.40525658889143612</v>
          </cell>
          <cell r="D193">
            <v>0.31179009973655153</v>
          </cell>
          <cell r="E193">
            <v>0.34456928838951312</v>
          </cell>
          <cell r="F193">
            <v>0.31636418212034462</v>
          </cell>
          <cell r="G193">
            <v>0.46350095335890001</v>
          </cell>
          <cell r="H193">
            <v>0.36932348372743018</v>
          </cell>
          <cell r="I193">
            <v>0.37157385265981824</v>
          </cell>
          <cell r="J193">
            <v>0.23407787316807274</v>
          </cell>
          <cell r="K193">
            <v>0.28940098511684015</v>
          </cell>
          <cell r="L193">
            <v>0.38539647373765346</v>
          </cell>
          <cell r="M193">
            <v>0.29362723062609114</v>
          </cell>
          <cell r="N193">
            <v>0.2977649071842558</v>
          </cell>
          <cell r="O193">
            <v>0.26353290148029845</v>
          </cell>
          <cell r="P193">
            <v>0.2489852160225737</v>
          </cell>
          <cell r="Q193">
            <v>0.25889728985651844</v>
          </cell>
          <cell r="R193">
            <v>0.26741206889497576</v>
          </cell>
          <cell r="S193">
            <v>0.25986620047008824</v>
          </cell>
          <cell r="T193">
            <v>0.18677623122299691</v>
          </cell>
          <cell r="U193">
            <v>0.21615074141934468</v>
          </cell>
          <cell r="V193">
            <v>0.23307755628342325</v>
          </cell>
          <cell r="W193">
            <v>0.44113279310589404</v>
          </cell>
          <cell r="X193">
            <v>0.27149392955158536</v>
          </cell>
          <cell r="Y193">
            <v>0.20542077982698434</v>
          </cell>
          <cell r="Z193">
            <v>0.29221926289192579</v>
          </cell>
          <cell r="AA193">
            <v>0.28250802206487313</v>
          </cell>
          <cell r="AB193">
            <v>0.33116661901314626</v>
          </cell>
          <cell r="AC193">
            <v>0.27776391196241479</v>
          </cell>
          <cell r="AD193">
            <v>0.26808669357524412</v>
          </cell>
          <cell r="AE193">
            <v>0.32282391954295475</v>
          </cell>
          <cell r="AF193">
            <v>0.21464351716759072</v>
          </cell>
          <cell r="AG193">
            <v>0.20796867824094992</v>
          </cell>
          <cell r="AH193">
            <v>0.2498671895699521</v>
          </cell>
          <cell r="AI193">
            <v>0.21750502836629956</v>
          </cell>
          <cell r="AJ193">
            <v>0.21745588036182067</v>
          </cell>
          <cell r="AK193">
            <v>0.2885703637258249</v>
          </cell>
          <cell r="AL193">
            <v>0.30110540470594815</v>
          </cell>
          <cell r="AM193">
            <v>0.25600046776990409</v>
          </cell>
          <cell r="AN193">
            <v>0.25424744791207199</v>
          </cell>
          <cell r="AO193">
            <v>0.25580009437559748</v>
          </cell>
          <cell r="AP193">
            <v>0.22766652862979683</v>
          </cell>
          <cell r="AQ193">
            <v>0.36662625630597168</v>
          </cell>
          <cell r="AR193">
            <v>0.2787250225435346</v>
          </cell>
          <cell r="AS193">
            <v>0.35619305288492858</v>
          </cell>
          <cell r="AT193">
            <v>0.27332484431677939</v>
          </cell>
          <cell r="AU193">
            <v>0.30450839890056558</v>
          </cell>
          <cell r="AV193">
            <v>0.24185892236169126</v>
          </cell>
          <cell r="AW193">
            <v>0.29203949621202768</v>
          </cell>
          <cell r="AX193">
            <v>0.23884329041052316</v>
          </cell>
          <cell r="AY193">
            <v>0.20028464434819215</v>
          </cell>
          <cell r="AZ193">
            <v>0.2042931315940627</v>
          </cell>
          <cell r="BA193">
            <v>0.28752209732603279</v>
          </cell>
          <cell r="BB193">
            <v>0.23186102356864483</v>
          </cell>
        </row>
        <row r="194">
          <cell r="A194" t="str">
            <v xml:space="preserve">  Per BOE</v>
          </cell>
          <cell r="B194">
            <v>2.1130034342596873</v>
          </cell>
          <cell r="C194">
            <v>2.4322149475956927</v>
          </cell>
          <cell r="D194">
            <v>1.870929724497095</v>
          </cell>
          <cell r="E194">
            <v>2.0675787564562551</v>
          </cell>
          <cell r="F194">
            <v>1.8983115625130413</v>
          </cell>
          <cell r="G194">
            <v>2.7811561410020591</v>
          </cell>
          <cell r="H194">
            <v>2.2160307809239863</v>
          </cell>
          <cell r="I194">
            <v>2.2295841953986248</v>
          </cell>
          <cell r="J194">
            <v>1.4045298783161995</v>
          </cell>
          <cell r="K194">
            <v>1.7364341695263719</v>
          </cell>
          <cell r="L194">
            <v>2.3127716698857741</v>
          </cell>
          <cell r="M194">
            <v>1.7619328411108255</v>
          </cell>
          <cell r="N194">
            <v>1.7867475390387926</v>
          </cell>
          <cell r="O194">
            <v>1.5813260416942929</v>
          </cell>
          <cell r="P194">
            <v>1.4940306832846693</v>
          </cell>
          <cell r="Q194">
            <v>1.5536110792152205</v>
          </cell>
          <cell r="R194">
            <v>1.6045947892709733</v>
          </cell>
          <cell r="S194">
            <v>1.5593464632796246</v>
          </cell>
          <cell r="T194">
            <v>1.1207393362618459</v>
          </cell>
          <cell r="U194">
            <v>1.2969732625902208</v>
          </cell>
          <cell r="V194">
            <v>1.3985394030734017</v>
          </cell>
          <cell r="W194">
            <v>2.6470126650517631</v>
          </cell>
          <cell r="X194">
            <v>1.6277922548267802</v>
          </cell>
          <cell r="Y194">
            <v>1.2326043431624663</v>
          </cell>
          <cell r="Z194">
            <v>1.753416242335327</v>
          </cell>
          <cell r="AA194">
            <v>1.6951744594987748</v>
          </cell>
          <cell r="AB194">
            <v>1.9871480017894725</v>
          </cell>
          <cell r="AC194">
            <v>1.6666962834048007</v>
          </cell>
          <cell r="AD194">
            <v>1.6089059439581086</v>
          </cell>
          <cell r="AE194">
            <v>1.9371228297512901</v>
          </cell>
          <cell r="AF194">
            <v>1.2879763581606369</v>
          </cell>
          <cell r="AG194">
            <v>1.2479603021206216</v>
          </cell>
          <cell r="AH194">
            <v>1.4994041836254697</v>
          </cell>
          <cell r="AI194">
            <v>1.305284467033651</v>
          </cell>
          <cell r="AJ194">
            <v>1.3049630386072577</v>
          </cell>
          <cell r="AK194">
            <v>1.7317806403361649</v>
          </cell>
          <cell r="AL194">
            <v>1.8070975756168002</v>
          </cell>
          <cell r="AM194">
            <v>1.5363238417044811</v>
          </cell>
          <cell r="AN194">
            <v>1.5259693095531923</v>
          </cell>
          <cell r="AO194">
            <v>1.5351897761477122</v>
          </cell>
          <cell r="AP194">
            <v>1.3664628617947376</v>
          </cell>
          <cell r="AQ194">
            <v>2.2004115258533687</v>
          </cell>
          <cell r="AR194">
            <v>1.6728598129772447</v>
          </cell>
          <cell r="AS194">
            <v>2.1372133285538872</v>
          </cell>
          <cell r="AT194">
            <v>1.6399879349162239</v>
          </cell>
          <cell r="AU194">
            <v>1.8270960894648551</v>
          </cell>
          <cell r="AV194">
            <v>1.4511890181669731</v>
          </cell>
          <cell r="AW194">
            <v>1.7522369772721662</v>
          </cell>
          <cell r="AX194">
            <v>1.433091605664637</v>
          </cell>
          <cell r="AY194">
            <v>1.2017379051382062</v>
          </cell>
          <cell r="AZ194">
            <v>1.2257865818173574</v>
          </cell>
          <cell r="BA194">
            <v>1.7251765656855047</v>
          </cell>
          <cell r="BB194">
            <v>1.391510250300362</v>
          </cell>
        </row>
        <row r="196">
          <cell r="A196" t="str">
            <v>DD&amp;A</v>
          </cell>
        </row>
        <row r="197">
          <cell r="A197" t="str">
            <v xml:space="preserve">  Per MCF</v>
          </cell>
          <cell r="B197">
            <v>1.0573832901871727</v>
          </cell>
          <cell r="C197">
            <v>0.95188081004168146</v>
          </cell>
          <cell r="D197">
            <v>0.92994900661563862</v>
          </cell>
          <cell r="E197">
            <v>0.75532777011192143</v>
          </cell>
          <cell r="F197">
            <v>0.84824402779099639</v>
          </cell>
          <cell r="G197">
            <v>0.92918199258868794</v>
          </cell>
          <cell r="H197">
            <v>0.85198258342015665</v>
          </cell>
          <cell r="I197">
            <v>0.84445992638733447</v>
          </cell>
          <cell r="J197">
            <v>0.78589627647493632</v>
          </cell>
          <cell r="K197">
            <v>0.862279020462836</v>
          </cell>
          <cell r="L197">
            <v>0.76483891812055749</v>
          </cell>
          <cell r="M197">
            <v>0.83480234065463066</v>
          </cell>
          <cell r="N197">
            <v>0.81252916590069346</v>
          </cell>
          <cell r="O197">
            <v>0.74048443422087684</v>
          </cell>
          <cell r="P197">
            <v>0.76821360699631991</v>
          </cell>
          <cell r="Q197">
            <v>0.81974502123377102</v>
          </cell>
          <cell r="R197">
            <v>0.83566271529679936</v>
          </cell>
          <cell r="S197">
            <v>0.79236262430672977</v>
          </cell>
          <cell r="T197">
            <v>0.86728935082420044</v>
          </cell>
          <cell r="U197">
            <v>0.8551284237714798</v>
          </cell>
          <cell r="V197">
            <v>0.92386267477938511</v>
          </cell>
          <cell r="W197">
            <v>0.92899152865451462</v>
          </cell>
          <cell r="X197">
            <v>0.89504139240258607</v>
          </cell>
          <cell r="Y197">
            <v>0.83148032736011401</v>
          </cell>
          <cell r="Z197">
            <v>0.81722291678276748</v>
          </cell>
          <cell r="AA197">
            <v>0.79017194354410369</v>
          </cell>
          <cell r="AB197">
            <v>0.76723435190198375</v>
          </cell>
          <cell r="AC197">
            <v>0.80165671262952731</v>
          </cell>
          <cell r="AD197">
            <v>0.70758901810334496</v>
          </cell>
          <cell r="AE197">
            <v>0.68640700792098286</v>
          </cell>
          <cell r="AF197">
            <v>0.6829588561423986</v>
          </cell>
          <cell r="AG197">
            <v>0.67058111804404075</v>
          </cell>
          <cell r="AH197">
            <v>0.68619622098664601</v>
          </cell>
          <cell r="AI197">
            <v>0.71390399653651537</v>
          </cell>
          <cell r="AJ197">
            <v>0.67315655110955241</v>
          </cell>
          <cell r="AK197">
            <v>0.72657371114204417</v>
          </cell>
          <cell r="AL197">
            <v>0.76034278649767773</v>
          </cell>
          <cell r="AM197">
            <v>0.71881290342365101</v>
          </cell>
          <cell r="AN197">
            <v>0.70844332249841102</v>
          </cell>
          <cell r="AO197">
            <v>0.75290440030576311</v>
          </cell>
          <cell r="AP197">
            <v>0.75674732043610704</v>
          </cell>
          <cell r="AQ197">
            <v>0.78785325768151093</v>
          </cell>
          <cell r="AR197">
            <v>0.75857480575801195</v>
          </cell>
          <cell r="AS197">
            <v>0.76224487104565808</v>
          </cell>
          <cell r="AT197">
            <v>0.76124865448511159</v>
          </cell>
          <cell r="AU197">
            <v>0.76458756890947877</v>
          </cell>
          <cell r="AV197">
            <v>0.75922439298726074</v>
          </cell>
          <cell r="AW197">
            <v>0.76199125169447923</v>
          </cell>
          <cell r="AX197">
            <v>0.77934536205799942</v>
          </cell>
          <cell r="AY197">
            <v>0.87095763175337249</v>
          </cell>
          <cell r="AZ197">
            <v>0.82641423627495192</v>
          </cell>
          <cell r="BA197">
            <v>0.96962636046755235</v>
          </cell>
          <cell r="BB197">
            <v>0.85860451247585401</v>
          </cell>
        </row>
        <row r="198">
          <cell r="A198" t="str">
            <v xml:space="preserve">  Per BOE</v>
          </cell>
          <cell r="B198">
            <v>6.3455265224710251</v>
          </cell>
          <cell r="C198">
            <v>5.7128712967899089</v>
          </cell>
          <cell r="D198">
            <v>5.5802581294718934</v>
          </cell>
          <cell r="E198">
            <v>4.5323239890128662</v>
          </cell>
          <cell r="F198">
            <v>5.0898032609006023</v>
          </cell>
          <cell r="G198">
            <v>5.5753935047368728</v>
          </cell>
          <cell r="H198">
            <v>5.1121028389941481</v>
          </cell>
          <cell r="I198">
            <v>5.0670801835036956</v>
          </cell>
          <cell r="J198">
            <v>4.7155879649245396</v>
          </cell>
          <cell r="K198">
            <v>5.1737583208049394</v>
          </cell>
          <cell r="L198">
            <v>4.5898130948116362</v>
          </cell>
          <cell r="M198">
            <v>5.0092958227998983</v>
          </cell>
          <cell r="N198">
            <v>4.8756064013680032</v>
          </cell>
          <cell r="O198">
            <v>4.4432680425304554</v>
          </cell>
          <cell r="P198">
            <v>4.6096499965091722</v>
          </cell>
          <cell r="Q198">
            <v>4.9191899529968648</v>
          </cell>
          <cell r="R198">
            <v>5.0143587164717918</v>
          </cell>
          <cell r="S198">
            <v>4.754630858543992</v>
          </cell>
          <cell r="T198">
            <v>5.2041166321060395</v>
          </cell>
          <cell r="U198">
            <v>5.1310427825961211</v>
          </cell>
          <cell r="V198">
            <v>5.5434696257781653</v>
          </cell>
          <cell r="W198">
            <v>5.5744038541337861</v>
          </cell>
          <cell r="X198">
            <v>5.3663868238552261</v>
          </cell>
          <cell r="Y198">
            <v>4.9892044204166499</v>
          </cell>
          <cell r="Z198">
            <v>4.9036190212604511</v>
          </cell>
          <cell r="AA198">
            <v>4.7413849968511119</v>
          </cell>
          <cell r="AB198">
            <v>4.6037496587956106</v>
          </cell>
          <cell r="AC198">
            <v>4.8102658623519758</v>
          </cell>
          <cell r="AD198">
            <v>4.2465523444058046</v>
          </cell>
          <cell r="AE198">
            <v>4.1188233121867155</v>
          </cell>
          <cell r="AF198">
            <v>4.0981198589894241</v>
          </cell>
          <cell r="AG198">
            <v>4.0239646746278366</v>
          </cell>
          <cell r="AH198">
            <v>4.1177294478165987</v>
          </cell>
          <cell r="AI198">
            <v>4.2842586428072682</v>
          </cell>
          <cell r="AJ198">
            <v>4.0396443496155472</v>
          </cell>
          <cell r="AK198">
            <v>4.3603448063311552</v>
          </cell>
          <cell r="AL198">
            <v>4.5632312958962071</v>
          </cell>
          <cell r="AM198">
            <v>4.3137788414010192</v>
          </cell>
          <cell r="AN198">
            <v>4.252010301650464</v>
          </cell>
          <cell r="AO198">
            <v>4.5185719754616969</v>
          </cell>
          <cell r="AP198">
            <v>4.5420251951928083</v>
          </cell>
          <cell r="AQ198">
            <v>4.7285249189483203</v>
          </cell>
          <cell r="AR198">
            <v>4.552835967539985</v>
          </cell>
          <cell r="AS198">
            <v>4.5735869490607621</v>
          </cell>
          <cell r="AT198">
            <v>4.5676001826598336</v>
          </cell>
          <cell r="AU198">
            <v>4.5876401513119456</v>
          </cell>
          <cell r="AV198">
            <v>4.5554577464788739</v>
          </cell>
          <cell r="AW198">
            <v>4.5719475101668756</v>
          </cell>
          <cell r="AX198">
            <v>4.6761761419351897</v>
          </cell>
          <cell r="AY198">
            <v>5.2258764183030522</v>
          </cell>
          <cell r="AZ198">
            <v>4.9585978439135925</v>
          </cell>
          <cell r="BA198">
            <v>5.8179064847760857</v>
          </cell>
          <cell r="BB198">
            <v>5.152901344414949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Niaspan"/>
      <sheetName val="Niaspan Generics"/>
      <sheetName val="Azmacort"/>
      <sheetName val="Price Block"/>
      <sheetName val="Scenarios"/>
      <sheetName val="Valuation-Summary"/>
      <sheetName val="Valuation-Master"/>
      <sheetName val="BAL-CF"/>
      <sheetName val="MKTD"/>
      <sheetName val="PPLN"/>
      <sheetName val="IMS"/>
      <sheetName val="------"/>
      <sheetName val="Charts"/>
      <sheetName val="QTR-GAAP"/>
      <sheetName val="Product NPV"/>
      <sheetName val="VAR"/>
      <sheetName val="Pric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6">
          <cell r="B6">
            <v>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fqtr"/>
      <sheetName val="anfbs"/>
      <sheetName val="anfcf"/>
      <sheetName val="anfinc"/>
      <sheetName val="prod"/>
      <sheetName val="detail"/>
      <sheetName val="Monthly"/>
      <sheetName val="Working capital"/>
      <sheetName val="Cash Flow"/>
      <sheetName val="Depreciation"/>
      <sheetName val="debt"/>
      <sheetName val="equity"/>
      <sheetName val="DCF1"/>
      <sheetName val="demo"/>
      <sheetName val="region"/>
      <sheetName val="price"/>
      <sheetName val="Prewrite Charts"/>
      <sheetName val="RC - Ratios"/>
      <sheetName val="RC - Charts"/>
      <sheetName val="new stores"/>
      <sheetName val="prod selling SF"/>
      <sheetName val="Report Card"/>
      <sheetName val="Sheet1"/>
      <sheetName val="Sheet11"/>
      <sheetName val="Sheet12"/>
      <sheetName val="Sheet13"/>
      <sheetName val="Sheet14"/>
      <sheetName val="Sheet15"/>
      <sheetName val="Sheet16"/>
      <sheetName val="iQ_US_CoreIndustrials"/>
      <sheetName val="FOLLOWING WORKSHEETS NOT FOR IQ"/>
      <sheetName val="iQ_US_CoreIndustrials "/>
      <sheetName val="ANF"/>
      <sheetName val="Report Card 2"/>
    </sheetNames>
    <sheetDataSet>
      <sheetData sheetId="0" refreshError="1">
        <row r="8">
          <cell r="AT8">
            <v>631.16060245791209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BAL-CF"/>
      <sheetName val="MKTD"/>
      <sheetName val="PPLN-brand"/>
      <sheetName val="PPLN-generic"/>
      <sheetName val="IMS"/>
      <sheetName val="P&amp;L Review"/>
      <sheetName val="SUMMARY"/>
      <sheetName val="VAR"/>
      <sheetName val="iQ_US_CoreIndustria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A3" t="str">
            <v>Product</v>
          </cell>
          <cell r="B3">
            <v>36892</v>
          </cell>
          <cell r="C3">
            <v>36923</v>
          </cell>
          <cell r="D3">
            <v>36951</v>
          </cell>
          <cell r="E3" t="str">
            <v>Q1:01</v>
          </cell>
          <cell r="F3">
            <v>36982</v>
          </cell>
          <cell r="G3">
            <v>37012</v>
          </cell>
          <cell r="H3">
            <v>37043</v>
          </cell>
          <cell r="I3" t="str">
            <v>Q2:01</v>
          </cell>
          <cell r="J3">
            <v>37073</v>
          </cell>
          <cell r="K3">
            <v>37104</v>
          </cell>
          <cell r="L3">
            <v>37135</v>
          </cell>
          <cell r="M3" t="str">
            <v>Q3:01</v>
          </cell>
          <cell r="N3">
            <v>37165</v>
          </cell>
          <cell r="O3">
            <v>37196</v>
          </cell>
          <cell r="P3">
            <v>37226</v>
          </cell>
          <cell r="Q3" t="str">
            <v>Q4:01</v>
          </cell>
          <cell r="R3">
            <v>37257</v>
          </cell>
          <cell r="S3">
            <v>37288</v>
          </cell>
          <cell r="T3">
            <v>37316</v>
          </cell>
          <cell r="U3" t="str">
            <v>Q1:02</v>
          </cell>
          <cell r="V3">
            <v>37347</v>
          </cell>
          <cell r="W3">
            <v>37377</v>
          </cell>
          <cell r="X3">
            <v>37408</v>
          </cell>
          <cell r="Y3" t="str">
            <v>Q2:02</v>
          </cell>
          <cell r="Z3">
            <v>37438</v>
          </cell>
          <cell r="AA3">
            <v>37469</v>
          </cell>
          <cell r="AB3">
            <v>37500</v>
          </cell>
          <cell r="AC3" t="str">
            <v>Q3:02</v>
          </cell>
          <cell r="AD3">
            <v>37530</v>
          </cell>
          <cell r="AE3">
            <v>37561</v>
          </cell>
          <cell r="AF3">
            <v>37591</v>
          </cell>
          <cell r="AG3" t="str">
            <v>Q4:02</v>
          </cell>
          <cell r="AH3">
            <v>37622</v>
          </cell>
          <cell r="AI3">
            <v>37653</v>
          </cell>
          <cell r="AJ3">
            <v>37681</v>
          </cell>
          <cell r="AK3" t="str">
            <v>Q1:03</v>
          </cell>
          <cell r="AL3" t="str">
            <v>Apr-03</v>
          </cell>
          <cell r="AM3">
            <v>37744</v>
          </cell>
          <cell r="AN3">
            <v>37775</v>
          </cell>
          <cell r="AO3" t="str">
            <v>Q2:03</v>
          </cell>
          <cell r="AP3">
            <v>37805</v>
          </cell>
          <cell r="AQ3">
            <v>37836</v>
          </cell>
          <cell r="AR3">
            <v>37867</v>
          </cell>
          <cell r="AS3" t="str">
            <v>Q3:03</v>
          </cell>
          <cell r="AT3">
            <v>37897</v>
          </cell>
          <cell r="AU3">
            <v>37928</v>
          </cell>
          <cell r="AV3">
            <v>37958</v>
          </cell>
          <cell r="AW3" t="str">
            <v>Q4:03</v>
          </cell>
          <cell r="AX3">
            <v>37987</v>
          </cell>
          <cell r="AY3">
            <v>38018</v>
          </cell>
          <cell r="AZ3">
            <v>38047</v>
          </cell>
          <cell r="BA3" t="str">
            <v>Q1:04</v>
          </cell>
          <cell r="BB3">
            <v>38078</v>
          </cell>
          <cell r="BC3">
            <v>38108</v>
          </cell>
          <cell r="BD3">
            <v>38139</v>
          </cell>
          <cell r="BE3" t="str">
            <v>Q2:04</v>
          </cell>
          <cell r="BF3">
            <v>38169</v>
          </cell>
          <cell r="BG3">
            <v>38200</v>
          </cell>
          <cell r="BH3">
            <v>38231</v>
          </cell>
          <cell r="BI3" t="str">
            <v>Q3:04E</v>
          </cell>
        </row>
        <row r="5">
          <cell r="A5" t="str">
            <v>BRANDS</v>
          </cell>
        </row>
        <row r="6">
          <cell r="A6" t="str">
            <v>OVIDE</v>
          </cell>
        </row>
        <row r="7">
          <cell r="A7" t="str">
            <v>TRx</v>
          </cell>
          <cell r="O7">
            <v>7742</v>
          </cell>
          <cell r="P7">
            <v>6342</v>
          </cell>
          <cell r="Q7">
            <v>14084</v>
          </cell>
          <cell r="R7">
            <v>9708</v>
          </cell>
          <cell r="S7">
            <v>7024</v>
          </cell>
          <cell r="T7">
            <v>7733</v>
          </cell>
          <cell r="U7">
            <v>24465</v>
          </cell>
          <cell r="V7">
            <v>8789</v>
          </cell>
          <cell r="W7">
            <v>9043</v>
          </cell>
          <cell r="X7">
            <v>8703</v>
          </cell>
          <cell r="Y7">
            <v>26535</v>
          </cell>
          <cell r="Z7">
            <v>12471</v>
          </cell>
          <cell r="AA7">
            <v>16323</v>
          </cell>
          <cell r="AB7">
            <v>13925</v>
          </cell>
          <cell r="AC7">
            <v>42719</v>
          </cell>
          <cell r="AD7">
            <v>14790</v>
          </cell>
          <cell r="AE7">
            <v>13624</v>
          </cell>
          <cell r="AF7">
            <v>11768</v>
          </cell>
          <cell r="AG7">
            <v>40182</v>
          </cell>
          <cell r="AH7">
            <v>14187</v>
          </cell>
          <cell r="AI7">
            <v>9235</v>
          </cell>
          <cell r="AJ7">
            <v>10466</v>
          </cell>
          <cell r="AK7">
            <v>33888</v>
          </cell>
          <cell r="AL7">
            <v>10339</v>
          </cell>
          <cell r="AM7">
            <v>10767</v>
          </cell>
          <cell r="AN7">
            <v>11209</v>
          </cell>
          <cell r="AO7">
            <v>32315</v>
          </cell>
          <cell r="AP7">
            <v>16513</v>
          </cell>
          <cell r="AQ7">
            <v>21245</v>
          </cell>
          <cell r="AR7">
            <v>20232</v>
          </cell>
          <cell r="AS7">
            <v>57990</v>
          </cell>
          <cell r="AT7">
            <v>20861</v>
          </cell>
          <cell r="AU7">
            <v>16864</v>
          </cell>
          <cell r="AV7">
            <v>17083</v>
          </cell>
          <cell r="AW7">
            <v>54808</v>
          </cell>
          <cell r="AX7">
            <v>19809</v>
          </cell>
          <cell r="AY7">
            <v>14911</v>
          </cell>
          <cell r="AZ7">
            <v>17020</v>
          </cell>
          <cell r="BA7">
            <v>51740</v>
          </cell>
          <cell r="BB7">
            <v>15710</v>
          </cell>
          <cell r="BC7">
            <v>14859</v>
          </cell>
          <cell r="BD7">
            <v>18949</v>
          </cell>
          <cell r="BE7">
            <v>49518</v>
          </cell>
          <cell r="BF7">
            <v>24101</v>
          </cell>
          <cell r="BG7">
            <v>29960</v>
          </cell>
          <cell r="BH7">
            <v>25808</v>
          </cell>
          <cell r="BI7">
            <v>79869</v>
          </cell>
        </row>
        <row r="8">
          <cell r="A8" t="str">
            <v xml:space="preserve">  % Change</v>
          </cell>
          <cell r="AE8">
            <v>0.7597520020666495</v>
          </cell>
          <cell r="AF8">
            <v>0.85556606748659725</v>
          </cell>
          <cell r="AG8">
            <v>1.85302470888952</v>
          </cell>
          <cell r="AH8">
            <v>0.46137206427688504</v>
          </cell>
          <cell r="AI8">
            <v>0.31477790432801833</v>
          </cell>
          <cell r="AJ8">
            <v>0.35342040605198499</v>
          </cell>
          <cell r="AK8">
            <v>0.38516247700797046</v>
          </cell>
          <cell r="AL8">
            <v>0.17635680964842426</v>
          </cell>
          <cell r="AM8">
            <v>0.19064469755612068</v>
          </cell>
          <cell r="AN8">
            <v>0.28794668505113186</v>
          </cell>
          <cell r="AO8">
            <v>0.21782551347277179</v>
          </cell>
          <cell r="AP8">
            <v>0.32411193970010421</v>
          </cell>
          <cell r="AQ8">
            <v>0.30153770752925313</v>
          </cell>
          <cell r="AR8">
            <v>0.45292639138240576</v>
          </cell>
          <cell r="AS8">
            <v>0.35747559633886561</v>
          </cell>
          <cell r="AT8">
            <v>0.41048005409060173</v>
          </cell>
          <cell r="AU8">
            <v>0.23781561949500873</v>
          </cell>
          <cell r="AV8">
            <v>0.45164853840924546</v>
          </cell>
          <cell r="AW8">
            <v>0.36399382808222591</v>
          </cell>
          <cell r="AX8">
            <v>0.39627828293508149</v>
          </cell>
          <cell r="AY8">
            <v>0.61461829994585804</v>
          </cell>
          <cell r="AZ8">
            <v>0.62621823046053882</v>
          </cell>
          <cell r="BA8">
            <v>0.52679414542020764</v>
          </cell>
          <cell r="BB8">
            <v>0.51948931231260276</v>
          </cell>
          <cell r="BC8">
            <v>0.38005015324602964</v>
          </cell>
          <cell r="BD8">
            <v>0.69051654920153438</v>
          </cell>
          <cell r="BE8">
            <v>0.53235339625560885</v>
          </cell>
          <cell r="BF8">
            <v>0.45951674438321333</v>
          </cell>
          <cell r="BG8">
            <v>0.41021416803953881</v>
          </cell>
          <cell r="BH8">
            <v>0.27560300514037173</v>
          </cell>
          <cell r="BI8">
            <v>0.37728918779099851</v>
          </cell>
        </row>
        <row r="9">
          <cell r="A9" t="str">
            <v>NRx</v>
          </cell>
          <cell r="O9">
            <v>7037</v>
          </cell>
          <cell r="P9">
            <v>5631</v>
          </cell>
          <cell r="Q9">
            <v>12668</v>
          </cell>
          <cell r="R9">
            <v>8840</v>
          </cell>
          <cell r="S9">
            <v>6340</v>
          </cell>
          <cell r="T9">
            <v>6972</v>
          </cell>
          <cell r="U9">
            <v>22152</v>
          </cell>
          <cell r="V9">
            <v>7983</v>
          </cell>
          <cell r="W9">
            <v>8335</v>
          </cell>
          <cell r="X9">
            <v>7892</v>
          </cell>
          <cell r="Y9">
            <v>24210</v>
          </cell>
          <cell r="Z9">
            <v>11426</v>
          </cell>
          <cell r="AA9">
            <v>14662</v>
          </cell>
          <cell r="AB9">
            <v>12544</v>
          </cell>
          <cell r="AC9">
            <v>38632</v>
          </cell>
          <cell r="AD9">
            <v>13516</v>
          </cell>
          <cell r="AE9">
            <v>12315</v>
          </cell>
          <cell r="AF9">
            <v>10599</v>
          </cell>
          <cell r="AG9">
            <v>36430</v>
          </cell>
          <cell r="AH9">
            <v>12751</v>
          </cell>
          <cell r="AI9">
            <v>8240</v>
          </cell>
          <cell r="AJ9">
            <v>9335</v>
          </cell>
          <cell r="AK9">
            <v>30326</v>
          </cell>
          <cell r="AL9">
            <v>9264</v>
          </cell>
          <cell r="AM9">
            <v>9624</v>
          </cell>
          <cell r="AN9">
            <v>10035</v>
          </cell>
          <cell r="AO9">
            <v>28923</v>
          </cell>
          <cell r="AP9">
            <v>14966</v>
          </cell>
          <cell r="AQ9">
            <v>19128</v>
          </cell>
          <cell r="AR9">
            <v>18302</v>
          </cell>
          <cell r="AS9">
            <v>52396</v>
          </cell>
          <cell r="AT9">
            <v>19012</v>
          </cell>
          <cell r="AU9">
            <v>15189</v>
          </cell>
          <cell r="AV9">
            <v>15217</v>
          </cell>
          <cell r="AW9">
            <v>49418</v>
          </cell>
          <cell r="AX9">
            <v>17997</v>
          </cell>
          <cell r="AY9">
            <v>13479</v>
          </cell>
          <cell r="AZ9">
            <v>15272</v>
          </cell>
          <cell r="BA9">
            <v>46748</v>
          </cell>
          <cell r="BB9">
            <v>14112</v>
          </cell>
          <cell r="BC9">
            <v>13369</v>
          </cell>
          <cell r="BD9">
            <v>16951</v>
          </cell>
          <cell r="BE9">
            <v>44432</v>
          </cell>
          <cell r="BF9">
            <v>21623</v>
          </cell>
          <cell r="BG9">
            <v>26737</v>
          </cell>
          <cell r="BH9">
            <v>23297</v>
          </cell>
          <cell r="BI9">
            <v>71657</v>
          </cell>
        </row>
        <row r="10">
          <cell r="A10" t="str">
            <v xml:space="preserve">  % Change</v>
          </cell>
          <cell r="AE10">
            <v>0.75003552650277117</v>
          </cell>
          <cell r="AF10">
            <v>0.8822589238145977</v>
          </cell>
          <cell r="AG10">
            <v>1.8757499210609407</v>
          </cell>
          <cell r="AH10">
            <v>0.44242081447963799</v>
          </cell>
          <cell r="AI10">
            <v>0.2996845425867507</v>
          </cell>
          <cell r="AJ10">
            <v>0.33892713711990829</v>
          </cell>
          <cell r="AK10">
            <v>0.36899602744673166</v>
          </cell>
          <cell r="AL10">
            <v>0.16046599022923713</v>
          </cell>
          <cell r="AM10">
            <v>0.15464907018596286</v>
          </cell>
          <cell r="AN10">
            <v>0.27154080081094789</v>
          </cell>
          <cell r="AO10">
            <v>0.1946716232961585</v>
          </cell>
          <cell r="AP10">
            <v>0.30981970943462289</v>
          </cell>
          <cell r="AQ10">
            <v>0.30459691720092752</v>
          </cell>
          <cell r="AR10">
            <v>0.45902423469387754</v>
          </cell>
          <cell r="AS10">
            <v>0.35628494512321396</v>
          </cell>
          <cell r="AT10">
            <v>0.40662918023083749</v>
          </cell>
          <cell r="AU10">
            <v>0.23337393422655306</v>
          </cell>
          <cell r="AV10">
            <v>0.43570148127181807</v>
          </cell>
          <cell r="AW10">
            <v>0.35651935218226738</v>
          </cell>
          <cell r="AX10">
            <v>0.41141871225786208</v>
          </cell>
          <cell r="AY10">
            <v>0.6358009708737864</v>
          </cell>
          <cell r="AZ10">
            <v>0.63599357257632572</v>
          </cell>
          <cell r="BA10">
            <v>0.54151553122732965</v>
          </cell>
          <cell r="BB10">
            <v>0.52331606217616589</v>
          </cell>
          <cell r="BC10">
            <v>0.38913133832086455</v>
          </cell>
          <cell r="BD10">
            <v>0.68918784255107135</v>
          </cell>
          <cell r="BE10">
            <v>0.53621685164056276</v>
          </cell>
          <cell r="BF10">
            <v>0.4448082319925164</v>
          </cell>
          <cell r="BG10">
            <v>0.39779381012128812</v>
          </cell>
          <cell r="BH10">
            <v>0.27292099224128519</v>
          </cell>
          <cell r="BI10">
            <v>0.36760439728223537</v>
          </cell>
        </row>
        <row r="11">
          <cell r="A11" t="str">
            <v>Sales (IMS)</v>
          </cell>
          <cell r="N11">
            <v>0.30238399999999999</v>
          </cell>
          <cell r="O11">
            <v>0.27599899999999999</v>
          </cell>
          <cell r="P11">
            <v>0.30500699999999997</v>
          </cell>
          <cell r="Q11">
            <v>0.8833899999999999</v>
          </cell>
          <cell r="R11">
            <v>0.35055399999999998</v>
          </cell>
          <cell r="S11">
            <v>0.30036400000000002</v>
          </cell>
          <cell r="T11">
            <v>0.37979000000000002</v>
          </cell>
          <cell r="U11">
            <v>1.030708</v>
          </cell>
          <cell r="V11">
            <v>0.34287400000000001</v>
          </cell>
          <cell r="W11">
            <v>0.34100000000000003</v>
          </cell>
          <cell r="X11">
            <v>0.45433899999999999</v>
          </cell>
          <cell r="Y11">
            <v>1.1382129999999999</v>
          </cell>
          <cell r="Z11">
            <v>0.49902200000000002</v>
          </cell>
          <cell r="AA11">
            <v>0.68647800000000003</v>
          </cell>
          <cell r="AB11">
            <v>0.75042600000000004</v>
          </cell>
          <cell r="AC11">
            <v>1.9359260000000003</v>
          </cell>
          <cell r="AD11">
            <v>0.56344000000000005</v>
          </cell>
          <cell r="AE11">
            <v>0.54319600000000001</v>
          </cell>
          <cell r="AF11">
            <v>0.51305299999999998</v>
          </cell>
          <cell r="AG11">
            <v>1.6196890000000002</v>
          </cell>
          <cell r="AH11">
            <v>0.52436000000000005</v>
          </cell>
          <cell r="AI11">
            <v>0.37506200000000001</v>
          </cell>
          <cell r="AJ11">
            <v>0.47896</v>
          </cell>
          <cell r="AK11">
            <v>1.3783820000000002</v>
          </cell>
          <cell r="AL11">
            <v>0.39280100000000001</v>
          </cell>
          <cell r="AM11">
            <v>0.411493</v>
          </cell>
          <cell r="AN11">
            <v>0.57650000000000001</v>
          </cell>
          <cell r="AO11">
            <v>1.3807940000000001</v>
          </cell>
          <cell r="AP11">
            <v>0.64576999999999996</v>
          </cell>
          <cell r="AQ11">
            <v>0.91092200000000001</v>
          </cell>
          <cell r="AR11">
            <v>1.0638939999999999</v>
          </cell>
          <cell r="AS11">
            <v>2.6205859999999999</v>
          </cell>
          <cell r="AT11">
            <v>1.1916</v>
          </cell>
          <cell r="AU11">
            <v>0.908277</v>
          </cell>
          <cell r="AV11">
            <v>0.87538899999999997</v>
          </cell>
          <cell r="AW11">
            <v>2.975266</v>
          </cell>
          <cell r="AX11">
            <v>0.91884600000000005</v>
          </cell>
          <cell r="AY11">
            <v>0.74927600000000005</v>
          </cell>
          <cell r="AZ11">
            <v>1.330551</v>
          </cell>
          <cell r="BA11">
            <v>2.9986730000000001</v>
          </cell>
          <cell r="BB11">
            <v>1.054791</v>
          </cell>
          <cell r="BC11">
            <v>1.005957</v>
          </cell>
          <cell r="BD11">
            <v>1.390083</v>
          </cell>
          <cell r="BE11">
            <v>3.450831</v>
          </cell>
          <cell r="BF11">
            <v>1.5489820000000001</v>
          </cell>
          <cell r="BG11">
            <v>2.0821730000000001</v>
          </cell>
        </row>
        <row r="12">
          <cell r="A12" t="str">
            <v xml:space="preserve">  % Change</v>
          </cell>
          <cell r="AE12">
            <v>0.96810858010355116</v>
          </cell>
          <cell r="AF12">
            <v>0.68210237797821049</v>
          </cell>
          <cell r="AG12">
            <v>0.83349256840127284</v>
          </cell>
          <cell r="AH12">
            <v>0.49580378486624044</v>
          </cell>
          <cell r="AI12">
            <v>0.24869158754045095</v>
          </cell>
          <cell r="AJ12">
            <v>0.26111798625556215</v>
          </cell>
          <cell r="AK12">
            <v>0.3373157092018304</v>
          </cell>
          <cell r="AL12">
            <v>0.14561325734818031</v>
          </cell>
          <cell r="AM12">
            <v>0.20672434017595309</v>
          </cell>
          <cell r="AN12">
            <v>0.26887632362619107</v>
          </cell>
          <cell r="AO12">
            <v>0.21312443277312787</v>
          </cell>
          <cell r="AP12">
            <v>0.29407120327360303</v>
          </cell>
          <cell r="AQ12">
            <v>0.32695002607512547</v>
          </cell>
          <cell r="AR12">
            <v>0.41772006833451902</v>
          </cell>
          <cell r="AS12">
            <v>0.35366021221885524</v>
          </cell>
          <cell r="AT12">
            <v>1.1148658242226324</v>
          </cell>
          <cell r="AU12">
            <v>0.67209810086966759</v>
          </cell>
          <cell r="AV12">
            <v>0.70623502834989749</v>
          </cell>
          <cell r="AW12">
            <v>0.83693659708746537</v>
          </cell>
          <cell r="AX12">
            <v>0.7523190174689145</v>
          </cell>
          <cell r="AY12">
            <v>0.99773904047864104</v>
          </cell>
          <cell r="AZ12">
            <v>1.7780002505428429</v>
          </cell>
          <cell r="BA12">
            <v>1.1755021467198494</v>
          </cell>
          <cell r="BB12">
            <v>1.6853063001367103</v>
          </cell>
          <cell r="BC12">
            <v>1.4446515493580692</v>
          </cell>
          <cell r="BD12">
            <v>1.4112454466608844</v>
          </cell>
          <cell r="BE12">
            <v>1.4991642489755894</v>
          </cell>
          <cell r="BF12">
            <v>1.3986589652662715</v>
          </cell>
          <cell r="BG12">
            <v>1.2857862692963833</v>
          </cell>
        </row>
        <row r="14">
          <cell r="A14" t="str">
            <v>TOTAL BRANDS1</v>
          </cell>
        </row>
        <row r="15">
          <cell r="A15" t="str">
            <v>TOTAL BRANDS TRx</v>
          </cell>
          <cell r="O15">
            <v>14121</v>
          </cell>
          <cell r="P15">
            <v>12360</v>
          </cell>
          <cell r="Q15">
            <v>26481</v>
          </cell>
          <cell r="R15">
            <v>15853</v>
          </cell>
          <cell r="S15">
            <v>12394</v>
          </cell>
          <cell r="T15">
            <v>13451</v>
          </cell>
          <cell r="U15">
            <v>41698</v>
          </cell>
          <cell r="V15">
            <v>14663</v>
          </cell>
          <cell r="W15">
            <v>14774</v>
          </cell>
          <cell r="X15">
            <v>14256</v>
          </cell>
          <cell r="Y15">
            <v>43693</v>
          </cell>
          <cell r="Z15">
            <v>18013</v>
          </cell>
          <cell r="AA15">
            <v>21154</v>
          </cell>
          <cell r="AB15">
            <v>18329</v>
          </cell>
          <cell r="AC15">
            <v>57496</v>
          </cell>
          <cell r="AD15">
            <v>19784</v>
          </cell>
          <cell r="AE15">
            <v>18048</v>
          </cell>
          <cell r="AF15">
            <v>16264</v>
          </cell>
          <cell r="AG15">
            <v>54096</v>
          </cell>
          <cell r="AH15">
            <v>18555</v>
          </cell>
          <cell r="AI15">
            <v>12848</v>
          </cell>
          <cell r="AJ15">
            <v>14277</v>
          </cell>
          <cell r="AK15">
            <v>45680</v>
          </cell>
          <cell r="AL15">
            <v>14307</v>
          </cell>
          <cell r="AM15">
            <v>14491</v>
          </cell>
          <cell r="AN15">
            <v>14927</v>
          </cell>
          <cell r="AO15">
            <v>43725</v>
          </cell>
          <cell r="AP15">
            <v>20256</v>
          </cell>
          <cell r="AQ15">
            <v>24820</v>
          </cell>
          <cell r="AR15">
            <v>23821</v>
          </cell>
          <cell r="AS15">
            <v>68897</v>
          </cell>
          <cell r="AT15">
            <v>24639</v>
          </cell>
          <cell r="AU15">
            <v>19984</v>
          </cell>
          <cell r="AV15">
            <v>21097</v>
          </cell>
          <cell r="AW15">
            <v>65720</v>
          </cell>
          <cell r="AX15">
            <v>23342</v>
          </cell>
          <cell r="AY15">
            <v>18232</v>
          </cell>
          <cell r="AZ15">
            <v>20546</v>
          </cell>
          <cell r="BA15">
            <v>62120</v>
          </cell>
          <cell r="BB15">
            <v>19202</v>
          </cell>
          <cell r="BC15">
            <v>18238</v>
          </cell>
          <cell r="BD15">
            <v>22734</v>
          </cell>
          <cell r="BE15">
            <v>60174</v>
          </cell>
          <cell r="BF15">
            <v>27535</v>
          </cell>
          <cell r="BG15">
            <v>33072</v>
          </cell>
          <cell r="BH15">
            <v>28728</v>
          </cell>
          <cell r="BI15">
            <v>89335</v>
          </cell>
        </row>
        <row r="16">
          <cell r="A16" t="str">
            <v xml:space="preserve">  % Change</v>
          </cell>
          <cell r="AE16">
            <v>0.2780964520926279</v>
          </cell>
          <cell r="AF16">
            <v>0.31585760517799355</v>
          </cell>
          <cell r="AG16">
            <v>1.0428231562252179</v>
          </cell>
          <cell r="AH16">
            <v>0.17044092600769578</v>
          </cell>
          <cell r="AI16">
            <v>3.6630627723091891E-2</v>
          </cell>
          <cell r="AJ16">
            <v>6.1408073749163572E-2</v>
          </cell>
          <cell r="AK16">
            <v>9.5496186867475741E-2</v>
          </cell>
          <cell r="AL16">
            <v>-2.4278796971970218E-2</v>
          </cell>
          <cell r="AM16">
            <v>-1.915527277649931E-2</v>
          </cell>
          <cell r="AN16">
            <v>4.7067901234567833E-2</v>
          </cell>
          <cell r="AO16">
            <v>7.3238276154063975E-4</v>
          </cell>
          <cell r="AP16">
            <v>0.12452117914839289</v>
          </cell>
          <cell r="AQ16">
            <v>0.1733005578141249</v>
          </cell>
          <cell r="AR16">
            <v>0.29963445905395814</v>
          </cell>
          <cell r="AS16">
            <v>0.19829205509948511</v>
          </cell>
          <cell r="AT16">
            <v>0.24540032349373231</v>
          </cell>
          <cell r="AU16">
            <v>0.10726950354609932</v>
          </cell>
          <cell r="AV16">
            <v>0.2971593703885882</v>
          </cell>
          <cell r="AW16">
            <v>0.21487725524992607</v>
          </cell>
          <cell r="AX16">
            <v>0.25798976017246034</v>
          </cell>
          <cell r="AY16">
            <v>0.41905354919053539</v>
          </cell>
          <cell r="AZ16">
            <v>0.43909784968830978</v>
          </cell>
          <cell r="BA16">
            <v>0.35989492119089328</v>
          </cell>
          <cell r="BB16">
            <v>0.34214021108548254</v>
          </cell>
          <cell r="BC16">
            <v>0.25857428748878619</v>
          </cell>
          <cell r="BD16">
            <v>0.52301199169290546</v>
          </cell>
          <cell r="BE16">
            <v>0.37619210977701534</v>
          </cell>
          <cell r="BF16">
            <v>0.35935031595576628</v>
          </cell>
          <cell r="BG16">
            <v>0.33247381144238508</v>
          </cell>
          <cell r="BH16">
            <v>0.20599471054951524</v>
          </cell>
          <cell r="BI16">
            <v>0.29664571752035651</v>
          </cell>
        </row>
        <row r="18">
          <cell r="A18" t="str">
            <v xml:space="preserve">TOTAL BRANDS REPORTED SALES </v>
          </cell>
        </row>
        <row r="19">
          <cell r="A19" t="str">
            <v xml:space="preserve">  % Change</v>
          </cell>
        </row>
        <row r="21">
          <cell r="A21" t="str">
            <v xml:space="preserve">TOTAL BRANDS SALES (IMS) </v>
          </cell>
          <cell r="N21">
            <v>0.63199200000000011</v>
          </cell>
          <cell r="O21">
            <v>0.61845300000000003</v>
          </cell>
          <cell r="P21">
            <v>0.68944599999999989</v>
          </cell>
          <cell r="Q21">
            <v>1.939891</v>
          </cell>
          <cell r="R21">
            <v>0.69407800000000008</v>
          </cell>
          <cell r="S21">
            <v>0.61148400000000003</v>
          </cell>
          <cell r="T21">
            <v>0.8068249999999999</v>
          </cell>
          <cell r="U21">
            <v>2.112387</v>
          </cell>
          <cell r="V21">
            <v>0.66728799999999999</v>
          </cell>
          <cell r="W21">
            <v>0.65421300000000004</v>
          </cell>
          <cell r="X21">
            <v>0.86255799999999994</v>
          </cell>
          <cell r="Y21">
            <v>2.184059</v>
          </cell>
          <cell r="Z21">
            <v>0.80952200000000007</v>
          </cell>
          <cell r="AA21">
            <v>0.97546600000000006</v>
          </cell>
          <cell r="AB21">
            <v>1.1169640000000001</v>
          </cell>
          <cell r="AC21">
            <v>2.9019520000000001</v>
          </cell>
          <cell r="AD21">
            <v>0.85546900000000003</v>
          </cell>
          <cell r="AE21">
            <v>0.81101699999999999</v>
          </cell>
          <cell r="AF21">
            <v>0.84788899999999989</v>
          </cell>
          <cell r="AG21">
            <v>2.5143749999999998</v>
          </cell>
          <cell r="AH21">
            <v>0.82443200000000005</v>
          </cell>
          <cell r="AI21">
            <v>0.73768599999999995</v>
          </cell>
          <cell r="AJ21">
            <v>1.053326</v>
          </cell>
          <cell r="AK21">
            <v>2.6154440000000005</v>
          </cell>
          <cell r="AL21">
            <v>0.87004700000000001</v>
          </cell>
          <cell r="AM21">
            <v>0.90167900000000001</v>
          </cell>
          <cell r="AN21">
            <v>1.099199</v>
          </cell>
          <cell r="AO21">
            <v>2.8709250000000002</v>
          </cell>
          <cell r="AP21">
            <v>0.95622399999999996</v>
          </cell>
          <cell r="AQ21">
            <v>1.2414569999999998</v>
          </cell>
          <cell r="AR21">
            <v>1.4978719999999996</v>
          </cell>
          <cell r="AS21">
            <v>3.6955529999999994</v>
          </cell>
          <cell r="AT21">
            <v>1.518035</v>
          </cell>
          <cell r="AU21">
            <v>1.1957040000000001</v>
          </cell>
          <cell r="AV21">
            <v>1.2583059999999999</v>
          </cell>
          <cell r="AW21">
            <v>3.972045</v>
          </cell>
          <cell r="AX21">
            <v>1.31385</v>
          </cell>
          <cell r="AY21">
            <v>1.2213220000000002</v>
          </cell>
          <cell r="AZ21">
            <v>1.9315609999999999</v>
          </cell>
          <cell r="BA21">
            <v>4.4667330000000005</v>
          </cell>
          <cell r="BB21">
            <v>1.567531</v>
          </cell>
          <cell r="BC21">
            <v>1.507728</v>
          </cell>
          <cell r="BD21">
            <v>1.9157459999999999</v>
          </cell>
          <cell r="BE21">
            <v>4.9910050000000004</v>
          </cell>
          <cell r="BF21">
            <v>2.0030100000000002</v>
          </cell>
          <cell r="BG21">
            <v>2.491431</v>
          </cell>
        </row>
        <row r="22">
          <cell r="A22" t="str">
            <v xml:space="preserve">  % Change</v>
          </cell>
          <cell r="AD22">
            <v>0.3536073241433435</v>
          </cell>
          <cell r="AE22">
            <v>0.31136400017462917</v>
          </cell>
          <cell r="AF22">
            <v>0.22981205199537014</v>
          </cell>
          <cell r="AG22">
            <v>0.29614241212521741</v>
          </cell>
          <cell r="AH22">
            <v>0.18780886298081767</v>
          </cell>
          <cell r="AI22">
            <v>0.2063864303890206</v>
          </cell>
          <cell r="AJ22">
            <v>0.30551978433985072</v>
          </cell>
          <cell r="AK22">
            <v>0.23814622983383282</v>
          </cell>
          <cell r="AL22">
            <v>0.30385530685401219</v>
          </cell>
          <cell r="AM22">
            <v>0.37826518274629195</v>
          </cell>
          <cell r="AN22">
            <v>0.27434792790745677</v>
          </cell>
          <cell r="AO22">
            <v>0.31449058839527688</v>
          </cell>
          <cell r="AP22">
            <v>0.18122052272822708</v>
          </cell>
          <cell r="AQ22">
            <v>0.27268095453865104</v>
          </cell>
          <cell r="AR22">
            <v>0.34102083863042987</v>
          </cell>
          <cell r="AS22">
            <v>0.27347144267031265</v>
          </cell>
          <cell r="AT22">
            <v>0.77450614808952745</v>
          </cell>
          <cell r="AU22">
            <v>0.47432667872560019</v>
          </cell>
          <cell r="AV22">
            <v>0.48404567107251073</v>
          </cell>
          <cell r="AW22">
            <v>0.57973452647278134</v>
          </cell>
          <cell r="AX22">
            <v>0.59364265336619626</v>
          </cell>
          <cell r="AY22">
            <v>0.65561227947934531</v>
          </cell>
          <cell r="AZ22">
            <v>0.83377320981348602</v>
          </cell>
          <cell r="BA22">
            <v>0.70782972221924823</v>
          </cell>
          <cell r="BB22">
            <v>0.80166243892571321</v>
          </cell>
          <cell r="BC22">
            <v>0.67213387469376573</v>
          </cell>
          <cell r="BD22">
            <v>0.74285638906148921</v>
          </cell>
          <cell r="BE22">
            <v>0.73846582547436812</v>
          </cell>
          <cell r="BF22">
            <v>1.0947079345425341</v>
          </cell>
          <cell r="BG22">
            <v>1.0068604873145026</v>
          </cell>
        </row>
        <row r="24">
          <cell r="A24" t="str">
            <v>REPORTED SALES/TRx BRANDS</v>
          </cell>
        </row>
        <row r="25">
          <cell r="A25" t="str">
            <v>IMS SALES/REPORTED SALES</v>
          </cell>
        </row>
        <row r="26">
          <cell r="A26" t="str">
            <v>GENERICS</v>
          </cell>
        </row>
        <row r="27">
          <cell r="A27" t="str">
            <v>CLOTRIM/BETAMETH DIPR</v>
          </cell>
        </row>
        <row r="28">
          <cell r="A28" t="str">
            <v>TRx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7</v>
          </cell>
          <cell r="H28">
            <v>118506</v>
          </cell>
          <cell r="I28">
            <v>118513</v>
          </cell>
          <cell r="J28">
            <v>193438</v>
          </cell>
          <cell r="K28">
            <v>227532</v>
          </cell>
          <cell r="L28">
            <v>205849</v>
          </cell>
          <cell r="M28">
            <v>626819</v>
          </cell>
          <cell r="N28">
            <v>242678</v>
          </cell>
          <cell r="O28">
            <v>223979</v>
          </cell>
          <cell r="P28">
            <v>219042</v>
          </cell>
          <cell r="Q28">
            <v>685699</v>
          </cell>
          <cell r="R28">
            <v>243140</v>
          </cell>
          <cell r="S28">
            <v>221571</v>
          </cell>
          <cell r="T28">
            <v>241421</v>
          </cell>
          <cell r="U28">
            <v>706132</v>
          </cell>
          <cell r="V28">
            <v>252997</v>
          </cell>
          <cell r="W28">
            <v>257583</v>
          </cell>
          <cell r="X28">
            <v>249149</v>
          </cell>
          <cell r="Y28">
            <v>759729</v>
          </cell>
          <cell r="Z28">
            <v>274383</v>
          </cell>
          <cell r="AA28">
            <v>276173</v>
          </cell>
          <cell r="AB28">
            <v>259379</v>
          </cell>
          <cell r="AC28">
            <v>809935</v>
          </cell>
          <cell r="AD28">
            <v>270420</v>
          </cell>
          <cell r="AE28">
            <v>248598</v>
          </cell>
          <cell r="AF28">
            <v>250317</v>
          </cell>
          <cell r="AG28">
            <v>769335</v>
          </cell>
          <cell r="AH28">
            <v>258299</v>
          </cell>
          <cell r="AI28">
            <v>230186</v>
          </cell>
          <cell r="AJ28">
            <v>256205</v>
          </cell>
          <cell r="AK28">
            <v>744690</v>
          </cell>
          <cell r="AL28">
            <v>260653</v>
          </cell>
          <cell r="AM28">
            <v>266616</v>
          </cell>
          <cell r="AN28">
            <v>272028</v>
          </cell>
          <cell r="AO28">
            <v>799297</v>
          </cell>
          <cell r="AP28">
            <v>289113</v>
          </cell>
          <cell r="AQ28">
            <v>286945</v>
          </cell>
          <cell r="AR28">
            <v>282259</v>
          </cell>
          <cell r="AS28">
            <v>858317</v>
          </cell>
          <cell r="AT28">
            <v>289736</v>
          </cell>
          <cell r="AU28">
            <v>253500</v>
          </cell>
          <cell r="AV28">
            <v>271011</v>
          </cell>
          <cell r="AW28">
            <v>814247</v>
          </cell>
          <cell r="AX28">
            <v>263726</v>
          </cell>
          <cell r="AY28">
            <v>246463</v>
          </cell>
          <cell r="AZ28">
            <v>276616</v>
          </cell>
          <cell r="BA28">
            <v>786805</v>
          </cell>
          <cell r="BB28">
            <v>260340</v>
          </cell>
          <cell r="BC28">
            <v>261074</v>
          </cell>
          <cell r="BD28">
            <v>275294</v>
          </cell>
          <cell r="BE28">
            <v>796708</v>
          </cell>
          <cell r="BF28">
            <v>270112</v>
          </cell>
          <cell r="BG28">
            <v>288743</v>
          </cell>
          <cell r="BH28">
            <v>280351</v>
          </cell>
          <cell r="BI28">
            <v>839206</v>
          </cell>
        </row>
        <row r="29">
          <cell r="A29" t="str">
            <v xml:space="preserve">  % Change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1.1024167552697755</v>
          </cell>
          <cell r="Y29">
            <v>5.4105119269615995</v>
          </cell>
          <cell r="Z29">
            <v>0.41845449187853467</v>
          </cell>
          <cell r="AA29">
            <v>0.21377652374171552</v>
          </cell>
          <cell r="AB29">
            <v>0.26004498443033475</v>
          </cell>
          <cell r="AC29">
            <v>0.29213536922141792</v>
          </cell>
          <cell r="AD29">
            <v>0.11431608963317652</v>
          </cell>
          <cell r="AE29">
            <v>0.1099165546770009</v>
          </cell>
          <cell r="AF29">
            <v>0.14278083655189411</v>
          </cell>
          <cell r="AG29">
            <v>0.12197188562328365</v>
          </cell>
          <cell r="AH29">
            <v>6.2346796084560285E-2</v>
          </cell>
          <cell r="AI29">
            <v>3.8881442065974436E-2</v>
          </cell>
          <cell r="AJ29">
            <v>6.1237423422154658E-2</v>
          </cell>
          <cell r="AK29">
            <v>5.4604521534217465E-2</v>
          </cell>
          <cell r="AL29">
            <v>3.0261228394012685E-2</v>
          </cell>
          <cell r="AM29">
            <v>3.5068308079337474E-2</v>
          </cell>
          <cell r="AN29">
            <v>9.1828584501643551E-2</v>
          </cell>
          <cell r="AO29">
            <v>5.2081729142891664E-2</v>
          </cell>
          <cell r="AP29">
            <v>5.3684083926482273E-2</v>
          </cell>
          <cell r="AQ29">
            <v>3.9004537011221307E-2</v>
          </cell>
          <cell r="AR29">
            <v>8.8210687835175605E-2</v>
          </cell>
          <cell r="AS29">
            <v>5.9735657799699915E-2</v>
          </cell>
          <cell r="AT29">
            <v>7.1429627986095756E-2</v>
          </cell>
          <cell r="AU29">
            <v>1.9718581806772439E-2</v>
          </cell>
          <cell r="AV29">
            <v>8.2671172952695882E-2</v>
          </cell>
          <cell r="AW29">
            <v>5.8377689823029044E-2</v>
          </cell>
          <cell r="AX29">
            <v>2.1010534303268713E-2</v>
          </cell>
          <cell r="AY29">
            <v>7.071238042278849E-2</v>
          </cell>
          <cell r="AZ29">
            <v>7.9666673171874036E-2</v>
          </cell>
          <cell r="BA29">
            <v>5.6553733768413661E-2</v>
          </cell>
          <cell r="BB29">
            <v>-1.2008302225564593E-3</v>
          </cell>
          <cell r="BC29">
            <v>-2.0786449425390874E-2</v>
          </cell>
          <cell r="BD29">
            <v>1.2006117017365758E-2</v>
          </cell>
          <cell r="BE29">
            <v>-3.2390963559227881E-3</v>
          </cell>
          <cell r="BF29">
            <v>-6.5721707429275078E-2</v>
          </cell>
          <cell r="BG29">
            <v>6.2660091655195593E-3</v>
          </cell>
          <cell r="BH29">
            <v>-6.7597490248317849E-3</v>
          </cell>
          <cell r="BI29">
            <v>-2.226566641462302E-2</v>
          </cell>
        </row>
        <row r="30">
          <cell r="A30" t="str">
            <v>NRx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3</v>
          </cell>
          <cell r="H30">
            <v>103133</v>
          </cell>
          <cell r="I30">
            <v>103136</v>
          </cell>
          <cell r="J30">
            <v>164874</v>
          </cell>
          <cell r="K30">
            <v>188855</v>
          </cell>
          <cell r="L30">
            <v>164865</v>
          </cell>
          <cell r="M30">
            <v>518594</v>
          </cell>
          <cell r="N30">
            <v>193694</v>
          </cell>
          <cell r="O30">
            <v>176933</v>
          </cell>
          <cell r="P30">
            <v>166454</v>
          </cell>
          <cell r="Q30">
            <v>537081</v>
          </cell>
          <cell r="R30">
            <v>188888</v>
          </cell>
          <cell r="S30">
            <v>171407</v>
          </cell>
          <cell r="T30">
            <v>185196</v>
          </cell>
          <cell r="U30">
            <v>545491</v>
          </cell>
          <cell r="V30">
            <v>194242</v>
          </cell>
          <cell r="W30">
            <v>196637</v>
          </cell>
          <cell r="X30">
            <v>188035</v>
          </cell>
          <cell r="Y30">
            <v>578914</v>
          </cell>
          <cell r="Z30">
            <v>207371</v>
          </cell>
          <cell r="AA30">
            <v>209234</v>
          </cell>
          <cell r="AB30">
            <v>194875</v>
          </cell>
          <cell r="AC30">
            <v>611480</v>
          </cell>
          <cell r="AD30">
            <v>203798</v>
          </cell>
          <cell r="AE30">
            <v>183919</v>
          </cell>
          <cell r="AF30">
            <v>182290</v>
          </cell>
          <cell r="AG30">
            <v>570007</v>
          </cell>
          <cell r="AH30">
            <v>193678</v>
          </cell>
          <cell r="AI30">
            <v>171535</v>
          </cell>
          <cell r="AJ30">
            <v>191797</v>
          </cell>
          <cell r="AK30">
            <v>557010</v>
          </cell>
          <cell r="AL30">
            <v>195580</v>
          </cell>
          <cell r="AM30">
            <v>198610</v>
          </cell>
          <cell r="AN30">
            <v>203074</v>
          </cell>
          <cell r="AO30">
            <v>597264</v>
          </cell>
          <cell r="AP30">
            <v>216064</v>
          </cell>
          <cell r="AQ30">
            <v>215487</v>
          </cell>
          <cell r="AR30">
            <v>210220</v>
          </cell>
          <cell r="AS30">
            <v>641771</v>
          </cell>
          <cell r="AT30">
            <v>215523</v>
          </cell>
          <cell r="AU30">
            <v>184260</v>
          </cell>
          <cell r="AV30">
            <v>195375</v>
          </cell>
          <cell r="AW30">
            <v>595158</v>
          </cell>
          <cell r="AX30">
            <v>192798</v>
          </cell>
          <cell r="AY30">
            <v>181880</v>
          </cell>
          <cell r="AZ30">
            <v>205436</v>
          </cell>
          <cell r="BA30">
            <v>580114</v>
          </cell>
          <cell r="BB30">
            <v>193003</v>
          </cell>
          <cell r="BC30">
            <v>195674</v>
          </cell>
          <cell r="BD30">
            <v>204462</v>
          </cell>
          <cell r="BE30">
            <v>593139</v>
          </cell>
          <cell r="BF30">
            <v>200875</v>
          </cell>
          <cell r="BG30">
            <v>217070</v>
          </cell>
          <cell r="BH30">
            <v>210345</v>
          </cell>
          <cell r="BI30">
            <v>628290</v>
          </cell>
        </row>
        <row r="31">
          <cell r="A31" t="str">
            <v xml:space="preserve">  % Change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0.82322825865629823</v>
          </cell>
          <cell r="Y31">
            <v>4.6131127831213155</v>
          </cell>
          <cell r="Z31">
            <v>0.25775440639518665</v>
          </cell>
          <cell r="AA31">
            <v>0.10790818352704457</v>
          </cell>
          <cell r="AB31">
            <v>0.18202771964941022</v>
          </cell>
          <cell r="AC31">
            <v>0.17911121223924686</v>
          </cell>
          <cell r="AD31">
            <v>5.2164754716201855E-2</v>
          </cell>
          <cell r="AE31">
            <v>3.9483872426285593E-2</v>
          </cell>
          <cell r="AF31">
            <v>9.5137395316423845E-2</v>
          </cell>
          <cell r="AG31">
            <v>6.1305464166485191E-2</v>
          </cell>
          <cell r="AH31">
            <v>2.5358942865613576E-2</v>
          </cell>
          <cell r="AI31">
            <v>7.4676063404655046E-4</v>
          </cell>
          <cell r="AJ31">
            <v>3.564331843020363E-2</v>
          </cell>
          <cell r="AK31">
            <v>2.1116755363516537E-2</v>
          </cell>
          <cell r="AL31">
            <v>6.8883145766620579E-3</v>
          </cell>
          <cell r="AM31">
            <v>1.0033716950523131E-2</v>
          </cell>
          <cell r="AN31">
            <v>7.9979790996357103E-2</v>
          </cell>
          <cell r="AO31">
            <v>3.1697281461495086E-2</v>
          </cell>
          <cell r="AP31">
            <v>4.19200370350723E-2</v>
          </cell>
          <cell r="AQ31">
            <v>2.9885200302054216E-2</v>
          </cell>
          <cell r="AR31">
            <v>7.8742783835792141E-2</v>
          </cell>
          <cell r="AS31">
            <v>4.9537188460783588E-2</v>
          </cell>
          <cell r="AT31">
            <v>5.7532458610977555E-2</v>
          </cell>
          <cell r="AU31">
            <v>1.8540770665347317E-3</v>
          </cell>
          <cell r="AV31">
            <v>7.1781227714081908E-2</v>
          </cell>
          <cell r="AW31">
            <v>4.4124019529584668E-2</v>
          </cell>
          <cell r="AX31">
            <v>-4.5436239531593259E-3</v>
          </cell>
          <cell r="AY31">
            <v>6.0308391873378664E-2</v>
          </cell>
          <cell r="AZ31">
            <v>7.1111644082024306E-2</v>
          </cell>
          <cell r="BA31">
            <v>4.1478609001633693E-2</v>
          </cell>
          <cell r="BB31">
            <v>-1.3176193884855247E-2</v>
          </cell>
          <cell r="BC31">
            <v>-1.4782740043300935E-2</v>
          </cell>
          <cell r="BD31">
            <v>6.8349468666595303E-3</v>
          </cell>
          <cell r="BE31">
            <v>-6.9064936108655939E-3</v>
          </cell>
          <cell r="BF31">
            <v>-7.0298615225118488E-2</v>
          </cell>
          <cell r="BG31">
            <v>7.3461508118819463E-3</v>
          </cell>
          <cell r="BH31">
            <v>5.9461516506509327E-4</v>
          </cell>
          <cell r="BI31">
            <v>-2.1005935138857956E-2</v>
          </cell>
        </row>
        <row r="32">
          <cell r="A32" t="str">
            <v>Sales (IMS)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5.6187959999999997</v>
          </cell>
          <cell r="I32">
            <v>5.6187959999999997</v>
          </cell>
          <cell r="J32">
            <v>4.5302619999999996</v>
          </cell>
          <cell r="K32">
            <v>4.9572459999999996</v>
          </cell>
          <cell r="L32">
            <v>5.7147180000000004</v>
          </cell>
          <cell r="M32">
            <v>15.202226</v>
          </cell>
          <cell r="N32">
            <v>4.2678859999999998</v>
          </cell>
          <cell r="O32">
            <v>5.0538150000000002</v>
          </cell>
          <cell r="P32">
            <v>4.7710610000000004</v>
          </cell>
          <cell r="Q32">
            <v>14.092762</v>
          </cell>
          <cell r="R32">
            <v>4.1479900000000001</v>
          </cell>
          <cell r="S32">
            <v>4.0237720000000001</v>
          </cell>
          <cell r="T32">
            <v>5.2762650000000004</v>
          </cell>
          <cell r="U32">
            <v>13.448027000000002</v>
          </cell>
          <cell r="V32">
            <v>4.2996040000000004</v>
          </cell>
          <cell r="W32">
            <v>4.1677239999999998</v>
          </cell>
          <cell r="X32">
            <v>5.4504619999999999</v>
          </cell>
          <cell r="Y32">
            <v>13.91779</v>
          </cell>
          <cell r="Z32">
            <v>4.4009929999999997</v>
          </cell>
          <cell r="AA32">
            <v>4.5008470000000003</v>
          </cell>
          <cell r="AB32">
            <v>4.7436559999999997</v>
          </cell>
          <cell r="AC32">
            <v>13.645496</v>
          </cell>
          <cell r="AD32">
            <v>3.6413180000000001</v>
          </cell>
          <cell r="AE32">
            <v>3.3739859999999999</v>
          </cell>
          <cell r="AF32">
            <v>4.0352220000000001</v>
          </cell>
          <cell r="AG32">
            <v>11.050526000000001</v>
          </cell>
          <cell r="AH32">
            <v>3.309828</v>
          </cell>
          <cell r="AI32">
            <v>3.5291229999999998</v>
          </cell>
          <cell r="AJ32">
            <v>3.8143570000000002</v>
          </cell>
          <cell r="AK32">
            <v>10.653307999999999</v>
          </cell>
          <cell r="AL32">
            <v>3.0849319999999998</v>
          </cell>
          <cell r="AM32">
            <v>3.0308069999999998</v>
          </cell>
          <cell r="AN32">
            <v>4.2233989999999997</v>
          </cell>
          <cell r="AO32">
            <v>10.339137999999998</v>
          </cell>
          <cell r="AP32">
            <v>3.2255750000000001</v>
          </cell>
          <cell r="AQ32">
            <v>3.4486029999999999</v>
          </cell>
          <cell r="AR32">
            <v>4.0495010000000002</v>
          </cell>
          <cell r="AS32">
            <v>10.723679000000001</v>
          </cell>
          <cell r="AT32">
            <v>3.272491</v>
          </cell>
          <cell r="AU32">
            <v>3.144028</v>
          </cell>
          <cell r="AV32">
            <v>3.434393</v>
          </cell>
          <cell r="AW32">
            <v>9.850912000000001</v>
          </cell>
          <cell r="AX32">
            <v>2.766254</v>
          </cell>
          <cell r="AY32">
            <v>2.8486440000000002</v>
          </cell>
          <cell r="AZ32">
            <v>3.550414</v>
          </cell>
          <cell r="BA32">
            <v>9.1653120000000001</v>
          </cell>
          <cell r="BB32">
            <v>2.6663380000000001</v>
          </cell>
          <cell r="BC32">
            <v>2.8812139999999999</v>
          </cell>
          <cell r="BD32">
            <v>3.5762939999999999</v>
          </cell>
          <cell r="BE32">
            <v>9.1238460000000003</v>
          </cell>
          <cell r="BF32">
            <v>2.8653029999999999</v>
          </cell>
          <cell r="BG32">
            <v>4.3693359999999997</v>
          </cell>
        </row>
        <row r="33">
          <cell r="A33" t="str">
            <v xml:space="preserve">  % Change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-2.9959087320486466E-2</v>
          </cell>
          <cell r="Y33">
            <v>1.4770057499862963</v>
          </cell>
          <cell r="Z33">
            <v>-2.8534552747721875E-2</v>
          </cell>
          <cell r="AA33">
            <v>-9.2067046904672378E-2</v>
          </cell>
          <cell r="AB33">
            <v>-0.16992299532540378</v>
          </cell>
          <cell r="AC33">
            <v>-0.10240145094540765</v>
          </cell>
          <cell r="AD33">
            <v>-0.14680991947769917</v>
          </cell>
          <cell r="AE33">
            <v>-0.33238830467676406</v>
          </cell>
          <cell r="AF33">
            <v>-0.15422963571415249</v>
          </cell>
          <cell r="AG33">
            <v>-0.21587223285258061</v>
          </cell>
          <cell r="AH33">
            <v>-0.20206461442771073</v>
          </cell>
          <cell r="AI33">
            <v>-0.12293166710241044</v>
          </cell>
          <cell r="AJ33">
            <v>-0.27707251246857389</v>
          </cell>
          <cell r="AK33">
            <v>-0.20781628412851949</v>
          </cell>
          <cell r="AL33">
            <v>-0.28250787746964612</v>
          </cell>
          <cell r="AM33">
            <v>-0.27279085659223112</v>
          </cell>
          <cell r="AN33">
            <v>-0.22513008988962779</v>
          </cell>
          <cell r="AO33">
            <v>-0.25712789171269301</v>
          </cell>
          <cell r="AP33">
            <v>-0.26708017940496609</v>
          </cell>
          <cell r="AQ33">
            <v>-0.23378799590388222</v>
          </cell>
          <cell r="AR33">
            <v>-0.14633333445764185</v>
          </cell>
          <cell r="AS33">
            <v>-0.21412318027867938</v>
          </cell>
          <cell r="AT33">
            <v>-0.10128942322532664</v>
          </cell>
          <cell r="AU33">
            <v>-6.8156180849594517E-2</v>
          </cell>
          <cell r="AV33">
            <v>-0.14889614499524439</v>
          </cell>
          <cell r="AW33">
            <v>-0.10855718542266679</v>
          </cell>
          <cell r="AX33">
            <v>-0.16423028628677983</v>
          </cell>
          <cell r="AY33">
            <v>-0.19281815907238131</v>
          </cell>
          <cell r="AZ33">
            <v>-6.9197246088921527E-2</v>
          </cell>
          <cell r="BA33">
            <v>-0.13967454991444905</v>
          </cell>
          <cell r="BB33">
            <v>-0.13568986285597207</v>
          </cell>
          <cell r="BC33">
            <v>-4.9357481357275468E-2</v>
          </cell>
          <cell r="BD33">
            <v>-0.15321900677629552</v>
          </cell>
          <cell r="BE33">
            <v>-0.11754287446400258</v>
          </cell>
          <cell r="BF33">
            <v>-0.11169233392495914</v>
          </cell>
          <cell r="BG33">
            <v>0.26698724092045389</v>
          </cell>
        </row>
        <row r="35">
          <cell r="A35" t="str">
            <v>WARFARIN SODIUM</v>
          </cell>
        </row>
        <row r="36">
          <cell r="A36" t="str">
            <v>TRx</v>
          </cell>
          <cell r="B36">
            <v>40600</v>
          </cell>
          <cell r="C36">
            <v>37242</v>
          </cell>
          <cell r="D36">
            <v>43106</v>
          </cell>
          <cell r="E36">
            <v>120948</v>
          </cell>
          <cell r="F36">
            <v>44225</v>
          </cell>
          <cell r="G36">
            <v>49233</v>
          </cell>
          <cell r="H36">
            <v>51342</v>
          </cell>
          <cell r="I36">
            <v>144800</v>
          </cell>
          <cell r="J36">
            <v>57497</v>
          </cell>
          <cell r="K36">
            <v>63540</v>
          </cell>
          <cell r="L36">
            <v>62403</v>
          </cell>
          <cell r="M36">
            <v>183440</v>
          </cell>
          <cell r="N36">
            <v>72003</v>
          </cell>
          <cell r="O36">
            <v>73428</v>
          </cell>
          <cell r="P36">
            <v>79763</v>
          </cell>
          <cell r="Q36">
            <v>225194</v>
          </cell>
          <cell r="R36">
            <v>89370</v>
          </cell>
          <cell r="S36">
            <v>81452</v>
          </cell>
          <cell r="T36">
            <v>92237</v>
          </cell>
          <cell r="U36">
            <v>263059</v>
          </cell>
          <cell r="V36">
            <v>98423</v>
          </cell>
          <cell r="W36">
            <v>103094</v>
          </cell>
          <cell r="X36">
            <v>99408</v>
          </cell>
          <cell r="Y36">
            <v>300925</v>
          </cell>
          <cell r="Z36">
            <v>114394</v>
          </cell>
          <cell r="AA36">
            <v>114181</v>
          </cell>
          <cell r="AB36">
            <v>116338</v>
          </cell>
          <cell r="AC36">
            <v>344913</v>
          </cell>
          <cell r="AD36">
            <v>130566</v>
          </cell>
          <cell r="AE36">
            <v>131965</v>
          </cell>
          <cell r="AF36">
            <v>157977</v>
          </cell>
          <cell r="AG36">
            <v>420508</v>
          </cell>
          <cell r="AH36">
            <v>158657</v>
          </cell>
          <cell r="AI36">
            <v>152628</v>
          </cell>
          <cell r="AJ36">
            <v>172207</v>
          </cell>
          <cell r="AK36">
            <v>483492</v>
          </cell>
          <cell r="AL36">
            <v>176534</v>
          </cell>
          <cell r="AM36">
            <v>183843</v>
          </cell>
          <cell r="AN36">
            <v>185495</v>
          </cell>
          <cell r="AO36">
            <v>545872</v>
          </cell>
          <cell r="AP36">
            <v>198983</v>
          </cell>
          <cell r="AQ36">
            <v>199413</v>
          </cell>
          <cell r="AR36">
            <v>215717</v>
          </cell>
          <cell r="AS36">
            <v>614113</v>
          </cell>
          <cell r="AT36">
            <v>336807</v>
          </cell>
          <cell r="AU36">
            <v>351636</v>
          </cell>
          <cell r="AV36">
            <v>411907</v>
          </cell>
          <cell r="AW36">
            <v>1100350</v>
          </cell>
          <cell r="AX36">
            <v>418723</v>
          </cell>
          <cell r="AY36">
            <v>400514</v>
          </cell>
          <cell r="AZ36">
            <v>451443</v>
          </cell>
          <cell r="BA36">
            <v>1270680</v>
          </cell>
          <cell r="BB36">
            <v>432306</v>
          </cell>
          <cell r="BC36">
            <v>425714</v>
          </cell>
          <cell r="BD36">
            <v>458213</v>
          </cell>
          <cell r="BE36">
            <v>1316233</v>
          </cell>
          <cell r="BF36">
            <v>456824</v>
          </cell>
          <cell r="BG36">
            <v>449161</v>
          </cell>
          <cell r="BH36">
            <v>421325</v>
          </cell>
          <cell r="BI36">
            <v>1327310</v>
          </cell>
        </row>
        <row r="37">
          <cell r="A37" t="str">
            <v xml:space="preserve">  % Change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1.2012315270935963</v>
          </cell>
          <cell r="S37">
            <v>1.1871005853606142</v>
          </cell>
          <cell r="T37">
            <v>1.1397717255138495</v>
          </cell>
          <cell r="U37">
            <v>1.1749760227535799</v>
          </cell>
          <cell r="V37">
            <v>1.2255059355568116</v>
          </cell>
          <cell r="W37">
            <v>1.094001990534804</v>
          </cell>
          <cell r="X37">
            <v>0.93619259086128315</v>
          </cell>
          <cell r="Y37">
            <v>1.0782113259668509</v>
          </cell>
          <cell r="Z37">
            <v>0.9895646729394576</v>
          </cell>
          <cell r="AA37">
            <v>0.79699401951526605</v>
          </cell>
          <cell r="AB37">
            <v>0.86430139576622911</v>
          </cell>
          <cell r="AC37">
            <v>0.88024967291757528</v>
          </cell>
          <cell r="AD37">
            <v>0.81334111078705051</v>
          </cell>
          <cell r="AE37">
            <v>0.79720270196655219</v>
          </cell>
          <cell r="AF37">
            <v>0.98057996815566106</v>
          </cell>
          <cell r="AG37">
            <v>0.86731440446903552</v>
          </cell>
          <cell r="AH37">
            <v>0.77528253328857555</v>
          </cell>
          <cell r="AI37">
            <v>0.87383980749398416</v>
          </cell>
          <cell r="AJ37">
            <v>0.86700564849247042</v>
          </cell>
          <cell r="AK37">
            <v>0.83796030548280043</v>
          </cell>
          <cell r="AL37">
            <v>0.79362547372057346</v>
          </cell>
          <cell r="AM37">
            <v>0.78325605757852057</v>
          </cell>
          <cell r="AN37">
            <v>0.86599670046676325</v>
          </cell>
          <cell r="AO37">
            <v>0.8139802276314696</v>
          </cell>
          <cell r="AP37">
            <v>0.7394531181705335</v>
          </cell>
          <cell r="AQ37">
            <v>0.7464639475919812</v>
          </cell>
          <cell r="AR37">
            <v>0.85422647802093898</v>
          </cell>
          <cell r="AS37">
            <v>0.7804866734509861</v>
          </cell>
          <cell r="AT37">
            <v>1.5795919305178989</v>
          </cell>
          <cell r="AU37">
            <v>1.6646156177774412</v>
          </cell>
          <cell r="AV37">
            <v>1.6073858852870986</v>
          </cell>
          <cell r="AW37">
            <v>1.6167159721099242</v>
          </cell>
          <cell r="AX37">
            <v>1.6391712940494272</v>
          </cell>
          <cell r="AY37">
            <v>1.6241187724401813</v>
          </cell>
          <cell r="AZ37">
            <v>1.6215136434639708</v>
          </cell>
          <cell r="BA37">
            <v>1.6281303516914449</v>
          </cell>
          <cell r="BB37">
            <v>1.4488540451131229</v>
          </cell>
          <cell r="BC37">
            <v>1.3156388875290328</v>
          </cell>
          <cell r="BD37">
            <v>1.4702175260788701</v>
          </cell>
          <cell r="BE37">
            <v>1.4112484245390862</v>
          </cell>
          <cell r="BF37">
            <v>1.2957941130649351</v>
          </cell>
          <cell r="BG37">
            <v>1.2524158404918437</v>
          </cell>
          <cell r="BH37">
            <v>0.95313767575109987</v>
          </cell>
          <cell r="BI37">
            <v>1.1613448990658073</v>
          </cell>
        </row>
        <row r="38">
          <cell r="A38" t="str">
            <v>NRx</v>
          </cell>
          <cell r="B38">
            <v>13666</v>
          </cell>
          <cell r="C38">
            <v>12508</v>
          </cell>
          <cell r="D38">
            <v>14536</v>
          </cell>
          <cell r="E38">
            <v>40710</v>
          </cell>
          <cell r="F38">
            <v>14692</v>
          </cell>
          <cell r="G38">
            <v>16631</v>
          </cell>
          <cell r="H38">
            <v>17109</v>
          </cell>
          <cell r="I38">
            <v>48432</v>
          </cell>
          <cell r="J38">
            <v>19261</v>
          </cell>
          <cell r="K38">
            <v>22121</v>
          </cell>
          <cell r="L38">
            <v>21590</v>
          </cell>
          <cell r="M38">
            <v>62972</v>
          </cell>
          <cell r="N38">
            <v>26026</v>
          </cell>
          <cell r="O38">
            <v>26092</v>
          </cell>
          <cell r="P38">
            <v>27630</v>
          </cell>
          <cell r="Q38">
            <v>79748</v>
          </cell>
          <cell r="R38">
            <v>32831</v>
          </cell>
          <cell r="S38">
            <v>30190</v>
          </cell>
          <cell r="T38">
            <v>33959</v>
          </cell>
          <cell r="U38">
            <v>96980</v>
          </cell>
          <cell r="V38">
            <v>36993</v>
          </cell>
          <cell r="W38">
            <v>38069</v>
          </cell>
          <cell r="X38">
            <v>37104</v>
          </cell>
          <cell r="Y38">
            <v>112166</v>
          </cell>
          <cell r="Z38">
            <v>42252</v>
          </cell>
          <cell r="AA38">
            <v>42996</v>
          </cell>
          <cell r="AB38">
            <v>43459</v>
          </cell>
          <cell r="AC38">
            <v>128707</v>
          </cell>
          <cell r="AD38">
            <v>50699</v>
          </cell>
          <cell r="AE38">
            <v>51492</v>
          </cell>
          <cell r="AF38">
            <v>59010</v>
          </cell>
          <cell r="AG38">
            <v>161201</v>
          </cell>
          <cell r="AH38">
            <v>62202</v>
          </cell>
          <cell r="AI38">
            <v>59968</v>
          </cell>
          <cell r="AJ38">
            <v>67099</v>
          </cell>
          <cell r="AK38">
            <v>189269</v>
          </cell>
          <cell r="AL38">
            <v>69860</v>
          </cell>
          <cell r="AM38">
            <v>72504</v>
          </cell>
          <cell r="AN38">
            <v>73387</v>
          </cell>
          <cell r="AO38">
            <v>215751</v>
          </cell>
          <cell r="AP38">
            <v>78229</v>
          </cell>
          <cell r="AQ38">
            <v>78513</v>
          </cell>
          <cell r="AR38">
            <v>91941</v>
          </cell>
          <cell r="AS38">
            <v>248683</v>
          </cell>
          <cell r="AT38">
            <v>177704</v>
          </cell>
          <cell r="AU38">
            <v>173863</v>
          </cell>
          <cell r="AV38">
            <v>191583</v>
          </cell>
          <cell r="AW38">
            <v>543150</v>
          </cell>
          <cell r="AX38">
            <v>184766</v>
          </cell>
          <cell r="AY38">
            <v>174912</v>
          </cell>
          <cell r="AZ38">
            <v>193352</v>
          </cell>
          <cell r="BA38">
            <v>553030</v>
          </cell>
          <cell r="BB38">
            <v>181228</v>
          </cell>
          <cell r="BC38">
            <v>180110</v>
          </cell>
          <cell r="BD38">
            <v>192148</v>
          </cell>
          <cell r="BE38">
            <v>553486</v>
          </cell>
          <cell r="BF38">
            <v>188813</v>
          </cell>
          <cell r="BG38">
            <v>183328</v>
          </cell>
          <cell r="BH38">
            <v>169681</v>
          </cell>
          <cell r="BI38">
            <v>541822</v>
          </cell>
        </row>
        <row r="39">
          <cell r="A39" t="str">
            <v xml:space="preserve">  % Change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1.4023854822186448</v>
          </cell>
          <cell r="S39">
            <v>1.4136552606331949</v>
          </cell>
          <cell r="T39">
            <v>1.3361997798569072</v>
          </cell>
          <cell r="U39">
            <v>1.3822156718251044</v>
          </cell>
          <cell r="V39">
            <v>1.517900898448135</v>
          </cell>
          <cell r="W39">
            <v>1.2890385424809092</v>
          </cell>
          <cell r="X39">
            <v>1.1686831492197087</v>
          </cell>
          <cell r="Y39">
            <v>1.3159481334654775</v>
          </cell>
          <cell r="Z39">
            <v>1.1936555734385546</v>
          </cell>
          <cell r="AA39">
            <v>0.94367343248496893</v>
          </cell>
          <cell r="AB39">
            <v>1.0129226493747105</v>
          </cell>
          <cell r="AC39">
            <v>1.0438766435876263</v>
          </cell>
          <cell r="AD39">
            <v>0.94801352493660196</v>
          </cell>
          <cell r="AE39">
            <v>0.97347846083090595</v>
          </cell>
          <cell r="AF39">
            <v>1.1357220412595006</v>
          </cell>
          <cell r="AG39">
            <v>1.0213798465165271</v>
          </cell>
          <cell r="AH39">
            <v>0.89461179982333761</v>
          </cell>
          <cell r="AI39">
            <v>0.98635309705200402</v>
          </cell>
          <cell r="AJ39">
            <v>0.97588268205777551</v>
          </cell>
          <cell r="AK39">
            <v>0.95162920189729849</v>
          </cell>
          <cell r="AL39">
            <v>0.88846538534317299</v>
          </cell>
          <cell r="AM39">
            <v>0.90454175313246998</v>
          </cell>
          <cell r="AN39">
            <v>0.97787300560586465</v>
          </cell>
          <cell r="AO39">
            <v>0.92349731647736388</v>
          </cell>
          <cell r="AP39">
            <v>0.8514863201741929</v>
          </cell>
          <cell r="AQ39">
            <v>0.82605358638012838</v>
          </cell>
          <cell r="AR39">
            <v>1.1155802020294989</v>
          </cell>
          <cell r="AS39">
            <v>0.93216375177729272</v>
          </cell>
          <cell r="AT39">
            <v>2.5050789956409396</v>
          </cell>
          <cell r="AU39">
            <v>2.3765050881690359</v>
          </cell>
          <cell r="AV39">
            <v>2.2466192170818506</v>
          </cell>
          <cell r="AW39">
            <v>2.3693959714890105</v>
          </cell>
          <cell r="AX39">
            <v>1.9704189575897879</v>
          </cell>
          <cell r="AY39">
            <v>1.9167556029882604</v>
          </cell>
          <cell r="AZ39">
            <v>1.8815928702365161</v>
          </cell>
          <cell r="BA39">
            <v>1.9219259361015273</v>
          </cell>
          <cell r="BB39">
            <v>1.5941597480675638</v>
          </cell>
          <cell r="BC39">
            <v>1.4841388061348337</v>
          </cell>
          <cell r="BD39">
            <v>1.6182838922424954</v>
          </cell>
          <cell r="BE39">
            <v>1.565392512665063</v>
          </cell>
          <cell r="BF39">
            <v>1.4135934244333943</v>
          </cell>
          <cell r="BG39">
            <v>1.3350018468279137</v>
          </cell>
          <cell r="BH39">
            <v>0.84554224992114513</v>
          </cell>
          <cell r="BI39">
            <v>1.1787657379072956</v>
          </cell>
        </row>
        <row r="40">
          <cell r="A40" t="str">
            <v>Sales (IMS)</v>
          </cell>
          <cell r="B40">
            <v>0.68213000000000001</v>
          </cell>
          <cell r="C40">
            <v>0.70196999999999998</v>
          </cell>
          <cell r="D40">
            <v>1.082684</v>
          </cell>
          <cell r="E40">
            <v>2.4667840000000001</v>
          </cell>
          <cell r="F40">
            <v>0.85870599999999997</v>
          </cell>
          <cell r="G40">
            <v>0.83718499999999996</v>
          </cell>
          <cell r="H40">
            <v>1.256472</v>
          </cell>
          <cell r="I40">
            <v>2.9523630000000001</v>
          </cell>
          <cell r="J40">
            <v>1.0303580000000001</v>
          </cell>
          <cell r="K40">
            <v>1.0546629999999999</v>
          </cell>
          <cell r="L40">
            <v>1.3641110000000001</v>
          </cell>
          <cell r="M40">
            <v>3.4491320000000005</v>
          </cell>
          <cell r="N40">
            <v>1.168693</v>
          </cell>
          <cell r="O40">
            <v>1.39245</v>
          </cell>
          <cell r="P40">
            <v>1.4515899999999999</v>
          </cell>
          <cell r="Q40">
            <v>4.0127329999999999</v>
          </cell>
          <cell r="R40">
            <v>1.1653789999999999</v>
          </cell>
          <cell r="S40">
            <v>1.122417</v>
          </cell>
          <cell r="T40">
            <v>1.833008</v>
          </cell>
          <cell r="U40">
            <v>4.1208039999999997</v>
          </cell>
          <cell r="V40">
            <v>1.399769</v>
          </cell>
          <cell r="W40">
            <v>1.3732070000000001</v>
          </cell>
          <cell r="X40">
            <v>1.85242</v>
          </cell>
          <cell r="Y40">
            <v>4.6253960000000003</v>
          </cell>
          <cell r="Z40">
            <v>1.4337279999999999</v>
          </cell>
          <cell r="AA40">
            <v>1.517045</v>
          </cell>
          <cell r="AB40">
            <v>1.9993069999999999</v>
          </cell>
          <cell r="AC40">
            <v>4.9500799999999998</v>
          </cell>
          <cell r="AD40">
            <v>1.831785</v>
          </cell>
          <cell r="AE40">
            <v>1.6702680000000001</v>
          </cell>
          <cell r="AF40">
            <v>2.221044</v>
          </cell>
          <cell r="AG40">
            <v>5.7230970000000001</v>
          </cell>
          <cell r="AH40">
            <v>1.7774019999999999</v>
          </cell>
          <cell r="AI40">
            <v>1.82765</v>
          </cell>
          <cell r="AJ40">
            <v>2.2505350000000002</v>
          </cell>
          <cell r="AK40">
            <v>5.8555869999999999</v>
          </cell>
          <cell r="AL40">
            <v>1.94171</v>
          </cell>
          <cell r="AM40">
            <v>1.9965949999999999</v>
          </cell>
          <cell r="AN40">
            <v>2.7204359999999999</v>
          </cell>
          <cell r="AO40">
            <v>6.6587409999999991</v>
          </cell>
          <cell r="AP40">
            <v>2.0724130000000001</v>
          </cell>
          <cell r="AQ40">
            <v>2.1665420000000002</v>
          </cell>
          <cell r="AR40">
            <v>3.2258339999999999</v>
          </cell>
          <cell r="AS40">
            <v>7.4647890000000006</v>
          </cell>
          <cell r="AT40">
            <v>4.0115150000000002</v>
          </cell>
          <cell r="AU40">
            <v>4.430485</v>
          </cell>
          <cell r="AV40">
            <v>5.2848069999999998</v>
          </cell>
          <cell r="AW40">
            <v>13.726807000000001</v>
          </cell>
          <cell r="AX40">
            <v>4.7846339999999996</v>
          </cell>
          <cell r="AY40">
            <v>4.6024089999999998</v>
          </cell>
          <cell r="AZ40">
            <v>5.8434970000000002</v>
          </cell>
          <cell r="BA40">
            <v>15.230539999999998</v>
          </cell>
          <cell r="BB40">
            <v>4.7679729999999996</v>
          </cell>
          <cell r="BC40">
            <v>4.793882</v>
          </cell>
          <cell r="BD40">
            <v>6.6206050000000003</v>
          </cell>
          <cell r="BE40">
            <v>16.182459999999999</v>
          </cell>
          <cell r="BF40">
            <v>5.3749580000000003</v>
          </cell>
          <cell r="BG40">
            <v>5.3057509999999999</v>
          </cell>
        </row>
        <row r="41">
          <cell r="A41" t="str">
            <v xml:space="preserve">  % Change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0.47430265059627263</v>
          </cell>
          <cell r="Y41">
            <v>0.5666759134970869</v>
          </cell>
          <cell r="Z41">
            <v>0.39148528957896156</v>
          </cell>
          <cell r="AA41">
            <v>0.43841682129741932</v>
          </cell>
          <cell r="AB41">
            <v>0.46564832334025597</v>
          </cell>
          <cell r="AC41">
            <v>0.43516687676783583</v>
          </cell>
          <cell r="AD41">
            <v>0.56737911496004512</v>
          </cell>
          <cell r="AE41">
            <v>0.19951739739308416</v>
          </cell>
          <cell r="AF41">
            <v>0.53007667454308738</v>
          </cell>
          <cell r="AG41">
            <v>0.42623419001463603</v>
          </cell>
          <cell r="AH41">
            <v>0.52517078135095963</v>
          </cell>
          <cell r="AI41">
            <v>0.6283163922143018</v>
          </cell>
          <cell r="AJ41">
            <v>0.22778242102598578</v>
          </cell>
          <cell r="AK41">
            <v>0.42098168221541243</v>
          </cell>
          <cell r="AL41">
            <v>0.38716459644412748</v>
          </cell>
          <cell r="AM41">
            <v>0.45396506134908998</v>
          </cell>
          <cell r="AN41">
            <v>0.46858487815938066</v>
          </cell>
          <cell r="AO41">
            <v>0.43960452251007243</v>
          </cell>
          <cell r="AP41">
            <v>0.44547152597982342</v>
          </cell>
          <cell r="AQ41">
            <v>0.42813298221212959</v>
          </cell>
          <cell r="AR41">
            <v>0.61347606945806721</v>
          </cell>
          <cell r="AS41">
            <v>0.50801380987782041</v>
          </cell>
          <cell r="AT41">
            <v>1.1899486020466377</v>
          </cell>
          <cell r="AU41">
            <v>1.6525593497570448</v>
          </cell>
          <cell r="AV41">
            <v>1.3794247209870671</v>
          </cell>
          <cell r="AW41">
            <v>1.3984928090507642</v>
          </cell>
          <cell r="AX41">
            <v>1.6919256307802062</v>
          </cell>
          <cell r="AY41">
            <v>1.5182113643203019</v>
          </cell>
          <cell r="AZ41">
            <v>1.5964923895873646</v>
          </cell>
          <cell r="BA41">
            <v>1.6010270191528191</v>
          </cell>
          <cell r="BB41">
            <v>1.4555536099623523</v>
          </cell>
          <cell r="BC41">
            <v>1.4010287514493425</v>
          </cell>
          <cell r="BD41">
            <v>1.433655855164393</v>
          </cell>
          <cell r="BE41">
            <v>1.430258212475902</v>
          </cell>
          <cell r="BF41">
            <v>1.5935747363097992</v>
          </cell>
          <cell r="BG41">
            <v>1.448949062607602</v>
          </cell>
        </row>
        <row r="43">
          <cell r="A43" t="str">
            <v>DESOXIMETASONE</v>
          </cell>
        </row>
        <row r="44">
          <cell r="A44" t="str">
            <v>TRx</v>
          </cell>
          <cell r="B44">
            <v>66790</v>
          </cell>
          <cell r="C44">
            <v>59207</v>
          </cell>
          <cell r="D44">
            <v>66904</v>
          </cell>
          <cell r="E44">
            <v>192901</v>
          </cell>
          <cell r="F44">
            <v>66433</v>
          </cell>
          <cell r="G44">
            <v>72784</v>
          </cell>
          <cell r="H44">
            <v>69856</v>
          </cell>
          <cell r="I44">
            <v>209073</v>
          </cell>
          <cell r="J44">
            <v>69611</v>
          </cell>
          <cell r="K44">
            <v>68153</v>
          </cell>
          <cell r="L44">
            <v>58074</v>
          </cell>
          <cell r="M44">
            <v>195838</v>
          </cell>
          <cell r="N44">
            <v>66662</v>
          </cell>
          <cell r="O44">
            <v>62156</v>
          </cell>
          <cell r="P44">
            <v>61490</v>
          </cell>
          <cell r="Q44">
            <v>190308</v>
          </cell>
          <cell r="R44">
            <v>67237</v>
          </cell>
          <cell r="S44">
            <v>61061</v>
          </cell>
          <cell r="T44">
            <v>67835</v>
          </cell>
          <cell r="U44">
            <v>196133</v>
          </cell>
          <cell r="V44">
            <v>70004</v>
          </cell>
          <cell r="W44">
            <v>71858</v>
          </cell>
          <cell r="X44">
            <v>71432</v>
          </cell>
          <cell r="Y44">
            <v>213294</v>
          </cell>
          <cell r="Z44">
            <v>76203</v>
          </cell>
          <cell r="AA44">
            <v>71971</v>
          </cell>
          <cell r="AB44">
            <v>64378</v>
          </cell>
          <cell r="AC44">
            <v>212552</v>
          </cell>
          <cell r="AD44">
            <v>65856</v>
          </cell>
          <cell r="AE44">
            <v>61038</v>
          </cell>
          <cell r="AF44">
            <v>65344</v>
          </cell>
          <cell r="AG44">
            <v>192238</v>
          </cell>
          <cell r="AH44">
            <v>67750</v>
          </cell>
          <cell r="AI44">
            <v>58680</v>
          </cell>
          <cell r="AJ44">
            <v>65201</v>
          </cell>
          <cell r="AK44">
            <v>191631</v>
          </cell>
          <cell r="AL44">
            <v>66933</v>
          </cell>
          <cell r="AM44">
            <v>67895</v>
          </cell>
          <cell r="AN44">
            <v>68686</v>
          </cell>
          <cell r="AO44">
            <v>203514</v>
          </cell>
          <cell r="AP44">
            <v>72654</v>
          </cell>
          <cell r="AQ44">
            <v>68583</v>
          </cell>
          <cell r="AR44">
            <v>67813</v>
          </cell>
          <cell r="AS44">
            <v>209050</v>
          </cell>
          <cell r="AT44">
            <v>55527</v>
          </cell>
          <cell r="AU44">
            <v>51262</v>
          </cell>
          <cell r="AV44">
            <v>56962</v>
          </cell>
          <cell r="AW44">
            <v>163751</v>
          </cell>
          <cell r="AX44">
            <v>55822</v>
          </cell>
          <cell r="AY44">
            <v>52045</v>
          </cell>
          <cell r="AZ44">
            <v>58001</v>
          </cell>
          <cell r="BA44">
            <v>165868</v>
          </cell>
          <cell r="BB44">
            <v>54572</v>
          </cell>
          <cell r="BC44">
            <v>50540</v>
          </cell>
          <cell r="BD44">
            <v>52224</v>
          </cell>
          <cell r="BE44">
            <v>157336</v>
          </cell>
          <cell r="BF44">
            <v>49521</v>
          </cell>
          <cell r="BG44">
            <v>49376</v>
          </cell>
          <cell r="BH44">
            <v>47643</v>
          </cell>
          <cell r="BI44">
            <v>146540</v>
          </cell>
        </row>
        <row r="45">
          <cell r="A45" t="str">
            <v xml:space="preserve">  % Change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6.6926186554874256E-3</v>
          </cell>
          <cell r="S45">
            <v>3.1313864914621625E-2</v>
          </cell>
          <cell r="T45">
            <v>1.3915460958985992E-2</v>
          </cell>
          <cell r="U45">
            <v>1.6754708373725391E-2</v>
          </cell>
          <cell r="V45">
            <v>5.3753405686932654E-2</v>
          </cell>
          <cell r="W45">
            <v>-1.2722576390415519E-2</v>
          </cell>
          <cell r="X45">
            <v>2.2560696289509741E-2</v>
          </cell>
          <cell r="Y45">
            <v>2.0189120546411976E-2</v>
          </cell>
          <cell r="Z45">
            <v>9.4697677091264421E-2</v>
          </cell>
          <cell r="AA45">
            <v>5.6021011547547461E-2</v>
          </cell>
          <cell r="AB45">
            <v>0.10855115886627398</v>
          </cell>
          <cell r="AC45">
            <v>8.534605132813855E-2</v>
          </cell>
          <cell r="AD45">
            <v>-1.2090846359245178E-2</v>
          </cell>
          <cell r="AE45">
            <v>-1.7987000450479407E-2</v>
          </cell>
          <cell r="AF45">
            <v>6.2676858025695337E-2</v>
          </cell>
          <cell r="AG45">
            <v>1.0141454904680769E-2</v>
          </cell>
          <cell r="AH45">
            <v>7.6297276797001601E-3</v>
          </cell>
          <cell r="AI45">
            <v>-3.8993793092153783E-2</v>
          </cell>
          <cell r="AJ45">
            <v>-3.8829512788383536E-2</v>
          </cell>
          <cell r="AK45">
            <v>-2.2953811954133152E-2</v>
          </cell>
          <cell r="AL45">
            <v>-4.3868921775898517E-2</v>
          </cell>
          <cell r="AM45">
            <v>-5.5150435581285295E-2</v>
          </cell>
          <cell r="AN45">
            <v>-3.8442154776570758E-2</v>
          </cell>
          <cell r="AO45">
            <v>-4.5852204000112473E-2</v>
          </cell>
          <cell r="AP45">
            <v>-4.6572969568127287E-2</v>
          </cell>
          <cell r="AQ45">
            <v>-4.7074516124550159E-2</v>
          </cell>
          <cell r="AR45">
            <v>5.3356736773432001E-2</v>
          </cell>
          <cell r="AS45">
            <v>-1.6475968233655713E-2</v>
          </cell>
          <cell r="AT45">
            <v>-0.15684220116618075</v>
          </cell>
          <cell r="AU45">
            <v>-0.16016252170778855</v>
          </cell>
          <cell r="AV45">
            <v>-0.12827497551420175</v>
          </cell>
          <cell r="AW45">
            <v>-0.14818610264359799</v>
          </cell>
          <cell r="AX45">
            <v>-0.17605904059040589</v>
          </cell>
          <cell r="AY45">
            <v>-0.11307089297886841</v>
          </cell>
          <cell r="AZ45">
            <v>-0.11042775417554951</v>
          </cell>
          <cell r="BA45">
            <v>-0.13444066982899427</v>
          </cell>
          <cell r="BB45">
            <v>-0.18467721452796082</v>
          </cell>
          <cell r="BC45">
            <v>-0.25561528831283598</v>
          </cell>
          <cell r="BD45">
            <v>-0.239670384066622</v>
          </cell>
          <cell r="BE45">
            <v>-0.22690330886327226</v>
          </cell>
          <cell r="BF45">
            <v>-0.31839953753406558</v>
          </cell>
          <cell r="BG45">
            <v>-0.28005482408176952</v>
          </cell>
          <cell r="BH45">
            <v>-0.29743559494492211</v>
          </cell>
          <cell r="BI45">
            <v>-0.29901937335565654</v>
          </cell>
        </row>
        <row r="46">
          <cell r="A46" t="str">
            <v>NRx</v>
          </cell>
          <cell r="B46">
            <v>46523</v>
          </cell>
          <cell r="C46">
            <v>40527</v>
          </cell>
          <cell r="D46">
            <v>45942</v>
          </cell>
          <cell r="E46">
            <v>132992</v>
          </cell>
          <cell r="F46">
            <v>46565</v>
          </cell>
          <cell r="G46">
            <v>51820</v>
          </cell>
          <cell r="H46">
            <v>50397</v>
          </cell>
          <cell r="I46">
            <v>148782</v>
          </cell>
          <cell r="J46">
            <v>49544</v>
          </cell>
          <cell r="K46">
            <v>48651</v>
          </cell>
          <cell r="L46">
            <v>40194</v>
          </cell>
          <cell r="M46">
            <v>138389</v>
          </cell>
          <cell r="N46">
            <v>46018</v>
          </cell>
          <cell r="O46">
            <v>42430</v>
          </cell>
          <cell r="P46">
            <v>40239</v>
          </cell>
          <cell r="Q46">
            <v>128687</v>
          </cell>
          <cell r="R46">
            <v>46519</v>
          </cell>
          <cell r="S46">
            <v>42005</v>
          </cell>
          <cell r="T46">
            <v>47057</v>
          </cell>
          <cell r="U46">
            <v>135581</v>
          </cell>
          <cell r="V46">
            <v>49506</v>
          </cell>
          <cell r="W46">
            <v>51040</v>
          </cell>
          <cell r="X46">
            <v>51722</v>
          </cell>
          <cell r="Y46">
            <v>152268</v>
          </cell>
          <cell r="Z46">
            <v>55424</v>
          </cell>
          <cell r="AA46">
            <v>51266</v>
          </cell>
          <cell r="AB46">
            <v>45123</v>
          </cell>
          <cell r="AC46">
            <v>151813</v>
          </cell>
          <cell r="AD46">
            <v>45667</v>
          </cell>
          <cell r="AE46">
            <v>41178</v>
          </cell>
          <cell r="AF46">
            <v>42654</v>
          </cell>
          <cell r="AG46">
            <v>129499</v>
          </cell>
          <cell r="AH46">
            <v>46673</v>
          </cell>
          <cell r="AI46">
            <v>40115</v>
          </cell>
          <cell r="AJ46">
            <v>43901</v>
          </cell>
          <cell r="AK46">
            <v>130689</v>
          </cell>
          <cell r="AL46">
            <v>46768</v>
          </cell>
          <cell r="AM46">
            <v>47330</v>
          </cell>
          <cell r="AN46">
            <v>49333</v>
          </cell>
          <cell r="AO46">
            <v>143431</v>
          </cell>
          <cell r="AP46">
            <v>52811</v>
          </cell>
          <cell r="AQ46">
            <v>49639</v>
          </cell>
          <cell r="AR46">
            <v>48903</v>
          </cell>
          <cell r="AS46">
            <v>151353</v>
          </cell>
          <cell r="AT46">
            <v>41738</v>
          </cell>
          <cell r="AU46">
            <v>38047</v>
          </cell>
          <cell r="AV46">
            <v>41706</v>
          </cell>
          <cell r="AW46">
            <v>121491</v>
          </cell>
          <cell r="AX46">
            <v>42077</v>
          </cell>
          <cell r="AY46">
            <v>39253</v>
          </cell>
          <cell r="AZ46">
            <v>44156</v>
          </cell>
          <cell r="BA46">
            <v>125486</v>
          </cell>
          <cell r="BB46">
            <v>41099</v>
          </cell>
          <cell r="BC46">
            <v>37983</v>
          </cell>
          <cell r="BD46">
            <v>39214</v>
          </cell>
          <cell r="BE46">
            <v>118296</v>
          </cell>
          <cell r="BF46">
            <v>36764</v>
          </cell>
          <cell r="BG46">
            <v>36932</v>
          </cell>
          <cell r="BH46">
            <v>35606</v>
          </cell>
          <cell r="BI46">
            <v>109302</v>
          </cell>
        </row>
        <row r="47">
          <cell r="A47" t="str">
            <v xml:space="preserve">  % Change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-8.5978978139888973E-5</v>
          </cell>
          <cell r="S47">
            <v>3.6469514151059812E-2</v>
          </cell>
          <cell r="T47">
            <v>2.4269731400461403E-2</v>
          </cell>
          <cell r="U47">
            <v>1.9467336381135736E-2</v>
          </cell>
          <cell r="V47">
            <v>6.3159025018791004E-2</v>
          </cell>
          <cell r="W47">
            <v>-1.5052103434967212E-2</v>
          </cell>
          <cell r="X47">
            <v>2.6291247494890646E-2</v>
          </cell>
          <cell r="Y47">
            <v>2.3430253659716849E-2</v>
          </cell>
          <cell r="Z47">
            <v>0.11868238333602443</v>
          </cell>
          <cell r="AA47">
            <v>5.3750179852418256E-2</v>
          </cell>
          <cell r="AB47">
            <v>0.12263024331989847</v>
          </cell>
          <cell r="AC47">
            <v>9.700192934409535E-2</v>
          </cell>
          <cell r="AD47">
            <v>-7.6274501282107554E-3</v>
          </cell>
          <cell r="AE47">
            <v>-2.9507423992458204E-2</v>
          </cell>
          <cell r="AF47">
            <v>6.0016401998061575E-2</v>
          </cell>
          <cell r="AG47">
            <v>6.3098836712331963E-3</v>
          </cell>
          <cell r="AH47">
            <v>3.3104752896666589E-3</v>
          </cell>
          <cell r="AI47">
            <v>-4.4994643494822073E-2</v>
          </cell>
          <cell r="AJ47">
            <v>-6.7067598869456235E-2</v>
          </cell>
          <cell r="AK47">
            <v>-3.6081751867887091E-2</v>
          </cell>
          <cell r="AL47">
            <v>-5.5306427503736932E-2</v>
          </cell>
          <cell r="AM47">
            <v>-7.2688087774294696E-2</v>
          </cell>
          <cell r="AN47">
            <v>-4.6189242488689497E-2</v>
          </cell>
          <cell r="AO47">
            <v>-5.8035831560143913E-2</v>
          </cell>
          <cell r="AP47">
            <v>-4.7145640877598205E-2</v>
          </cell>
          <cell r="AQ47">
            <v>-3.1736433503686601E-2</v>
          </cell>
          <cell r="AR47">
            <v>8.3771025862642068E-2</v>
          </cell>
          <cell r="AS47">
            <v>-3.030043540408256E-3</v>
          </cell>
          <cell r="AT47">
            <v>-8.6035868351325928E-2</v>
          </cell>
          <cell r="AU47">
            <v>-7.603574724367379E-2</v>
          </cell>
          <cell r="AV47">
            <v>-2.2225348150232138E-2</v>
          </cell>
          <cell r="AW47">
            <v>-6.1838315353786477E-2</v>
          </cell>
          <cell r="AX47">
            <v>-9.847235018104683E-2</v>
          </cell>
          <cell r="AY47">
            <v>-2.1488221363579751E-2</v>
          </cell>
          <cell r="AZ47">
            <v>5.8085237238332255E-3</v>
          </cell>
          <cell r="BA47">
            <v>-3.9812072936513454E-2</v>
          </cell>
          <cell r="BB47">
            <v>-0.12121536093055085</v>
          </cell>
          <cell r="BC47">
            <v>-0.19748573843228401</v>
          </cell>
          <cell r="BD47">
            <v>-0.20511625078547824</v>
          </cell>
          <cell r="BE47">
            <v>-0.17524105667533518</v>
          </cell>
          <cell r="BF47">
            <v>-0.30385715097233534</v>
          </cell>
          <cell r="BG47">
            <v>-0.25598823505711232</v>
          </cell>
          <cell r="BH47">
            <v>-0.27190560906283867</v>
          </cell>
          <cell r="BI47">
            <v>-0.27783393788031951</v>
          </cell>
        </row>
        <row r="48">
          <cell r="A48" t="str">
            <v>Sales (IMS)</v>
          </cell>
          <cell r="B48">
            <v>1.1227279999999999</v>
          </cell>
          <cell r="C48">
            <v>1.126701</v>
          </cell>
          <cell r="D48">
            <v>1.4440809999999999</v>
          </cell>
          <cell r="E48">
            <v>3.6935099999999998</v>
          </cell>
          <cell r="F48">
            <v>1.149489</v>
          </cell>
          <cell r="G48">
            <v>1.3065899999999999</v>
          </cell>
          <cell r="H48">
            <v>1.537228</v>
          </cell>
          <cell r="I48">
            <v>3.9933069999999997</v>
          </cell>
          <cell r="J48">
            <v>1.237932</v>
          </cell>
          <cell r="K48">
            <v>1.2140299999999999</v>
          </cell>
          <cell r="L48">
            <v>1.3960969999999999</v>
          </cell>
          <cell r="M48">
            <v>3.8480590000000001</v>
          </cell>
          <cell r="N48">
            <v>1.109561</v>
          </cell>
          <cell r="O48">
            <v>1.3596950000000001</v>
          </cell>
          <cell r="P48">
            <v>1.3566290000000001</v>
          </cell>
          <cell r="Q48">
            <v>3.8258850000000004</v>
          </cell>
          <cell r="R48">
            <v>1.2169970000000001</v>
          </cell>
          <cell r="S48">
            <v>1.2198340000000001</v>
          </cell>
          <cell r="T48">
            <v>1.6110359999999999</v>
          </cell>
          <cell r="U48">
            <v>4.0478670000000001</v>
          </cell>
          <cell r="V48">
            <v>1.3009230000000001</v>
          </cell>
          <cell r="W48">
            <v>1.3216129999999999</v>
          </cell>
          <cell r="X48">
            <v>1.7809379999999999</v>
          </cell>
          <cell r="Y48">
            <v>4.4034740000000001</v>
          </cell>
          <cell r="Z48">
            <v>1.4337839999999999</v>
          </cell>
          <cell r="AA48">
            <v>1.367656</v>
          </cell>
          <cell r="AB48">
            <v>1.5980399999999999</v>
          </cell>
          <cell r="AC48">
            <v>4.3994799999999996</v>
          </cell>
          <cell r="AD48">
            <v>1.239045</v>
          </cell>
          <cell r="AE48">
            <v>1.2528300000000001</v>
          </cell>
          <cell r="AF48">
            <v>1.7287760000000001</v>
          </cell>
          <cell r="AG48">
            <v>4.2206510000000002</v>
          </cell>
          <cell r="AH48">
            <v>1.4775799999999999</v>
          </cell>
          <cell r="AI48">
            <v>1.4901279999999999</v>
          </cell>
          <cell r="AJ48">
            <v>1.8539019999999999</v>
          </cell>
          <cell r="AK48">
            <v>4.8216099999999997</v>
          </cell>
          <cell r="AL48">
            <v>1.643437</v>
          </cell>
          <cell r="AM48">
            <v>1.640528</v>
          </cell>
          <cell r="AN48">
            <v>2.2987880000000001</v>
          </cell>
          <cell r="AO48">
            <v>5.5827530000000003</v>
          </cell>
          <cell r="AP48">
            <v>1.7704899999999999</v>
          </cell>
          <cell r="AQ48">
            <v>1.7073229999999999</v>
          </cell>
          <cell r="AR48">
            <v>0.43932700000000002</v>
          </cell>
          <cell r="AS48">
            <v>3.9171399999999998</v>
          </cell>
          <cell r="AT48">
            <v>0.35377900000000001</v>
          </cell>
          <cell r="AU48">
            <v>0.39008199999999998</v>
          </cell>
          <cell r="AV48">
            <v>0.43958599999999998</v>
          </cell>
          <cell r="AW48">
            <v>1.1834469999999999</v>
          </cell>
          <cell r="AX48">
            <v>0.28306999999999999</v>
          </cell>
          <cell r="AY48">
            <v>0.35416700000000001</v>
          </cell>
          <cell r="AZ48">
            <v>0.43128100000000003</v>
          </cell>
          <cell r="BA48">
            <v>1.0685180000000001</v>
          </cell>
          <cell r="BB48">
            <v>0.35004600000000002</v>
          </cell>
          <cell r="BC48">
            <v>0.34728500000000001</v>
          </cell>
          <cell r="BD48">
            <v>0.40556399999999998</v>
          </cell>
          <cell r="BE48">
            <v>1.102895</v>
          </cell>
          <cell r="BF48">
            <v>0.31769199999999997</v>
          </cell>
          <cell r="BG48">
            <v>0.32468900000000001</v>
          </cell>
        </row>
        <row r="49">
          <cell r="A49" t="str">
            <v xml:space="preserve">  % Change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0.15853861626251931</v>
          </cell>
          <cell r="Y49">
            <v>0.10271361555723124</v>
          </cell>
          <cell r="Z49">
            <v>0.1582090130960343</v>
          </cell>
          <cell r="AA49">
            <v>0.12654217770565812</v>
          </cell>
          <cell r="AB49">
            <v>0.14464825868116615</v>
          </cell>
          <cell r="AC49">
            <v>0.14329847853164401</v>
          </cell>
          <cell r="AD49">
            <v>0.11669840594613534</v>
          </cell>
          <cell r="AE49">
            <v>-7.8594831929219455E-2</v>
          </cell>
          <cell r="AF49">
            <v>0.27431744419439652</v>
          </cell>
          <cell r="AG49">
            <v>0.1031829236895514</v>
          </cell>
          <cell r="AH49">
            <v>0.21411967326131442</v>
          </cell>
          <cell r="AI49">
            <v>0.22158260878119473</v>
          </cell>
          <cell r="AJ49">
            <v>0.1507514419292928</v>
          </cell>
          <cell r="AK49">
            <v>0.19114832577256102</v>
          </cell>
          <cell r="AL49">
            <v>0.2632853750760038</v>
          </cell>
          <cell r="AM49">
            <v>0.24130740239389303</v>
          </cell>
          <cell r="AN49">
            <v>0.29077373833339526</v>
          </cell>
          <cell r="AO49">
            <v>0.26780650913347048</v>
          </cell>
          <cell r="AP49">
            <v>0.23483732556647308</v>
          </cell>
          <cell r="AQ49">
            <v>0.24835704299911665</v>
          </cell>
          <cell r="AR49">
            <v>-0.72508385271958153</v>
          </cell>
          <cell r="AS49">
            <v>-0.10963568421722558</v>
          </cell>
          <cell r="AT49">
            <v>-0.7144744541158714</v>
          </cell>
          <cell r="AU49">
            <v>-0.68863932057821098</v>
          </cell>
          <cell r="AV49">
            <v>-0.7457241423990153</v>
          </cell>
          <cell r="AW49">
            <v>-0.7196055774334339</v>
          </cell>
          <cell r="AX49">
            <v>-0.80842323258300741</v>
          </cell>
          <cell r="AY49">
            <v>-0.76232444461146964</v>
          </cell>
          <cell r="AZ49">
            <v>-0.76736580466497151</v>
          </cell>
          <cell r="BA49">
            <v>-0.77838979096194005</v>
          </cell>
          <cell r="BB49">
            <v>-0.78700370017226096</v>
          </cell>
          <cell r="BC49">
            <v>-0.78830900783162494</v>
          </cell>
          <cell r="BD49">
            <v>-0.82357485770762684</v>
          </cell>
          <cell r="BE49">
            <v>-0.8024460333459138</v>
          </cell>
          <cell r="BF49">
            <v>-0.82056266909160747</v>
          </cell>
          <cell r="BG49">
            <v>-0.80982567446230147</v>
          </cell>
        </row>
        <row r="51">
          <cell r="A51" t="str">
            <v>CLOTRIMAZOLE (RX)</v>
          </cell>
        </row>
        <row r="52">
          <cell r="A52" t="str">
            <v>TRx</v>
          </cell>
          <cell r="N52">
            <v>2524</v>
          </cell>
          <cell r="O52">
            <v>2256</v>
          </cell>
          <cell r="P52">
            <v>2181</v>
          </cell>
          <cell r="Q52">
            <v>6961</v>
          </cell>
          <cell r="R52">
            <v>2578</v>
          </cell>
          <cell r="S52">
            <v>2496</v>
          </cell>
          <cell r="T52">
            <v>2347</v>
          </cell>
          <cell r="U52">
            <v>7421</v>
          </cell>
          <cell r="V52">
            <v>2724</v>
          </cell>
          <cell r="W52">
            <v>2610</v>
          </cell>
          <cell r="X52">
            <v>2374</v>
          </cell>
          <cell r="Y52">
            <v>7708</v>
          </cell>
          <cell r="Z52">
            <v>2605</v>
          </cell>
          <cell r="AA52">
            <v>2846</v>
          </cell>
          <cell r="AB52">
            <v>2911</v>
          </cell>
          <cell r="AC52">
            <v>8362</v>
          </cell>
          <cell r="AD52">
            <v>3035</v>
          </cell>
          <cell r="AE52">
            <v>2732</v>
          </cell>
          <cell r="AF52">
            <v>2585</v>
          </cell>
          <cell r="AG52">
            <v>8352</v>
          </cell>
          <cell r="AH52">
            <v>2527</v>
          </cell>
          <cell r="AI52">
            <v>2312</v>
          </cell>
          <cell r="AJ52">
            <v>2630</v>
          </cell>
          <cell r="AK52">
            <v>7469</v>
          </cell>
          <cell r="AL52">
            <v>2580</v>
          </cell>
          <cell r="AM52">
            <v>4026</v>
          </cell>
          <cell r="AN52">
            <v>4060</v>
          </cell>
          <cell r="AO52">
            <v>10666</v>
          </cell>
          <cell r="AP52">
            <v>4436</v>
          </cell>
          <cell r="AQ52">
            <v>4263</v>
          </cell>
          <cell r="AR52">
            <v>4632</v>
          </cell>
          <cell r="AS52">
            <v>13331</v>
          </cell>
          <cell r="AT52">
            <v>4557</v>
          </cell>
          <cell r="AU52">
            <v>4071</v>
          </cell>
          <cell r="AV52">
            <v>4564</v>
          </cell>
          <cell r="AW52">
            <v>13192</v>
          </cell>
          <cell r="AX52">
            <v>4241</v>
          </cell>
          <cell r="AY52">
            <v>2959</v>
          </cell>
          <cell r="AZ52">
            <v>3158</v>
          </cell>
          <cell r="BA52">
            <v>10358</v>
          </cell>
          <cell r="BB52">
            <v>30539</v>
          </cell>
          <cell r="BC52">
            <v>112815</v>
          </cell>
          <cell r="BD52">
            <v>121219</v>
          </cell>
          <cell r="BE52">
            <v>264573</v>
          </cell>
          <cell r="BF52">
            <v>122749</v>
          </cell>
          <cell r="BG52">
            <v>127940</v>
          </cell>
          <cell r="BH52">
            <v>125714</v>
          </cell>
          <cell r="BI52">
            <v>376403</v>
          </cell>
        </row>
        <row r="53">
          <cell r="A53" t="str">
            <v xml:space="preserve">  % Change</v>
          </cell>
          <cell r="Q53">
            <v>0</v>
          </cell>
          <cell r="U53">
            <v>0</v>
          </cell>
          <cell r="Y53">
            <v>0</v>
          </cell>
          <cell r="AC53">
            <v>0</v>
          </cell>
          <cell r="AD53">
            <v>0.20245641838351824</v>
          </cell>
          <cell r="AE53">
            <v>0.21099290780141855</v>
          </cell>
          <cell r="AF53">
            <v>0.18523613021549745</v>
          </cell>
          <cell r="AG53">
            <v>0.19982761097543467</v>
          </cell>
          <cell r="AH53">
            <v>-1.9782777346780467E-2</v>
          </cell>
          <cell r="AI53">
            <v>-7.3717948717948678E-2</v>
          </cell>
          <cell r="AJ53">
            <v>0.12057946314443968</v>
          </cell>
          <cell r="AK53">
            <v>6.4681309796523756E-3</v>
          </cell>
          <cell r="AL53">
            <v>-5.2863436123347984E-2</v>
          </cell>
          <cell r="AM53">
            <v>0.54252873563218396</v>
          </cell>
          <cell r="AN53">
            <v>0.71019376579612459</v>
          </cell>
          <cell r="AO53">
            <v>0.38375713544369483</v>
          </cell>
          <cell r="AP53">
            <v>0.70287907869481758</v>
          </cell>
          <cell r="AQ53">
            <v>0.49789177793394246</v>
          </cell>
          <cell r="AR53">
            <v>0.59120577121264173</v>
          </cell>
          <cell r="AS53">
            <v>0.59423582874910319</v>
          </cell>
          <cell r="AT53">
            <v>0.50148270181219101</v>
          </cell>
          <cell r="AU53">
            <v>0.49011713030746695</v>
          </cell>
          <cell r="AV53">
            <v>0.76557059961315277</v>
          </cell>
          <cell r="AW53">
            <v>0.57950191570881215</v>
          </cell>
          <cell r="AX53">
            <v>0.67827463395330434</v>
          </cell>
          <cell r="AY53">
            <v>0.27984429065743943</v>
          </cell>
          <cell r="AZ53">
            <v>0.20076045627376415</v>
          </cell>
          <cell r="BA53">
            <v>0.38679876824206727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</row>
        <row r="54">
          <cell r="A54" t="str">
            <v>NRx</v>
          </cell>
          <cell r="N54">
            <v>2055</v>
          </cell>
          <cell r="O54">
            <v>1714</v>
          </cell>
          <cell r="P54">
            <v>1650</v>
          </cell>
          <cell r="Q54">
            <v>5419</v>
          </cell>
          <cell r="R54">
            <v>1983</v>
          </cell>
          <cell r="S54">
            <v>1930</v>
          </cell>
          <cell r="T54">
            <v>1811</v>
          </cell>
          <cell r="U54">
            <v>5724</v>
          </cell>
          <cell r="V54">
            <v>2094</v>
          </cell>
          <cell r="W54">
            <v>1915</v>
          </cell>
          <cell r="X54">
            <v>1747</v>
          </cell>
          <cell r="Y54">
            <v>5756</v>
          </cell>
          <cell r="Z54">
            <v>1966</v>
          </cell>
          <cell r="AA54">
            <v>2160</v>
          </cell>
          <cell r="AB54">
            <v>2205</v>
          </cell>
          <cell r="AC54">
            <v>6331</v>
          </cell>
          <cell r="AD54">
            <v>2309</v>
          </cell>
          <cell r="AE54">
            <v>2027</v>
          </cell>
          <cell r="AF54">
            <v>1776</v>
          </cell>
          <cell r="AG54">
            <v>6112</v>
          </cell>
          <cell r="AH54">
            <v>1886</v>
          </cell>
          <cell r="AI54">
            <v>1646</v>
          </cell>
          <cell r="AJ54">
            <v>1962</v>
          </cell>
          <cell r="AK54">
            <v>5494</v>
          </cell>
          <cell r="AL54">
            <v>1992</v>
          </cell>
          <cell r="AM54">
            <v>3003</v>
          </cell>
          <cell r="AN54">
            <v>2989</v>
          </cell>
          <cell r="AO54">
            <v>7984</v>
          </cell>
          <cell r="AP54">
            <v>3305</v>
          </cell>
          <cell r="AQ54">
            <v>3187</v>
          </cell>
          <cell r="AR54">
            <v>3451</v>
          </cell>
          <cell r="AS54">
            <v>9943</v>
          </cell>
          <cell r="AT54">
            <v>3316</v>
          </cell>
          <cell r="AU54">
            <v>2888</v>
          </cell>
          <cell r="AV54">
            <v>3234</v>
          </cell>
          <cell r="AW54">
            <v>9438</v>
          </cell>
          <cell r="AX54">
            <v>3048</v>
          </cell>
          <cell r="AY54">
            <v>2193</v>
          </cell>
          <cell r="AZ54">
            <v>2356</v>
          </cell>
          <cell r="BA54">
            <v>7597</v>
          </cell>
          <cell r="BB54">
            <v>23840</v>
          </cell>
          <cell r="BC54">
            <v>88496</v>
          </cell>
          <cell r="BD54">
            <v>94434</v>
          </cell>
          <cell r="BE54">
            <v>206770</v>
          </cell>
          <cell r="BF54">
            <v>95558</v>
          </cell>
          <cell r="BG54">
            <v>99741</v>
          </cell>
          <cell r="BH54">
            <v>97713</v>
          </cell>
          <cell r="BI54">
            <v>293012</v>
          </cell>
        </row>
        <row r="55">
          <cell r="A55" t="str">
            <v xml:space="preserve">  % Change</v>
          </cell>
          <cell r="Q55">
            <v>0</v>
          </cell>
          <cell r="U55">
            <v>0</v>
          </cell>
          <cell r="Y55">
            <v>0</v>
          </cell>
          <cell r="AC55">
            <v>0</v>
          </cell>
          <cell r="AD55">
            <v>0.12360097323600971</v>
          </cell>
          <cell r="AE55">
            <v>0.18261376896149351</v>
          </cell>
          <cell r="AF55">
            <v>7.6363636363636411E-2</v>
          </cell>
          <cell r="AG55">
            <v>0.12788337331610999</v>
          </cell>
          <cell r="AH55">
            <v>-4.8915784165405984E-2</v>
          </cell>
          <cell r="AI55">
            <v>-0.14715025906735746</v>
          </cell>
          <cell r="AJ55">
            <v>8.3379348426283917E-2</v>
          </cell>
          <cell r="AK55">
            <v>-4.0181691125087404E-2</v>
          </cell>
          <cell r="AL55">
            <v>-4.8710601719197721E-2</v>
          </cell>
          <cell r="AM55">
            <v>0.56814621409921662</v>
          </cell>
          <cell r="AN55">
            <v>0.71093302804808234</v>
          </cell>
          <cell r="AO55">
            <v>0.38707435719249483</v>
          </cell>
          <cell r="AP55">
            <v>0.68107833163784326</v>
          </cell>
          <cell r="AQ55">
            <v>0.47546296296296298</v>
          </cell>
          <cell r="AR55">
            <v>0.56507936507936507</v>
          </cell>
          <cell r="AS55">
            <v>0.57052598325698933</v>
          </cell>
          <cell r="AT55">
            <v>0.43611953226504974</v>
          </cell>
          <cell r="AU55">
            <v>0.42476566354218059</v>
          </cell>
          <cell r="AV55">
            <v>0.82094594594594605</v>
          </cell>
          <cell r="AW55">
            <v>0.54417539267015713</v>
          </cell>
          <cell r="AX55">
            <v>0.61611876988335101</v>
          </cell>
          <cell r="AY55">
            <v>0.33232077764277035</v>
          </cell>
          <cell r="AZ55">
            <v>0.20081549439347612</v>
          </cell>
          <cell r="BA55">
            <v>0.3827812158718602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</row>
        <row r="56">
          <cell r="A56" t="str">
            <v>Sales (IMS)</v>
          </cell>
          <cell r="N56">
            <v>0.33494499999999999</v>
          </cell>
          <cell r="O56">
            <v>0.34494399999999997</v>
          </cell>
          <cell r="P56">
            <v>0.43705500000000003</v>
          </cell>
          <cell r="Q56">
            <v>1.1169439999999999</v>
          </cell>
          <cell r="R56">
            <v>0.41173300000000002</v>
          </cell>
          <cell r="S56">
            <v>0.39850099999999999</v>
          </cell>
          <cell r="T56">
            <v>0.50690299999999999</v>
          </cell>
          <cell r="U56">
            <v>1.317137</v>
          </cell>
          <cell r="V56">
            <v>0.42571300000000001</v>
          </cell>
          <cell r="W56">
            <v>0.41174100000000002</v>
          </cell>
          <cell r="X56">
            <v>0.51705999999999996</v>
          </cell>
          <cell r="Y56">
            <v>1.354514</v>
          </cell>
          <cell r="Z56">
            <v>0.420603</v>
          </cell>
          <cell r="AA56">
            <v>0.47139199999999998</v>
          </cell>
          <cell r="AB56">
            <v>0.60410699999999995</v>
          </cell>
          <cell r="AC56">
            <v>1.496102</v>
          </cell>
          <cell r="AD56">
            <v>0.539072</v>
          </cell>
          <cell r="AE56">
            <v>0.63754900000000003</v>
          </cell>
          <cell r="AF56">
            <v>1.1252070000000001</v>
          </cell>
          <cell r="AG56">
            <v>2.301828</v>
          </cell>
          <cell r="AH56">
            <v>1.1877629999999999</v>
          </cell>
          <cell r="AI56">
            <v>1.303342</v>
          </cell>
          <cell r="AJ56">
            <v>1.646021</v>
          </cell>
          <cell r="AK56">
            <v>4.1371260000000003</v>
          </cell>
          <cell r="AL56">
            <v>1.3235490000000001</v>
          </cell>
          <cell r="AM56">
            <v>1.358352</v>
          </cell>
          <cell r="AN56">
            <v>1.816325</v>
          </cell>
          <cell r="AO56">
            <v>4.4982259999999998</v>
          </cell>
          <cell r="AP56">
            <v>1.3774550000000001</v>
          </cell>
          <cell r="AQ56">
            <v>1.508151</v>
          </cell>
          <cell r="AR56">
            <v>1.813993</v>
          </cell>
          <cell r="AS56">
            <v>4.6995990000000001</v>
          </cell>
          <cell r="AT56">
            <v>1.449535</v>
          </cell>
          <cell r="AU56">
            <v>1.4653229999999999</v>
          </cell>
          <cell r="AV56">
            <v>1.7287110000000001</v>
          </cell>
          <cell r="AW56">
            <v>4.6435689999999994</v>
          </cell>
          <cell r="AX56">
            <v>1.2969930000000001</v>
          </cell>
          <cell r="AY56">
            <v>1.3258799999999999</v>
          </cell>
          <cell r="AZ56">
            <v>1.791091</v>
          </cell>
          <cell r="BA56">
            <v>4.413964</v>
          </cell>
          <cell r="BB56">
            <v>1.435492</v>
          </cell>
          <cell r="BC56">
            <v>1.536618</v>
          </cell>
          <cell r="BD56">
            <v>1.855988</v>
          </cell>
          <cell r="BE56">
            <v>4.8280979999999998</v>
          </cell>
          <cell r="BF56">
            <v>1.4785999999999999</v>
          </cell>
          <cell r="BG56">
            <v>1.5391820000000001</v>
          </cell>
        </row>
        <row r="57">
          <cell r="A57" t="str">
            <v xml:space="preserve">  % Change</v>
          </cell>
          <cell r="Q57">
            <v>0</v>
          </cell>
          <cell r="U57">
            <v>0</v>
          </cell>
          <cell r="Y57">
            <v>0</v>
          </cell>
          <cell r="AC57">
            <v>0</v>
          </cell>
          <cell r="AD57">
            <v>0.60943438474973499</v>
          </cell>
          <cell r="AE57">
            <v>0.8482681246811079</v>
          </cell>
          <cell r="AF57">
            <v>1.5745203692899064</v>
          </cell>
          <cell r="AG57">
            <v>1.060826684238422</v>
          </cell>
          <cell r="AH57">
            <v>1.8847894144992017</v>
          </cell>
          <cell r="AI57">
            <v>2.270611617034838</v>
          </cell>
          <cell r="AJ57">
            <v>2.2472110048668088</v>
          </cell>
          <cell r="AK57">
            <v>2.1409990001040136</v>
          </cell>
          <cell r="AL57">
            <v>2.1090171077697888</v>
          </cell>
          <cell r="AM57">
            <v>2.2990447878642155</v>
          </cell>
          <cell r="AN57">
            <v>2.5127934862491781</v>
          </cell>
          <cell r="AO57">
            <v>2.3209151031292405</v>
          </cell>
          <cell r="AP57">
            <v>2.2749528652910227</v>
          </cell>
          <cell r="AQ57">
            <v>2.1993563743126741</v>
          </cell>
          <cell r="AR57">
            <v>2.0027677216122313</v>
          </cell>
          <cell r="AS57">
            <v>2.1412290071131515</v>
          </cell>
          <cell r="AT57">
            <v>1.6889450759824292</v>
          </cell>
          <cell r="AU57">
            <v>1.2983692233851829</v>
          </cell>
          <cell r="AV57">
            <v>0.53634931172664224</v>
          </cell>
          <cell r="AW57">
            <v>1.0173396969712765</v>
          </cell>
          <cell r="AX57">
            <v>9.1962790556702201E-2</v>
          </cell>
          <cell r="AY57">
            <v>1.7292468131925531E-2</v>
          </cell>
          <cell r="AZ57">
            <v>8.8133747989849409E-2</v>
          </cell>
          <cell r="BA57">
            <v>6.6915535084017153E-2</v>
          </cell>
          <cell r="BB57">
            <v>8.4577903802579124E-2</v>
          </cell>
          <cell r="BC57">
            <v>0.13123696950422281</v>
          </cell>
          <cell r="BD57">
            <v>2.1836950986194648E-2</v>
          </cell>
          <cell r="BE57">
            <v>7.3333798701977093E-2</v>
          </cell>
          <cell r="BF57">
            <v>7.342889604379077E-2</v>
          </cell>
          <cell r="BG57">
            <v>2.057552592545453E-2</v>
          </cell>
        </row>
        <row r="59">
          <cell r="A59" t="str">
            <v>ECONAZOLE</v>
          </cell>
        </row>
        <row r="60">
          <cell r="A60" t="str">
            <v>TRx</v>
          </cell>
          <cell r="AF60">
            <v>4568</v>
          </cell>
          <cell r="AG60">
            <v>4568</v>
          </cell>
          <cell r="AH60">
            <v>14687</v>
          </cell>
          <cell r="AI60">
            <v>16502</v>
          </cell>
          <cell r="AJ60">
            <v>20667</v>
          </cell>
          <cell r="AK60">
            <v>51856</v>
          </cell>
          <cell r="AL60">
            <v>22796</v>
          </cell>
          <cell r="AM60">
            <v>25302</v>
          </cell>
          <cell r="AN60">
            <v>26832</v>
          </cell>
          <cell r="AO60">
            <v>74930</v>
          </cell>
          <cell r="AP60">
            <v>29287</v>
          </cell>
          <cell r="AQ60">
            <v>30728</v>
          </cell>
          <cell r="AR60">
            <v>30182</v>
          </cell>
          <cell r="AS60">
            <v>90197</v>
          </cell>
          <cell r="AT60">
            <v>29647</v>
          </cell>
          <cell r="AU60">
            <v>25812</v>
          </cell>
          <cell r="AV60">
            <v>26282</v>
          </cell>
          <cell r="AW60">
            <v>81741</v>
          </cell>
          <cell r="AX60">
            <v>25151</v>
          </cell>
          <cell r="AY60">
            <v>24114</v>
          </cell>
          <cell r="AZ60">
            <v>28290</v>
          </cell>
          <cell r="BA60">
            <v>77555</v>
          </cell>
          <cell r="BB60">
            <v>26610</v>
          </cell>
          <cell r="BC60">
            <v>27442</v>
          </cell>
          <cell r="BD60">
            <v>29337</v>
          </cell>
          <cell r="BE60">
            <v>83389</v>
          </cell>
          <cell r="BF60">
            <v>29433</v>
          </cell>
          <cell r="BG60">
            <v>30482</v>
          </cell>
          <cell r="BH60">
            <v>29064</v>
          </cell>
          <cell r="BI60">
            <v>88979</v>
          </cell>
        </row>
        <row r="61">
          <cell r="A61" t="str">
            <v xml:space="preserve">  % Change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0.7124668073806768</v>
          </cell>
          <cell r="AY61">
            <v>0.46127742091867652</v>
          </cell>
          <cell r="AZ61">
            <v>0.36884888953403983</v>
          </cell>
          <cell r="BA61">
            <v>0.49558392471459434</v>
          </cell>
          <cell r="BB61">
            <v>0.16731005439550795</v>
          </cell>
          <cell r="BC61">
            <v>8.4578294205991611E-2</v>
          </cell>
          <cell r="BD61">
            <v>9.3358676207513369E-2</v>
          </cell>
          <cell r="BE61">
            <v>0.11289203256372615</v>
          </cell>
          <cell r="BF61">
            <v>4.9851469935466852E-3</v>
          </cell>
          <cell r="BG61">
            <v>-8.0057276750845618E-3</v>
          </cell>
          <cell r="BH61">
            <v>-3.7041945530448595E-2</v>
          </cell>
          <cell r="BI61">
            <v>-1.3503775070124235E-2</v>
          </cell>
        </row>
        <row r="62">
          <cell r="A62" t="str">
            <v>NRx</v>
          </cell>
          <cell r="AF62">
            <v>3909</v>
          </cell>
          <cell r="AG62">
            <v>3909</v>
          </cell>
          <cell r="AH62">
            <v>12541</v>
          </cell>
          <cell r="AI62">
            <v>13425</v>
          </cell>
          <cell r="AJ62">
            <v>16624</v>
          </cell>
          <cell r="AK62">
            <v>42590</v>
          </cell>
          <cell r="AL62">
            <v>17800</v>
          </cell>
          <cell r="AM62">
            <v>19656</v>
          </cell>
          <cell r="AN62">
            <v>20581</v>
          </cell>
          <cell r="AO62">
            <v>58037</v>
          </cell>
          <cell r="AP62">
            <v>22597</v>
          </cell>
          <cell r="AQ62">
            <v>23806</v>
          </cell>
          <cell r="AR62">
            <v>23048</v>
          </cell>
          <cell r="AS62">
            <v>69451</v>
          </cell>
          <cell r="AT62">
            <v>22368</v>
          </cell>
          <cell r="AU62">
            <v>19207</v>
          </cell>
          <cell r="AV62">
            <v>19180</v>
          </cell>
          <cell r="AW62">
            <v>60755</v>
          </cell>
          <cell r="AX62">
            <v>18545</v>
          </cell>
          <cell r="AY62">
            <v>17870</v>
          </cell>
          <cell r="AZ62">
            <v>21176</v>
          </cell>
          <cell r="BA62">
            <v>57591</v>
          </cell>
          <cell r="BB62">
            <v>19647</v>
          </cell>
          <cell r="BC62">
            <v>20326</v>
          </cell>
          <cell r="BD62">
            <v>21936</v>
          </cell>
          <cell r="BE62">
            <v>61909</v>
          </cell>
          <cell r="BF62">
            <v>22188</v>
          </cell>
          <cell r="BG62">
            <v>22808</v>
          </cell>
          <cell r="BH62">
            <v>21658</v>
          </cell>
          <cell r="BI62">
            <v>66654</v>
          </cell>
        </row>
        <row r="63">
          <cell r="A63" t="str">
            <v xml:space="preserve">  % Change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0.47874970098078307</v>
          </cell>
          <cell r="AY63">
            <v>0.33109869646182499</v>
          </cell>
          <cell r="AZ63">
            <v>0.27382098171318581</v>
          </cell>
          <cell r="BA63">
            <v>0.35221883071143467</v>
          </cell>
          <cell r="BB63">
            <v>0.10376404494382019</v>
          </cell>
          <cell r="BC63">
            <v>3.4086284086284113E-2</v>
          </cell>
          <cell r="BD63">
            <v>6.5837422865749895E-2</v>
          </cell>
          <cell r="BE63">
            <v>6.6716060444199421E-2</v>
          </cell>
          <cell r="BF63">
            <v>-1.8099747754126705E-2</v>
          </cell>
          <cell r="BG63">
            <v>-4.1922204486263936E-2</v>
          </cell>
          <cell r="BH63">
            <v>-6.0308920513710507E-2</v>
          </cell>
          <cell r="BI63">
            <v>-4.0272998228967238E-2</v>
          </cell>
        </row>
        <row r="64">
          <cell r="A64" t="str">
            <v>Sales (IMS)</v>
          </cell>
          <cell r="AF64">
            <v>0.43321700000000002</v>
          </cell>
          <cell r="AG64">
            <v>0.43321700000000002</v>
          </cell>
          <cell r="AH64">
            <v>0.56814699999999996</v>
          </cell>
          <cell r="AI64">
            <v>0.49112699999999998</v>
          </cell>
          <cell r="AJ64">
            <v>0.58306400000000003</v>
          </cell>
          <cell r="AK64">
            <v>1.6423379999999999</v>
          </cell>
          <cell r="AL64">
            <v>0.476383</v>
          </cell>
          <cell r="AM64">
            <v>0.50083699999999998</v>
          </cell>
          <cell r="AN64">
            <v>0.65492700000000004</v>
          </cell>
          <cell r="AO64">
            <v>1.632147</v>
          </cell>
          <cell r="AP64">
            <v>0.56744499999999998</v>
          </cell>
          <cell r="AQ64">
            <v>0.58906000000000003</v>
          </cell>
          <cell r="AR64">
            <v>0.67564000000000002</v>
          </cell>
          <cell r="AS64">
            <v>1.8321450000000001</v>
          </cell>
          <cell r="AT64">
            <v>0.53279500000000002</v>
          </cell>
          <cell r="AU64">
            <v>0.50673400000000002</v>
          </cell>
          <cell r="AV64">
            <v>0.53015800000000002</v>
          </cell>
          <cell r="AW64">
            <v>1.5696870000000001</v>
          </cell>
          <cell r="AX64">
            <v>0.434062</v>
          </cell>
          <cell r="AY64">
            <v>0.44554700000000003</v>
          </cell>
          <cell r="AZ64">
            <v>0.59307299999999996</v>
          </cell>
          <cell r="BA64">
            <v>1.472682</v>
          </cell>
          <cell r="BB64">
            <v>0.44645099999999999</v>
          </cell>
          <cell r="BC64">
            <v>0.486952</v>
          </cell>
          <cell r="BD64">
            <v>0.59930600000000001</v>
          </cell>
          <cell r="BE64">
            <v>1.5327090000000001</v>
          </cell>
          <cell r="BF64">
            <v>0.50352399999999997</v>
          </cell>
          <cell r="BG64">
            <v>0.46331299999999997</v>
          </cell>
        </row>
        <row r="65">
          <cell r="A65" t="str">
            <v xml:space="preserve">  % Change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0.22377007365823598</v>
          </cell>
          <cell r="AW65">
            <v>2.6233273394165049</v>
          </cell>
          <cell r="AX65">
            <v>-0.23600406232893945</v>
          </cell>
          <cell r="AY65">
            <v>-9.2806952173266732E-2</v>
          </cell>
          <cell r="AZ65">
            <v>1.7166211599412673E-2</v>
          </cell>
          <cell r="BA65">
            <v>-0.10330151284327571</v>
          </cell>
          <cell r="BB65">
            <v>-6.2831797104430653E-2</v>
          </cell>
          <cell r="BC65">
            <v>-2.7723590709152868E-2</v>
          </cell>
          <cell r="BD65">
            <v>-8.4927022400969943E-2</v>
          </cell>
          <cell r="BE65">
            <v>-6.0924659359726685E-2</v>
          </cell>
          <cell r="BF65">
            <v>-0.11264704068235687</v>
          </cell>
          <cell r="BG65">
            <v>-0.21347061419889324</v>
          </cell>
        </row>
        <row r="67">
          <cell r="A67" t="str">
            <v>KETOCONAZOLE</v>
          </cell>
        </row>
        <row r="68">
          <cell r="A68" t="str">
            <v>TRx</v>
          </cell>
          <cell r="N68">
            <v>7347</v>
          </cell>
          <cell r="O68">
            <v>6711</v>
          </cell>
          <cell r="P68">
            <v>6212</v>
          </cell>
          <cell r="Q68">
            <v>20270</v>
          </cell>
          <cell r="R68">
            <v>6619</v>
          </cell>
          <cell r="S68">
            <v>6486</v>
          </cell>
          <cell r="T68">
            <v>7719</v>
          </cell>
          <cell r="U68">
            <v>20824</v>
          </cell>
          <cell r="V68">
            <v>8591</v>
          </cell>
          <cell r="W68">
            <v>9029</v>
          </cell>
          <cell r="X68">
            <v>9541</v>
          </cell>
          <cell r="Y68">
            <v>27161</v>
          </cell>
          <cell r="Z68">
            <v>9695</v>
          </cell>
          <cell r="AA68">
            <v>9873</v>
          </cell>
          <cell r="AB68">
            <v>9526</v>
          </cell>
          <cell r="AC68">
            <v>29094</v>
          </cell>
          <cell r="AD68">
            <v>9976</v>
          </cell>
          <cell r="AE68">
            <v>8745</v>
          </cell>
          <cell r="AF68">
            <v>8128</v>
          </cell>
          <cell r="AG68">
            <v>26849</v>
          </cell>
          <cell r="AH68">
            <v>8687</v>
          </cell>
          <cell r="AI68">
            <v>8015</v>
          </cell>
          <cell r="AJ68">
            <v>14276</v>
          </cell>
          <cell r="AK68">
            <v>30978</v>
          </cell>
          <cell r="AL68">
            <v>19394</v>
          </cell>
          <cell r="AM68">
            <v>26652</v>
          </cell>
          <cell r="AN68">
            <v>35390</v>
          </cell>
          <cell r="AO68">
            <v>81436</v>
          </cell>
          <cell r="AP68">
            <v>41151</v>
          </cell>
          <cell r="AQ68">
            <v>45677</v>
          </cell>
          <cell r="AR68">
            <v>47613</v>
          </cell>
          <cell r="AS68">
            <v>134441</v>
          </cell>
          <cell r="AT68">
            <v>51726</v>
          </cell>
          <cell r="AU68">
            <v>45902</v>
          </cell>
          <cell r="AV68">
            <v>46813</v>
          </cell>
          <cell r="AW68">
            <v>144441</v>
          </cell>
          <cell r="AX68">
            <v>47889</v>
          </cell>
          <cell r="AY68">
            <v>47337</v>
          </cell>
          <cell r="AZ68">
            <v>56275</v>
          </cell>
          <cell r="BA68">
            <v>151501</v>
          </cell>
          <cell r="BB68">
            <v>53154</v>
          </cell>
          <cell r="BC68">
            <v>54085</v>
          </cell>
          <cell r="BD68">
            <v>57768</v>
          </cell>
          <cell r="BE68">
            <v>165007</v>
          </cell>
          <cell r="BF68">
            <v>57047</v>
          </cell>
          <cell r="BG68">
            <v>57115</v>
          </cell>
          <cell r="BH68">
            <v>48415</v>
          </cell>
          <cell r="BI68">
            <v>162577</v>
          </cell>
        </row>
        <row r="69">
          <cell r="A69" t="str">
            <v xml:space="preserve">  % Change</v>
          </cell>
          <cell r="Q69">
            <v>0</v>
          </cell>
          <cell r="U69">
            <v>0</v>
          </cell>
          <cell r="Y69">
            <v>0</v>
          </cell>
          <cell r="AC69">
            <v>0</v>
          </cell>
          <cell r="AD69">
            <v>0.35783312916836807</v>
          </cell>
          <cell r="AE69">
            <v>0.30308448815377731</v>
          </cell>
          <cell r="AF69">
            <v>0.30843528654217645</v>
          </cell>
          <cell r="AG69">
            <v>0.32456832757770093</v>
          </cell>
          <cell r="AH69">
            <v>0.31243390240217561</v>
          </cell>
          <cell r="AI69">
            <v>0.23573851372186239</v>
          </cell>
          <cell r="AJ69">
            <v>0.84946236559139776</v>
          </cell>
          <cell r="AK69">
            <v>0.48761044948136756</v>
          </cell>
          <cell r="AL69">
            <v>1.2574787568385521</v>
          </cell>
          <cell r="AM69">
            <v>1.9518219071879499</v>
          </cell>
          <cell r="AN69">
            <v>2.709254795094854</v>
          </cell>
          <cell r="AO69">
            <v>1.9982695777033248</v>
          </cell>
          <cell r="AP69">
            <v>3.2445590510572462</v>
          </cell>
          <cell r="AQ69">
            <v>3.6264559910868028</v>
          </cell>
          <cell r="AR69">
            <v>3.9982154104555949</v>
          </cell>
          <cell r="AS69">
            <v>3.6209184024197425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2.941930512748669</v>
          </cell>
          <cell r="BA69">
            <v>3.8905997804893797</v>
          </cell>
          <cell r="BB69">
            <v>1.7407445601732494</v>
          </cell>
          <cell r="BC69">
            <v>1.0293036169893441</v>
          </cell>
          <cell r="BD69">
            <v>0.63232551568239614</v>
          </cell>
          <cell r="BE69">
            <v>1.0262169065278255</v>
          </cell>
          <cell r="BF69">
            <v>0.38628465893902941</v>
          </cell>
          <cell r="BG69">
            <v>0.25041049105676816</v>
          </cell>
          <cell r="BH69">
            <v>1.6844139205679065E-2</v>
          </cell>
          <cell r="BI69">
            <v>0.20928139481259445</v>
          </cell>
        </row>
        <row r="70">
          <cell r="A70" t="str">
            <v>NRx</v>
          </cell>
          <cell r="N70">
            <v>5449</v>
          </cell>
          <cell r="O70">
            <v>4758</v>
          </cell>
          <cell r="P70">
            <v>4380</v>
          </cell>
          <cell r="Q70">
            <v>14587</v>
          </cell>
          <cell r="R70">
            <v>4872</v>
          </cell>
          <cell r="S70">
            <v>4686</v>
          </cell>
          <cell r="T70">
            <v>5831</v>
          </cell>
          <cell r="U70">
            <v>15389</v>
          </cell>
          <cell r="V70">
            <v>6538</v>
          </cell>
          <cell r="W70">
            <v>6760</v>
          </cell>
          <cell r="X70">
            <v>7236</v>
          </cell>
          <cell r="Y70">
            <v>20534</v>
          </cell>
          <cell r="Z70">
            <v>7367</v>
          </cell>
          <cell r="AA70">
            <v>7533</v>
          </cell>
          <cell r="AB70">
            <v>7090</v>
          </cell>
          <cell r="AC70">
            <v>21990</v>
          </cell>
          <cell r="AD70">
            <v>7563</v>
          </cell>
          <cell r="AE70">
            <v>6508</v>
          </cell>
          <cell r="AF70">
            <v>5809</v>
          </cell>
          <cell r="AG70">
            <v>19880</v>
          </cell>
          <cell r="AH70">
            <v>6342</v>
          </cell>
          <cell r="AI70">
            <v>5935</v>
          </cell>
          <cell r="AJ70">
            <v>11236</v>
          </cell>
          <cell r="AK70">
            <v>23513</v>
          </cell>
          <cell r="AL70">
            <v>14516</v>
          </cell>
          <cell r="AM70">
            <v>20876</v>
          </cell>
          <cell r="AN70">
            <v>28210</v>
          </cell>
          <cell r="AO70">
            <v>63602</v>
          </cell>
          <cell r="AP70">
            <v>32594</v>
          </cell>
          <cell r="AQ70">
            <v>35605</v>
          </cell>
          <cell r="AR70">
            <v>36622</v>
          </cell>
          <cell r="AS70">
            <v>104821</v>
          </cell>
          <cell r="AT70">
            <v>39400</v>
          </cell>
          <cell r="AU70">
            <v>34513</v>
          </cell>
          <cell r="AV70">
            <v>34633</v>
          </cell>
          <cell r="AW70">
            <v>108546</v>
          </cell>
          <cell r="AX70">
            <v>35732</v>
          </cell>
          <cell r="AY70">
            <v>35477</v>
          </cell>
          <cell r="AZ70">
            <v>42743</v>
          </cell>
          <cell r="BA70">
            <v>113952</v>
          </cell>
          <cell r="BB70">
            <v>40145</v>
          </cell>
          <cell r="BC70">
            <v>41350</v>
          </cell>
          <cell r="BD70">
            <v>44355</v>
          </cell>
          <cell r="BE70">
            <v>125850</v>
          </cell>
          <cell r="BF70">
            <v>43434</v>
          </cell>
          <cell r="BG70">
            <v>43019</v>
          </cell>
          <cell r="BH70">
            <v>35761</v>
          </cell>
          <cell r="BI70">
            <v>122214</v>
          </cell>
        </row>
        <row r="71">
          <cell r="A71" t="str">
            <v xml:space="preserve">  % Change</v>
          </cell>
          <cell r="Q71">
            <v>0</v>
          </cell>
          <cell r="U71">
            <v>0</v>
          </cell>
          <cell r="Y71">
            <v>0</v>
          </cell>
          <cell r="AC71">
            <v>0</v>
          </cell>
          <cell r="AD71">
            <v>0.38796109377867505</v>
          </cell>
          <cell r="AE71">
            <v>0.36780159730979411</v>
          </cell>
          <cell r="AF71">
            <v>0.32625570776255697</v>
          </cell>
          <cell r="AG71">
            <v>0.36285733872626302</v>
          </cell>
          <cell r="AH71">
            <v>0.30172413793103448</v>
          </cell>
          <cell r="AI71">
            <v>0.26653862569355535</v>
          </cell>
          <cell r="AJ71">
            <v>0.92694220545361006</v>
          </cell>
          <cell r="AK71">
            <v>0.52790954577945293</v>
          </cell>
          <cell r="AL71">
            <v>1.2202508412358521</v>
          </cell>
          <cell r="AM71">
            <v>2.0881656804733728</v>
          </cell>
          <cell r="AN71">
            <v>2.898562741846324</v>
          </cell>
          <cell r="AO71">
            <v>2.0973994350832763</v>
          </cell>
          <cell r="AP71">
            <v>3.4243246911904439</v>
          </cell>
          <cell r="AQ71">
            <v>3.7265365724147088</v>
          </cell>
          <cell r="AR71">
            <v>4.1653032440056421</v>
          </cell>
          <cell r="AS71">
            <v>3.7667576170986816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2.8041117835528659</v>
          </cell>
          <cell r="BA71">
            <v>3.8463403223748562</v>
          </cell>
          <cell r="BB71">
            <v>1.7655690272802427</v>
          </cell>
          <cell r="BC71">
            <v>0.98074343744012271</v>
          </cell>
          <cell r="BD71">
            <v>0.57231478199220143</v>
          </cell>
          <cell r="BE71">
            <v>0.97871136127794722</v>
          </cell>
          <cell r="BF71">
            <v>0.33257654783088908</v>
          </cell>
          <cell r="BG71">
            <v>0.20822918129476187</v>
          </cell>
          <cell r="BH71">
            <v>-2.3510458194527906E-2</v>
          </cell>
          <cell r="BI71">
            <v>0.16593049102756119</v>
          </cell>
        </row>
        <row r="72">
          <cell r="A72" t="str">
            <v>Sales (IMS)</v>
          </cell>
          <cell r="N72">
            <v>0.106368</v>
          </cell>
          <cell r="O72">
            <v>7.9865000000000005E-2</v>
          </cell>
          <cell r="P72">
            <v>9.4805E-2</v>
          </cell>
          <cell r="Q72">
            <v>0.28103800000000001</v>
          </cell>
          <cell r="R72">
            <v>9.9710999999999994E-2</v>
          </cell>
          <cell r="S72">
            <v>0.101623</v>
          </cell>
          <cell r="T72">
            <v>0.116837</v>
          </cell>
          <cell r="U72">
            <v>0.31817099999999998</v>
          </cell>
          <cell r="V72">
            <v>0.102218</v>
          </cell>
          <cell r="W72">
            <v>9.6093999999999999E-2</v>
          </cell>
          <cell r="X72">
            <v>0.11908199999999999</v>
          </cell>
          <cell r="Y72">
            <v>0.31739399999999995</v>
          </cell>
          <cell r="Z72">
            <v>9.5795000000000005E-2</v>
          </cell>
          <cell r="AA72">
            <v>0.103696</v>
          </cell>
          <cell r="AB72">
            <v>0.135327</v>
          </cell>
          <cell r="AC72">
            <v>0.334818</v>
          </cell>
          <cell r="AD72">
            <v>0.103537</v>
          </cell>
          <cell r="AE72">
            <v>0.10459599999999999</v>
          </cell>
          <cell r="AF72">
            <v>0.104639</v>
          </cell>
          <cell r="AG72">
            <v>0.31277199999999999</v>
          </cell>
          <cell r="AH72">
            <v>0.101956</v>
          </cell>
          <cell r="AI72">
            <v>0.19240199999999999</v>
          </cell>
          <cell r="AJ72">
            <v>0.75167600000000001</v>
          </cell>
          <cell r="AK72">
            <v>1.0460340000000001</v>
          </cell>
          <cell r="AL72">
            <v>0.68934099999999998</v>
          </cell>
          <cell r="AM72">
            <v>0.82920700000000003</v>
          </cell>
          <cell r="AN72">
            <v>1.165761</v>
          </cell>
          <cell r="AO72">
            <v>2.6843089999999998</v>
          </cell>
          <cell r="AP72">
            <v>1.0033890000000001</v>
          </cell>
          <cell r="AQ72">
            <v>1.278942</v>
          </cell>
          <cell r="AR72">
            <v>1.5717000000000001</v>
          </cell>
          <cell r="AS72">
            <v>3.854031</v>
          </cell>
          <cell r="AT72">
            <v>1.259485</v>
          </cell>
          <cell r="AU72">
            <v>1.2804599999999999</v>
          </cell>
          <cell r="AV72">
            <v>1.4034260000000001</v>
          </cell>
          <cell r="AW72">
            <v>3.943371</v>
          </cell>
          <cell r="AX72">
            <v>1.163214</v>
          </cell>
          <cell r="AY72">
            <v>1.1786110000000001</v>
          </cell>
          <cell r="AZ72">
            <v>1.5660890000000001</v>
          </cell>
          <cell r="BA72">
            <v>3.9079139999999999</v>
          </cell>
          <cell r="BB72">
            <v>1.169197</v>
          </cell>
          <cell r="BC72">
            <v>1.2940419999999999</v>
          </cell>
          <cell r="BD72">
            <v>1.5607819999999999</v>
          </cell>
          <cell r="BE72">
            <v>4.0240209999999994</v>
          </cell>
          <cell r="BF72">
            <v>1.2563150000000001</v>
          </cell>
          <cell r="BG72">
            <v>1.1545019999999999</v>
          </cell>
        </row>
        <row r="73">
          <cell r="A73" t="str">
            <v xml:space="preserve">  % Change</v>
          </cell>
          <cell r="Q73">
            <v>0</v>
          </cell>
          <cell r="U73">
            <v>0</v>
          </cell>
          <cell r="Y73">
            <v>0</v>
          </cell>
          <cell r="AC73">
            <v>0</v>
          </cell>
          <cell r="AD73">
            <v>-2.6615147412755724E-2</v>
          </cell>
          <cell r="AE73">
            <v>0.30966005133663033</v>
          </cell>
          <cell r="AF73">
            <v>0.10372870629186215</v>
          </cell>
          <cell r="AG73">
            <v>0.11291711441157415</v>
          </cell>
          <cell r="AH73">
            <v>2.2515068548104145E-2</v>
          </cell>
          <cell r="AI73">
            <v>0.89329187290278766</v>
          </cell>
          <cell r="AJ73">
            <v>5.4335441683713208</v>
          </cell>
          <cell r="AK73">
            <v>2.2876472085765207</v>
          </cell>
          <cell r="AL73">
            <v>5.7438318104443438</v>
          </cell>
          <cell r="AM73">
            <v>7.6291235665077952</v>
          </cell>
          <cell r="AN73">
            <v>8.7895651735778717</v>
          </cell>
          <cell r="AO73">
            <v>0</v>
          </cell>
          <cell r="AP73">
            <v>9.4743358212850364</v>
          </cell>
          <cell r="AQ73">
            <v>11.333571208146891</v>
          </cell>
          <cell r="AR73">
            <v>10.614090314571373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1.0834628217476681</v>
          </cell>
          <cell r="BA73">
            <v>2.7359340136171477</v>
          </cell>
          <cell r="BB73">
            <v>0.6961083121415963</v>
          </cell>
          <cell r="BC73">
            <v>0.56057775682067312</v>
          </cell>
          <cell r="BD73">
            <v>0.33885247490694903</v>
          </cell>
          <cell r="BE73">
            <v>0.49909008240109443</v>
          </cell>
          <cell r="BF73">
            <v>0.25207172891072149</v>
          </cell>
          <cell r="BG73">
            <v>-9.7299173848384157E-2</v>
          </cell>
        </row>
        <row r="75">
          <cell r="A75" t="str">
            <v>TERCONAZOLE</v>
          </cell>
        </row>
        <row r="76">
          <cell r="A76" t="str">
            <v>TRx</v>
          </cell>
          <cell r="BB76">
            <v>13341</v>
          </cell>
          <cell r="BC76">
            <v>30870</v>
          </cell>
          <cell r="BD76">
            <v>36393</v>
          </cell>
          <cell r="BE76">
            <v>80604</v>
          </cell>
          <cell r="BF76">
            <v>38910</v>
          </cell>
          <cell r="BG76">
            <v>41627</v>
          </cell>
          <cell r="BH76">
            <v>41174</v>
          </cell>
          <cell r="BI76">
            <v>121711</v>
          </cell>
        </row>
        <row r="77">
          <cell r="A77" t="str">
            <v>NRx</v>
          </cell>
          <cell r="BB77">
            <v>12696</v>
          </cell>
          <cell r="BC77">
            <v>28384</v>
          </cell>
          <cell r="BD77">
            <v>33026</v>
          </cell>
          <cell r="BE77">
            <v>74106</v>
          </cell>
          <cell r="BF77">
            <v>35144</v>
          </cell>
          <cell r="BG77">
            <v>37211</v>
          </cell>
          <cell r="BH77">
            <v>36793</v>
          </cell>
          <cell r="BI77">
            <v>109148</v>
          </cell>
        </row>
        <row r="78">
          <cell r="A78" t="str">
            <v>Sales (IMS)</v>
          </cell>
          <cell r="BB78">
            <v>0.92540199999999995</v>
          </cell>
          <cell r="BC78">
            <v>0.38436599999999999</v>
          </cell>
          <cell r="BD78">
            <v>0.76663400000000004</v>
          </cell>
          <cell r="BE78">
            <v>2.0764019999999999</v>
          </cell>
          <cell r="BF78">
            <v>0.74703799999999998</v>
          </cell>
          <cell r="BG78">
            <v>0.80591900000000005</v>
          </cell>
        </row>
        <row r="79">
          <cell r="A79" t="str">
            <v>Product</v>
          </cell>
          <cell r="B79">
            <v>36892</v>
          </cell>
          <cell r="C79">
            <v>36923</v>
          </cell>
          <cell r="D79">
            <v>36951</v>
          </cell>
          <cell r="E79" t="str">
            <v>Q1:01</v>
          </cell>
          <cell r="F79">
            <v>36982</v>
          </cell>
          <cell r="G79">
            <v>37012</v>
          </cell>
          <cell r="H79">
            <v>37043</v>
          </cell>
          <cell r="I79" t="str">
            <v>Q2:01</v>
          </cell>
          <cell r="J79">
            <v>37073</v>
          </cell>
          <cell r="K79">
            <v>37104</v>
          </cell>
          <cell r="L79">
            <v>37135</v>
          </cell>
          <cell r="M79" t="str">
            <v>Q3:01</v>
          </cell>
          <cell r="N79">
            <v>37165</v>
          </cell>
          <cell r="O79">
            <v>37196</v>
          </cell>
          <cell r="P79">
            <v>37226</v>
          </cell>
          <cell r="Q79" t="str">
            <v>Q4:01</v>
          </cell>
          <cell r="R79">
            <v>37257</v>
          </cell>
          <cell r="S79">
            <v>37288</v>
          </cell>
          <cell r="T79">
            <v>37316</v>
          </cell>
          <cell r="U79" t="str">
            <v>Q1:02</v>
          </cell>
          <cell r="V79">
            <v>37347</v>
          </cell>
          <cell r="W79">
            <v>37377</v>
          </cell>
          <cell r="X79">
            <v>37408</v>
          </cell>
          <cell r="Y79" t="str">
            <v>Q2:02</v>
          </cell>
          <cell r="Z79">
            <v>37438</v>
          </cell>
          <cell r="AA79">
            <v>37469</v>
          </cell>
          <cell r="AB79">
            <v>37500</v>
          </cell>
          <cell r="AC79" t="str">
            <v>Q3:02</v>
          </cell>
          <cell r="AD79">
            <v>37530</v>
          </cell>
          <cell r="AE79">
            <v>37561</v>
          </cell>
          <cell r="AF79">
            <v>37591</v>
          </cell>
          <cell r="AG79" t="str">
            <v>Q4:02</v>
          </cell>
          <cell r="AH79">
            <v>37622</v>
          </cell>
          <cell r="AI79">
            <v>37653</v>
          </cell>
          <cell r="AJ79">
            <v>37681</v>
          </cell>
          <cell r="AK79" t="str">
            <v>Q1:03</v>
          </cell>
          <cell r="AL79" t="str">
            <v>Apr-03</v>
          </cell>
          <cell r="AM79">
            <v>37744</v>
          </cell>
          <cell r="AN79">
            <v>37775</v>
          </cell>
          <cell r="AO79" t="str">
            <v>Q2:03</v>
          </cell>
          <cell r="AP79">
            <v>37805</v>
          </cell>
          <cell r="AQ79">
            <v>37836</v>
          </cell>
          <cell r="AR79">
            <v>37867</v>
          </cell>
          <cell r="AS79" t="str">
            <v>Q3:03</v>
          </cell>
          <cell r="AT79">
            <v>37897</v>
          </cell>
          <cell r="AU79">
            <v>37928</v>
          </cell>
          <cell r="AV79">
            <v>37958</v>
          </cell>
          <cell r="AW79" t="str">
            <v>Q4:03</v>
          </cell>
          <cell r="AX79">
            <v>37987</v>
          </cell>
          <cell r="AY79">
            <v>38018</v>
          </cell>
          <cell r="AZ79">
            <v>38047</v>
          </cell>
          <cell r="BA79" t="str">
            <v>Q1:04</v>
          </cell>
          <cell r="BB79">
            <v>38078</v>
          </cell>
          <cell r="BC79">
            <v>38108</v>
          </cell>
          <cell r="BD79">
            <v>38139</v>
          </cell>
          <cell r="BE79" t="str">
            <v>Q2:04</v>
          </cell>
          <cell r="BF79">
            <v>38169</v>
          </cell>
          <cell r="BG79">
            <v>38200</v>
          </cell>
          <cell r="BH79">
            <v>38231</v>
          </cell>
          <cell r="BI79" t="str">
            <v>Q3:04E</v>
          </cell>
        </row>
        <row r="80">
          <cell r="A80" t="str">
            <v>ETODOLAC</v>
          </cell>
        </row>
        <row r="81">
          <cell r="A81" t="str">
            <v>TRx</v>
          </cell>
          <cell r="B81">
            <v>146</v>
          </cell>
          <cell r="C81">
            <v>201</v>
          </cell>
          <cell r="D81">
            <v>701</v>
          </cell>
          <cell r="E81">
            <v>1048</v>
          </cell>
          <cell r="F81">
            <v>834</v>
          </cell>
          <cell r="G81">
            <v>592</v>
          </cell>
          <cell r="H81">
            <v>559</v>
          </cell>
          <cell r="I81">
            <v>1985</v>
          </cell>
          <cell r="J81">
            <v>566</v>
          </cell>
          <cell r="K81">
            <v>1721</v>
          </cell>
          <cell r="L81">
            <v>7393</v>
          </cell>
          <cell r="M81">
            <v>9680</v>
          </cell>
          <cell r="N81">
            <v>12886</v>
          </cell>
          <cell r="O81">
            <v>13492</v>
          </cell>
          <cell r="P81">
            <v>14193</v>
          </cell>
          <cell r="Q81">
            <v>40571</v>
          </cell>
          <cell r="R81">
            <v>15723</v>
          </cell>
          <cell r="S81">
            <v>14369</v>
          </cell>
          <cell r="T81">
            <v>15111</v>
          </cell>
          <cell r="U81">
            <v>45203</v>
          </cell>
          <cell r="V81">
            <v>16554</v>
          </cell>
          <cell r="W81">
            <v>17643</v>
          </cell>
          <cell r="X81">
            <v>17344</v>
          </cell>
          <cell r="Y81">
            <v>51541</v>
          </cell>
          <cell r="Z81">
            <v>19854</v>
          </cell>
          <cell r="AA81">
            <v>21239</v>
          </cell>
          <cell r="AB81">
            <v>20632</v>
          </cell>
          <cell r="AC81">
            <v>61725</v>
          </cell>
          <cell r="AD81">
            <v>23170</v>
          </cell>
          <cell r="AE81">
            <v>21775</v>
          </cell>
          <cell r="AF81">
            <v>22709</v>
          </cell>
          <cell r="AG81">
            <v>67654</v>
          </cell>
          <cell r="AH81">
            <v>24675</v>
          </cell>
          <cell r="AI81">
            <v>23470</v>
          </cell>
          <cell r="AJ81">
            <v>27836</v>
          </cell>
          <cell r="AK81">
            <v>75981</v>
          </cell>
          <cell r="AL81">
            <v>29570</v>
          </cell>
          <cell r="AM81">
            <v>31367</v>
          </cell>
          <cell r="AN81">
            <v>32255</v>
          </cell>
          <cell r="AO81">
            <v>93192</v>
          </cell>
          <cell r="AP81">
            <v>35246</v>
          </cell>
          <cell r="AQ81">
            <v>35727</v>
          </cell>
          <cell r="AR81">
            <v>36772</v>
          </cell>
          <cell r="AS81">
            <v>107745</v>
          </cell>
          <cell r="AT81">
            <v>40191</v>
          </cell>
          <cell r="AU81">
            <v>37818</v>
          </cell>
          <cell r="AV81">
            <v>41145</v>
          </cell>
          <cell r="AW81">
            <v>119154</v>
          </cell>
          <cell r="AX81">
            <v>42671</v>
          </cell>
          <cell r="AY81">
            <v>40741</v>
          </cell>
          <cell r="AZ81">
            <v>46633</v>
          </cell>
          <cell r="BA81">
            <v>130045</v>
          </cell>
          <cell r="BB81">
            <v>45479</v>
          </cell>
          <cell r="BC81">
            <v>45645</v>
          </cell>
          <cell r="BD81">
            <v>48416</v>
          </cell>
          <cell r="BE81">
            <v>139540</v>
          </cell>
          <cell r="BF81">
            <v>48726</v>
          </cell>
          <cell r="BG81">
            <v>50728</v>
          </cell>
          <cell r="BH81">
            <v>50404</v>
          </cell>
          <cell r="BI81">
            <v>149858</v>
          </cell>
        </row>
        <row r="82">
          <cell r="A82" t="str">
            <v xml:space="preserve">  % Change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106.6917808219178</v>
          </cell>
          <cell r="S82">
            <v>70.487562189054728</v>
          </cell>
          <cell r="T82">
            <v>20.556348074179745</v>
          </cell>
          <cell r="U82">
            <v>42.132633587786259</v>
          </cell>
          <cell r="V82">
            <v>18.848920863309353</v>
          </cell>
          <cell r="W82">
            <v>28.802364864864863</v>
          </cell>
          <cell r="X82">
            <v>30.026833631484795</v>
          </cell>
          <cell r="Y82">
            <v>24.965239294710326</v>
          </cell>
          <cell r="Z82">
            <v>34.077738515901061</v>
          </cell>
          <cell r="AA82">
            <v>11.341080766995933</v>
          </cell>
          <cell r="AB82">
            <v>1.7907480048694713</v>
          </cell>
          <cell r="AC82">
            <v>5.3765495867768598</v>
          </cell>
          <cell r="AD82">
            <v>0.79807543069998443</v>
          </cell>
          <cell r="AE82">
            <v>0.61391935962051591</v>
          </cell>
          <cell r="AF82">
            <v>0.60001409145353346</v>
          </cell>
          <cell r="AG82">
            <v>0.66754578393433728</v>
          </cell>
          <cell r="AH82">
            <v>0.56935699294027864</v>
          </cell>
          <cell r="AI82">
            <v>0.63337740970144063</v>
          </cell>
          <cell r="AJ82">
            <v>0.84210178016014825</v>
          </cell>
          <cell r="AK82">
            <v>0.68088401212308924</v>
          </cell>
          <cell r="AL82">
            <v>0.7862752204905159</v>
          </cell>
          <cell r="AM82">
            <v>0.77787224394944166</v>
          </cell>
          <cell r="AN82">
            <v>0.85972094095940954</v>
          </cell>
          <cell r="AO82">
            <v>0.80811392871694387</v>
          </cell>
          <cell r="AP82">
            <v>0.7752593935730836</v>
          </cell>
          <cell r="AQ82">
            <v>0.68214134375441415</v>
          </cell>
          <cell r="AR82">
            <v>0.7822799534703373</v>
          </cell>
          <cell r="AS82">
            <v>0.74556500607533405</v>
          </cell>
          <cell r="AT82">
            <v>0.73461372464393615</v>
          </cell>
          <cell r="AU82">
            <v>0.73676234213547653</v>
          </cell>
          <cell r="AV82">
            <v>0.81183671672024316</v>
          </cell>
          <cell r="AW82">
            <v>0.76122623939456657</v>
          </cell>
          <cell r="AX82">
            <v>0.72932117527862217</v>
          </cell>
          <cell r="AY82">
            <v>0.73587558585428203</v>
          </cell>
          <cell r="AZ82">
            <v>0.67527662020405232</v>
          </cell>
          <cell r="BA82">
            <v>0.71154630762953897</v>
          </cell>
          <cell r="BB82">
            <v>0.53801149814000682</v>
          </cell>
          <cell r="BC82">
            <v>0.45519176204291134</v>
          </cell>
          <cell r="BD82">
            <v>0.50103859866687328</v>
          </cell>
          <cell r="BE82">
            <v>0.49733882736715596</v>
          </cell>
          <cell r="BF82">
            <v>0.38245474663791645</v>
          </cell>
          <cell r="BG82">
            <v>0.4198785232457245</v>
          </cell>
          <cell r="BH82">
            <v>0.37071684977700414</v>
          </cell>
          <cell r="BI82">
            <v>0.39085804445681926</v>
          </cell>
        </row>
        <row r="83">
          <cell r="A83" t="str">
            <v>NRx</v>
          </cell>
          <cell r="B83">
            <v>86</v>
          </cell>
          <cell r="C83">
            <v>120</v>
          </cell>
          <cell r="D83">
            <v>404</v>
          </cell>
          <cell r="E83">
            <v>610</v>
          </cell>
          <cell r="F83">
            <v>366</v>
          </cell>
          <cell r="G83">
            <v>184</v>
          </cell>
          <cell r="H83">
            <v>169</v>
          </cell>
          <cell r="I83">
            <v>719</v>
          </cell>
          <cell r="J83">
            <v>204</v>
          </cell>
          <cell r="K83">
            <v>895</v>
          </cell>
          <cell r="L83">
            <v>4865</v>
          </cell>
          <cell r="M83">
            <v>5964</v>
          </cell>
          <cell r="N83">
            <v>8674</v>
          </cell>
          <cell r="O83">
            <v>8741</v>
          </cell>
          <cell r="P83">
            <v>8808</v>
          </cell>
          <cell r="Q83">
            <v>26223</v>
          </cell>
          <cell r="R83">
            <v>10357</v>
          </cell>
          <cell r="S83">
            <v>9471</v>
          </cell>
          <cell r="T83">
            <v>9671</v>
          </cell>
          <cell r="U83">
            <v>29499</v>
          </cell>
          <cell r="V83">
            <v>10605</v>
          </cell>
          <cell r="W83">
            <v>10894</v>
          </cell>
          <cell r="X83">
            <v>10881</v>
          </cell>
          <cell r="Y83">
            <v>32380</v>
          </cell>
          <cell r="Z83">
            <v>12168</v>
          </cell>
          <cell r="AA83">
            <v>13264</v>
          </cell>
          <cell r="AB83">
            <v>12771</v>
          </cell>
          <cell r="AC83">
            <v>38203</v>
          </cell>
          <cell r="AD83">
            <v>14296</v>
          </cell>
          <cell r="AE83">
            <v>12935</v>
          </cell>
          <cell r="AF83">
            <v>13046</v>
          </cell>
          <cell r="AG83">
            <v>40277</v>
          </cell>
          <cell r="AH83">
            <v>15752</v>
          </cell>
          <cell r="AI83">
            <v>14818</v>
          </cell>
          <cell r="AJ83">
            <v>17671</v>
          </cell>
          <cell r="AK83">
            <v>48241</v>
          </cell>
          <cell r="AL83">
            <v>18561</v>
          </cell>
          <cell r="AM83">
            <v>19613</v>
          </cell>
          <cell r="AN83">
            <v>19628</v>
          </cell>
          <cell r="AO83">
            <v>57802</v>
          </cell>
          <cell r="AP83">
            <v>21495</v>
          </cell>
          <cell r="AQ83">
            <v>21728</v>
          </cell>
          <cell r="AR83">
            <v>22433</v>
          </cell>
          <cell r="AS83">
            <v>65656</v>
          </cell>
          <cell r="AT83">
            <v>24688</v>
          </cell>
          <cell r="AU83">
            <v>22349</v>
          </cell>
          <cell r="AV83">
            <v>23711</v>
          </cell>
          <cell r="AW83">
            <v>70748</v>
          </cell>
          <cell r="AX83">
            <v>25597</v>
          </cell>
          <cell r="AY83">
            <v>24492</v>
          </cell>
          <cell r="AZ83">
            <v>28078</v>
          </cell>
          <cell r="BA83">
            <v>78167</v>
          </cell>
          <cell r="BB83">
            <v>27329</v>
          </cell>
          <cell r="BC83">
            <v>27132</v>
          </cell>
          <cell r="BD83">
            <v>29036</v>
          </cell>
          <cell r="BE83">
            <v>83497</v>
          </cell>
          <cell r="BF83">
            <v>29097</v>
          </cell>
          <cell r="BG83">
            <v>30298</v>
          </cell>
          <cell r="BH83">
            <v>30328</v>
          </cell>
          <cell r="BI83">
            <v>89723</v>
          </cell>
        </row>
        <row r="84">
          <cell r="A84" t="str">
            <v xml:space="preserve">  % Change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119.43023255813954</v>
          </cell>
          <cell r="S84">
            <v>77.924999999999997</v>
          </cell>
          <cell r="T84">
            <v>22.938118811881189</v>
          </cell>
          <cell r="U84">
            <v>47.359016393442623</v>
          </cell>
          <cell r="V84">
            <v>27.975409836065573</v>
          </cell>
          <cell r="W84">
            <v>58.206521739130437</v>
          </cell>
          <cell r="X84">
            <v>63.384615384615387</v>
          </cell>
          <cell r="Y84">
            <v>44.034770514603615</v>
          </cell>
          <cell r="Z84">
            <v>58.647058823529413</v>
          </cell>
          <cell r="AA84">
            <v>13.820111731843575</v>
          </cell>
          <cell r="AB84">
            <v>1.6250770811921891</v>
          </cell>
          <cell r="AC84">
            <v>5.4056002682763244</v>
          </cell>
          <cell r="AD84">
            <v>0.6481438782568596</v>
          </cell>
          <cell r="AE84">
            <v>0.47980780231094844</v>
          </cell>
          <cell r="AF84">
            <v>0.48115349682107178</v>
          </cell>
          <cell r="AG84">
            <v>0.53594173054189076</v>
          </cell>
          <cell r="AH84">
            <v>0.52090373660326339</v>
          </cell>
          <cell r="AI84">
            <v>0.564565515785028</v>
          </cell>
          <cell r="AJ84">
            <v>0.82721538620618351</v>
          </cell>
          <cell r="AK84">
            <v>0.63534357096850735</v>
          </cell>
          <cell r="AL84">
            <v>0.75021216407355018</v>
          </cell>
          <cell r="AM84">
            <v>0.80034881586194229</v>
          </cell>
          <cell r="AN84">
            <v>0.80387832000735227</v>
          </cell>
          <cell r="AO84">
            <v>0.78511426806670781</v>
          </cell>
          <cell r="AP84">
            <v>0.76651873767258372</v>
          </cell>
          <cell r="AQ84">
            <v>0.63811821471652586</v>
          </cell>
          <cell r="AR84">
            <v>0.75655782632526813</v>
          </cell>
          <cell r="AS84">
            <v>0.71860848624453566</v>
          </cell>
          <cell r="AT84">
            <v>0.72691662003357593</v>
          </cell>
          <cell r="AU84">
            <v>0.72779281020487052</v>
          </cell>
          <cell r="AV84">
            <v>0.8174919515560326</v>
          </cell>
          <cell r="AW84">
            <v>0.75653598828115309</v>
          </cell>
          <cell r="AX84">
            <v>0.625</v>
          </cell>
          <cell r="AY84">
            <v>0.6528546362532055</v>
          </cell>
          <cell r="AZ84">
            <v>0.58893101692037808</v>
          </cell>
          <cell r="BA84">
            <v>0.62034369105118059</v>
          </cell>
          <cell r="BB84">
            <v>0.47238834114541239</v>
          </cell>
          <cell r="BC84">
            <v>0.38336817417019331</v>
          </cell>
          <cell r="BD84">
            <v>0.47931526390870194</v>
          </cell>
          <cell r="BE84">
            <v>0.4445347911836961</v>
          </cell>
          <cell r="BF84">
            <v>0.35366364270760653</v>
          </cell>
          <cell r="BG84">
            <v>0.39442194403534603</v>
          </cell>
          <cell r="BH84">
            <v>0.35193687870547863</v>
          </cell>
          <cell r="BI84">
            <v>0.3665620811502377</v>
          </cell>
        </row>
        <row r="85">
          <cell r="A85" t="str">
            <v>Sales (IMS)</v>
          </cell>
          <cell r="B85">
            <v>2.8788999999999999E-2</v>
          </cell>
          <cell r="C85">
            <v>2.9173999999999999E-2</v>
          </cell>
          <cell r="D85">
            <v>3.2411000000000002E-2</v>
          </cell>
          <cell r="E85">
            <v>9.037400000000001E-2</v>
          </cell>
          <cell r="F85">
            <v>3.0307000000000001E-2</v>
          </cell>
          <cell r="G85">
            <v>3.5865000000000001E-2</v>
          </cell>
          <cell r="H85">
            <v>0.25959900000000002</v>
          </cell>
          <cell r="I85">
            <v>0.32577100000000003</v>
          </cell>
          <cell r="J85">
            <v>0.30216599999999999</v>
          </cell>
          <cell r="K85">
            <v>0.97420799999999996</v>
          </cell>
          <cell r="L85">
            <v>1.8128280000000001</v>
          </cell>
          <cell r="M85">
            <v>3.0892020000000002</v>
          </cell>
          <cell r="N85">
            <v>1.3320890000000001</v>
          </cell>
          <cell r="O85">
            <v>1.9862390000000001</v>
          </cell>
          <cell r="P85">
            <v>1.9697089999999999</v>
          </cell>
          <cell r="Q85">
            <v>5.2880370000000001</v>
          </cell>
          <cell r="R85">
            <v>1.7777719999999999</v>
          </cell>
          <cell r="S85">
            <v>1.119159</v>
          </cell>
          <cell r="T85">
            <v>2.4980169999999999</v>
          </cell>
          <cell r="U85">
            <v>5.3949479999999994</v>
          </cell>
          <cell r="V85">
            <v>1.82443</v>
          </cell>
          <cell r="W85">
            <v>1.8058590000000001</v>
          </cell>
          <cell r="X85">
            <v>2.4757189999999998</v>
          </cell>
          <cell r="Y85">
            <v>6.1060080000000001</v>
          </cell>
          <cell r="Z85">
            <v>1.9891049999999999</v>
          </cell>
          <cell r="AA85">
            <v>2.0715110000000001</v>
          </cell>
          <cell r="AB85">
            <v>3.0211060000000001</v>
          </cell>
          <cell r="AC85">
            <v>7.0817219999999992</v>
          </cell>
          <cell r="AD85">
            <v>2.327426</v>
          </cell>
          <cell r="AE85">
            <v>1.875483</v>
          </cell>
          <cell r="AF85">
            <v>3.3813460000000002</v>
          </cell>
          <cell r="AG85">
            <v>7.5842550000000006</v>
          </cell>
          <cell r="AH85">
            <v>2.8754970000000002</v>
          </cell>
          <cell r="AI85">
            <v>2.5330889999999999</v>
          </cell>
          <cell r="AJ85">
            <v>4.0947820000000004</v>
          </cell>
          <cell r="AK85">
            <v>9.503368</v>
          </cell>
          <cell r="AL85">
            <v>1.138279</v>
          </cell>
          <cell r="AM85">
            <v>1.1138239999999999</v>
          </cell>
          <cell r="AN85">
            <v>1.5164470000000001</v>
          </cell>
          <cell r="AO85">
            <v>3.7685500000000003</v>
          </cell>
          <cell r="AP85">
            <v>1.124539</v>
          </cell>
          <cell r="AQ85">
            <v>1.245241</v>
          </cell>
          <cell r="AR85">
            <v>1.6414329999999999</v>
          </cell>
          <cell r="AS85">
            <v>4.0112129999999997</v>
          </cell>
          <cell r="AT85">
            <v>1.2894049999999999</v>
          </cell>
          <cell r="AU85">
            <v>1.2818750000000001</v>
          </cell>
          <cell r="AV85">
            <v>1.625086</v>
          </cell>
          <cell r="AW85">
            <v>4.1963659999999994</v>
          </cell>
          <cell r="AX85">
            <v>1.400663</v>
          </cell>
          <cell r="AY85">
            <v>1.485463</v>
          </cell>
          <cell r="AZ85">
            <v>1.832471</v>
          </cell>
          <cell r="BA85">
            <v>4.7185969999999999</v>
          </cell>
          <cell r="BB85">
            <v>1.417843</v>
          </cell>
          <cell r="BC85">
            <v>1.574384</v>
          </cell>
          <cell r="BD85">
            <v>1.707662</v>
          </cell>
          <cell r="BE85">
            <v>4.6998889999999998</v>
          </cell>
          <cell r="BF85">
            <v>1.5324450000000001</v>
          </cell>
          <cell r="BG85">
            <v>1.5458860000000001</v>
          </cell>
        </row>
        <row r="86">
          <cell r="A86" t="str">
            <v xml:space="preserve">  % Change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58.695797463872339</v>
          </cell>
          <cell r="V86">
            <v>0</v>
          </cell>
          <cell r="W86">
            <v>0</v>
          </cell>
          <cell r="X86">
            <v>8.5367046868439385</v>
          </cell>
          <cell r="Y86">
            <v>17.743252161794633</v>
          </cell>
          <cell r="Z86">
            <v>5.582822024979647</v>
          </cell>
          <cell r="AA86">
            <v>1.1263539203127055</v>
          </cell>
          <cell r="AB86">
            <v>0.66651552160491767</v>
          </cell>
          <cell r="AC86">
            <v>1.2924114382937724</v>
          </cell>
          <cell r="AD86">
            <v>0.74720007446949865</v>
          </cell>
          <cell r="AE86">
            <v>-5.5761668157759514E-2</v>
          </cell>
          <cell r="AF86">
            <v>0.71667286893647764</v>
          </cell>
          <cell r="AG86">
            <v>0.43422880740055336</v>
          </cell>
          <cell r="AH86">
            <v>0.61747231928503776</v>
          </cell>
          <cell r="AI86">
            <v>1.2633861676491005</v>
          </cell>
          <cell r="AJ86">
            <v>0.63921302377045497</v>
          </cell>
          <cell r="AK86">
            <v>0.76153097305108419</v>
          </cell>
          <cell r="AL86">
            <v>-0.37609061460291704</v>
          </cell>
          <cell r="AM86">
            <v>-0.38321651911915611</v>
          </cell>
          <cell r="AN86">
            <v>-0.38747208386735321</v>
          </cell>
          <cell r="AO86">
            <v>-0.38281279683878566</v>
          </cell>
          <cell r="AP86">
            <v>-0.43465076001518266</v>
          </cell>
          <cell r="AQ86">
            <v>-0.39887309311898422</v>
          </cell>
          <cell r="AR86">
            <v>-0.45667811721932305</v>
          </cell>
          <cell r="AS86">
            <v>-0.43358225584116405</v>
          </cell>
          <cell r="AT86">
            <v>-0.44599527546740481</v>
          </cell>
          <cell r="AU86">
            <v>-0.31650940051176146</v>
          </cell>
          <cell r="AV86">
            <v>-0.51939671361641193</v>
          </cell>
          <cell r="AW86">
            <v>-0.44670030213910283</v>
          </cell>
          <cell r="AX86">
            <v>-0.51289707483610658</v>
          </cell>
          <cell r="AY86">
            <v>-0.41357646730928121</v>
          </cell>
          <cell r="AZ86">
            <v>-0.55248631062654874</v>
          </cell>
          <cell r="BA86">
            <v>-0.50348160778368256</v>
          </cell>
          <cell r="BB86">
            <v>0.24560235232311234</v>
          </cell>
          <cell r="BC86">
            <v>0.41349441204355464</v>
          </cell>
          <cell r="BD86">
            <v>0.12609408703370439</v>
          </cell>
          <cell r="BE86">
            <v>0.24713457430576735</v>
          </cell>
          <cell r="BF86">
            <v>0.36273175052176954</v>
          </cell>
          <cell r="BG86">
            <v>0.24143519206322317</v>
          </cell>
        </row>
        <row r="88">
          <cell r="A88" t="str">
            <v>CARBAMAZEPINE</v>
          </cell>
        </row>
        <row r="89">
          <cell r="A89" t="str">
            <v>TRx</v>
          </cell>
          <cell r="N89">
            <v>69080</v>
          </cell>
          <cell r="O89">
            <v>68525</v>
          </cell>
          <cell r="P89">
            <v>75876</v>
          </cell>
          <cell r="Q89">
            <v>213481</v>
          </cell>
          <cell r="R89">
            <v>87015</v>
          </cell>
          <cell r="S89">
            <v>80725</v>
          </cell>
          <cell r="T89">
            <v>87298</v>
          </cell>
          <cell r="U89">
            <v>255038</v>
          </cell>
          <cell r="V89">
            <v>91440</v>
          </cell>
          <cell r="W89">
            <v>96108</v>
          </cell>
          <cell r="X89">
            <v>92860</v>
          </cell>
          <cell r="Y89">
            <v>280408</v>
          </cell>
          <cell r="Z89">
            <v>100364</v>
          </cell>
          <cell r="AA89">
            <v>99264</v>
          </cell>
          <cell r="AB89">
            <v>95910</v>
          </cell>
          <cell r="AC89">
            <v>295538</v>
          </cell>
          <cell r="AD89">
            <v>102622</v>
          </cell>
          <cell r="AE89">
            <v>99126</v>
          </cell>
          <cell r="AF89">
            <v>104058</v>
          </cell>
          <cell r="AG89">
            <v>305806</v>
          </cell>
          <cell r="AH89">
            <v>104264</v>
          </cell>
          <cell r="AI89">
            <v>95361</v>
          </cell>
          <cell r="AJ89">
            <v>104696</v>
          </cell>
          <cell r="AK89">
            <v>304321</v>
          </cell>
          <cell r="AL89">
            <v>104408</v>
          </cell>
          <cell r="AM89">
            <v>108477</v>
          </cell>
          <cell r="AN89">
            <v>106257</v>
          </cell>
          <cell r="AO89">
            <v>319142</v>
          </cell>
          <cell r="AP89">
            <v>109269</v>
          </cell>
          <cell r="AQ89">
            <v>106451</v>
          </cell>
          <cell r="AR89">
            <v>106513</v>
          </cell>
          <cell r="AS89">
            <v>322233</v>
          </cell>
          <cell r="AT89">
            <v>112989</v>
          </cell>
          <cell r="AU89">
            <v>107132</v>
          </cell>
          <cell r="AV89">
            <v>121703</v>
          </cell>
          <cell r="AW89">
            <v>341824</v>
          </cell>
          <cell r="AX89">
            <v>116876</v>
          </cell>
          <cell r="AY89">
            <v>109281</v>
          </cell>
          <cell r="AZ89">
            <v>120254</v>
          </cell>
          <cell r="BA89">
            <v>346411</v>
          </cell>
          <cell r="BB89">
            <v>113058</v>
          </cell>
          <cell r="BC89">
            <v>111206</v>
          </cell>
          <cell r="BD89">
            <v>116033</v>
          </cell>
          <cell r="BE89">
            <v>340297</v>
          </cell>
          <cell r="BF89">
            <v>116772</v>
          </cell>
          <cell r="BG89">
            <v>118599</v>
          </cell>
          <cell r="BH89">
            <v>115834</v>
          </cell>
          <cell r="BI89">
            <v>351205</v>
          </cell>
        </row>
        <row r="90">
          <cell r="A90" t="str">
            <v xml:space="preserve">  % Change</v>
          </cell>
          <cell r="AD90">
            <v>0.48555298204979724</v>
          </cell>
          <cell r="AE90">
            <v>0.44656694636993799</v>
          </cell>
          <cell r="AF90">
            <v>0.37142179345247506</v>
          </cell>
          <cell r="AG90">
            <v>0.43247408434474255</v>
          </cell>
          <cell r="AH90">
            <v>0.19823019019709243</v>
          </cell>
          <cell r="AI90">
            <v>0.18130690616289868</v>
          </cell>
          <cell r="AJ90">
            <v>0.1992943710050632</v>
          </cell>
          <cell r="AK90">
            <v>0.19323787043499396</v>
          </cell>
          <cell r="AL90">
            <v>0.14181977252843403</v>
          </cell>
          <cell r="AM90">
            <v>0.12869896366587597</v>
          </cell>
          <cell r="AN90">
            <v>0.14427094550936892</v>
          </cell>
          <cell r="AO90">
            <v>0.13813443268380365</v>
          </cell>
          <cell r="AP90">
            <v>8.8727033597704397E-2</v>
          </cell>
          <cell r="AQ90">
            <v>7.2402885235332004E-2</v>
          </cell>
          <cell r="AR90">
            <v>0.11055155875299749</v>
          </cell>
          <cell r="AS90">
            <v>9.0326793847153253E-2</v>
          </cell>
          <cell r="AT90">
            <v>0.1010212235193233</v>
          </cell>
          <cell r="AU90">
            <v>8.0765893912797759E-2</v>
          </cell>
          <cell r="AV90">
            <v>0.16956889427050292</v>
          </cell>
          <cell r="AW90">
            <v>0.11778055368436191</v>
          </cell>
          <cell r="AX90">
            <v>0.12096217294559963</v>
          </cell>
          <cell r="AY90">
            <v>0.14597162361971883</v>
          </cell>
          <cell r="AZ90">
            <v>0.14860166577519673</v>
          </cell>
          <cell r="BA90">
            <v>0.13830790513963875</v>
          </cell>
          <cell r="BB90">
            <v>8.2848057620105831E-2</v>
          </cell>
          <cell r="BC90">
            <v>2.5157406639195301E-2</v>
          </cell>
          <cell r="BD90">
            <v>9.2003350367505288E-2</v>
          </cell>
          <cell r="BE90">
            <v>6.6287107306465476E-2</v>
          </cell>
          <cell r="BF90">
            <v>6.8665403728413343E-2</v>
          </cell>
          <cell r="BG90">
            <v>0.11411823280194633</v>
          </cell>
          <cell r="BH90">
            <v>8.7510444734445469E-2</v>
          </cell>
          <cell r="BI90">
            <v>8.9910096110578319E-2</v>
          </cell>
        </row>
        <row r="91">
          <cell r="A91" t="str">
            <v>NRx</v>
          </cell>
          <cell r="N91">
            <v>23423</v>
          </cell>
          <cell r="O91">
            <v>22816</v>
          </cell>
          <cell r="P91">
            <v>24642</v>
          </cell>
          <cell r="Q91">
            <v>70881</v>
          </cell>
          <cell r="R91">
            <v>27839</v>
          </cell>
          <cell r="S91">
            <v>25815</v>
          </cell>
          <cell r="T91">
            <v>27135</v>
          </cell>
          <cell r="U91">
            <v>80789</v>
          </cell>
          <cell r="V91">
            <v>28670</v>
          </cell>
          <cell r="W91">
            <v>29402</v>
          </cell>
          <cell r="X91">
            <v>28570</v>
          </cell>
          <cell r="Y91">
            <v>86642</v>
          </cell>
          <cell r="Z91">
            <v>30358</v>
          </cell>
          <cell r="AA91">
            <v>30332</v>
          </cell>
          <cell r="AB91">
            <v>28194</v>
          </cell>
          <cell r="AC91">
            <v>88884</v>
          </cell>
          <cell r="AD91">
            <v>31079</v>
          </cell>
          <cell r="AE91">
            <v>29238</v>
          </cell>
          <cell r="AF91">
            <v>30209</v>
          </cell>
          <cell r="AG91">
            <v>90526</v>
          </cell>
          <cell r="AH91">
            <v>31716</v>
          </cell>
          <cell r="AI91">
            <v>28795</v>
          </cell>
          <cell r="AJ91">
            <v>31275</v>
          </cell>
          <cell r="AK91">
            <v>91786</v>
          </cell>
          <cell r="AL91">
            <v>31121</v>
          </cell>
          <cell r="AM91">
            <v>31600</v>
          </cell>
          <cell r="AN91">
            <v>31944</v>
          </cell>
          <cell r="AO91">
            <v>94665</v>
          </cell>
          <cell r="AP91">
            <v>32573</v>
          </cell>
          <cell r="AQ91">
            <v>31397</v>
          </cell>
          <cell r="AR91">
            <v>31412</v>
          </cell>
          <cell r="AS91">
            <v>95382</v>
          </cell>
          <cell r="AT91">
            <v>33494</v>
          </cell>
          <cell r="AU91">
            <v>30298</v>
          </cell>
          <cell r="AV91">
            <v>33954</v>
          </cell>
          <cell r="AW91">
            <v>97746</v>
          </cell>
          <cell r="AX91">
            <v>33520</v>
          </cell>
          <cell r="AY91">
            <v>32192</v>
          </cell>
          <cell r="AZ91">
            <v>34686</v>
          </cell>
          <cell r="BA91">
            <v>100398</v>
          </cell>
          <cell r="BB91">
            <v>32558</v>
          </cell>
          <cell r="BC91">
            <v>32328</v>
          </cell>
          <cell r="BD91">
            <v>34708</v>
          </cell>
          <cell r="BE91">
            <v>99594</v>
          </cell>
          <cell r="BF91">
            <v>34310</v>
          </cell>
          <cell r="BG91">
            <v>35043</v>
          </cell>
          <cell r="BH91">
            <v>34455</v>
          </cell>
          <cell r="BI91">
            <v>103808</v>
          </cell>
        </row>
        <row r="92">
          <cell r="A92" t="str">
            <v xml:space="preserve">  % Change</v>
          </cell>
          <cell r="AD92">
            <v>0.3268582162831406</v>
          </cell>
          <cell r="AE92">
            <v>0.28146914446002813</v>
          </cell>
          <cell r="AF92">
            <v>0.2259151042934826</v>
          </cell>
          <cell r="AG92">
            <v>0.27715466768245367</v>
          </cell>
          <cell r="AH92">
            <v>0.13926505980818282</v>
          </cell>
          <cell r="AI92">
            <v>0.11543676157272897</v>
          </cell>
          <cell r="AJ92">
            <v>0.15257048092868986</v>
          </cell>
          <cell r="AK92">
            <v>0.13612001633885806</v>
          </cell>
          <cell r="AL92">
            <v>8.5490059295430854E-2</v>
          </cell>
          <cell r="AM92">
            <v>7.4756819263995578E-2</v>
          </cell>
          <cell r="AN92">
            <v>0.11809590479523968</v>
          </cell>
          <cell r="AO92">
            <v>9.2599432146072358E-2</v>
          </cell>
          <cell r="AP92">
            <v>7.2962645760590306E-2</v>
          </cell>
          <cell r="AQ92">
            <v>3.5111433469602993E-2</v>
          </cell>
          <cell r="AR92">
            <v>0.11413775980705121</v>
          </cell>
          <cell r="AS92">
            <v>7.3106520858647217E-2</v>
          </cell>
          <cell r="AT92">
            <v>7.7705202870105294E-2</v>
          </cell>
          <cell r="AU92">
            <v>3.625418975306105E-2</v>
          </cell>
          <cell r="AV92">
            <v>0.12396967791055635</v>
          </cell>
          <cell r="AW92">
            <v>7.9756092172414528E-2</v>
          </cell>
          <cell r="AX92">
            <v>5.687980829865058E-2</v>
          </cell>
          <cell r="AY92">
            <v>0.11797187011633969</v>
          </cell>
          <cell r="AZ92">
            <v>0.10906474820143885</v>
          </cell>
          <cell r="BA92">
            <v>9.38269452857734E-2</v>
          </cell>
          <cell r="BB92">
            <v>4.6174608785064741E-2</v>
          </cell>
          <cell r="BC92">
            <v>2.3037974683544293E-2</v>
          </cell>
          <cell r="BD92">
            <v>8.652642123716503E-2</v>
          </cell>
          <cell r="BE92">
            <v>5.2067818095389073E-2</v>
          </cell>
          <cell r="BF92">
            <v>5.3326374604733884E-2</v>
          </cell>
          <cell r="BG92">
            <v>0.11612574449788204</v>
          </cell>
          <cell r="BH92">
            <v>9.687380618871777E-2</v>
          </cell>
          <cell r="BI92">
            <v>8.8339518986811028E-2</v>
          </cell>
        </row>
        <row r="93">
          <cell r="A93" t="str">
            <v>Sales (IMS)</v>
          </cell>
          <cell r="N93">
            <v>0.76665099999999997</v>
          </cell>
          <cell r="O93">
            <v>0.79250100000000001</v>
          </cell>
          <cell r="P93">
            <v>1.0190999999999999</v>
          </cell>
          <cell r="Q93">
            <v>2.578252</v>
          </cell>
          <cell r="R93">
            <v>0.87504599999999999</v>
          </cell>
          <cell r="S93">
            <v>0.85838899999999996</v>
          </cell>
          <cell r="T93">
            <v>1.1726209999999999</v>
          </cell>
          <cell r="U93">
            <v>2.906056</v>
          </cell>
          <cell r="V93">
            <v>0.96137799999999995</v>
          </cell>
          <cell r="W93">
            <v>0.96549099999999999</v>
          </cell>
          <cell r="X93">
            <v>1.3262210000000001</v>
          </cell>
          <cell r="Y93">
            <v>3.2530900000000003</v>
          </cell>
          <cell r="Z93">
            <v>1.0167649999999999</v>
          </cell>
          <cell r="AA93">
            <v>1.027142</v>
          </cell>
          <cell r="AB93">
            <v>1.257244</v>
          </cell>
          <cell r="AC93">
            <v>3.3011509999999999</v>
          </cell>
          <cell r="AD93">
            <v>1.0185569999999999</v>
          </cell>
          <cell r="AE93">
            <v>1.001037</v>
          </cell>
          <cell r="AF93">
            <v>1.2864230000000001</v>
          </cell>
          <cell r="AG93">
            <v>3.3060169999999998</v>
          </cell>
          <cell r="AH93">
            <v>1.0332669999999999</v>
          </cell>
          <cell r="AI93">
            <v>1.0450569999999999</v>
          </cell>
          <cell r="AJ93">
            <v>1.3621099999999999</v>
          </cell>
          <cell r="AK93">
            <v>3.4404339999999998</v>
          </cell>
          <cell r="AL93">
            <v>1.0636030000000001</v>
          </cell>
          <cell r="AM93">
            <v>1.0716129999999999</v>
          </cell>
          <cell r="AN93">
            <v>1.4788699999999999</v>
          </cell>
          <cell r="AO93">
            <v>3.6140859999999995</v>
          </cell>
          <cell r="AP93">
            <v>1.1270770000000001</v>
          </cell>
          <cell r="AQ93">
            <v>1.179573</v>
          </cell>
          <cell r="AR93">
            <v>1.417211</v>
          </cell>
          <cell r="AS93">
            <v>3.7238610000000003</v>
          </cell>
          <cell r="AT93">
            <v>1.1242490000000001</v>
          </cell>
          <cell r="AU93">
            <v>1.0799449999999999</v>
          </cell>
          <cell r="AV93">
            <v>1.338022</v>
          </cell>
          <cell r="AW93">
            <v>3.5422160000000003</v>
          </cell>
          <cell r="AX93">
            <v>1.0946469999999999</v>
          </cell>
          <cell r="AY93">
            <v>1.086282</v>
          </cell>
          <cell r="AZ93">
            <v>1.332762</v>
          </cell>
          <cell r="BA93">
            <v>3.5136909999999997</v>
          </cell>
          <cell r="BB93">
            <v>1.039744</v>
          </cell>
          <cell r="BC93">
            <v>1.190866</v>
          </cell>
          <cell r="BD93">
            <v>1.3846309999999999</v>
          </cell>
          <cell r="BE93">
            <v>3.6152410000000001</v>
          </cell>
          <cell r="BF93">
            <v>1.08399</v>
          </cell>
          <cell r="BG93">
            <v>1.080303</v>
          </cell>
        </row>
        <row r="94">
          <cell r="A94" t="str">
            <v xml:space="preserve">  % Change</v>
          </cell>
          <cell r="AD94">
            <v>0.32857975793418381</v>
          </cell>
          <cell r="AE94">
            <v>0.26313657648381517</v>
          </cell>
          <cell r="AF94">
            <v>0.26231282504170372</v>
          </cell>
          <cell r="AG94">
            <v>0.28227070123479003</v>
          </cell>
          <cell r="AH94">
            <v>0.18081449432372687</v>
          </cell>
          <cell r="AI94">
            <v>0.21746317811621529</v>
          </cell>
          <cell r="AJ94">
            <v>0.16159441115245254</v>
          </cell>
          <cell r="AK94">
            <v>0.18388427476965341</v>
          </cell>
          <cell r="AL94">
            <v>0.10633174464154593</v>
          </cell>
          <cell r="AM94">
            <v>0.10991505876284702</v>
          </cell>
          <cell r="AN94">
            <v>0.11510072604792088</v>
          </cell>
          <cell r="AO94">
            <v>0.11097018527000468</v>
          </cell>
          <cell r="AP94">
            <v>0.10849311296120567</v>
          </cell>
          <cell r="AQ94">
            <v>0.14840304456443221</v>
          </cell>
          <cell r="AR94">
            <v>0.12723624053882943</v>
          </cell>
          <cell r="AS94">
            <v>0.12804927735810945</v>
          </cell>
          <cell r="AT94">
            <v>0.10376640678921278</v>
          </cell>
          <cell r="AU94">
            <v>7.8826257171313419E-2</v>
          </cell>
          <cell r="AV94">
            <v>4.0110445786494697E-2</v>
          </cell>
          <cell r="AW94">
            <v>7.1445186156030127E-2</v>
          </cell>
          <cell r="AX94">
            <v>5.9403813341566192E-2</v>
          </cell>
          <cell r="AY94">
            <v>3.9447609077782442E-2</v>
          </cell>
          <cell r="AZ94">
            <v>-2.1545983804538538E-2</v>
          </cell>
          <cell r="BA94">
            <v>2.1292953156491379E-2</v>
          </cell>
          <cell r="BB94">
            <v>-2.2432242105372091E-2</v>
          </cell>
          <cell r="BC94">
            <v>0.11128364437534821</v>
          </cell>
          <cell r="BD94">
            <v>-6.3723653870860875E-2</v>
          </cell>
          <cell r="BE94">
            <v>3.1958287655586837E-4</v>
          </cell>
          <cell r="BF94">
            <v>-3.8228976369848788E-2</v>
          </cell>
          <cell r="BG94">
            <v>-8.4157572274034753E-2</v>
          </cell>
        </row>
        <row r="96">
          <cell r="A96" t="str">
            <v>CLOBETASOL</v>
          </cell>
        </row>
        <row r="97">
          <cell r="A97" t="str">
            <v>TRx</v>
          </cell>
          <cell r="B97">
            <v>64953</v>
          </cell>
          <cell r="C97">
            <v>60151</v>
          </cell>
          <cell r="D97">
            <v>69596</v>
          </cell>
          <cell r="E97">
            <v>194700</v>
          </cell>
          <cell r="F97">
            <v>69205</v>
          </cell>
          <cell r="G97">
            <v>76428</v>
          </cell>
          <cell r="H97">
            <v>75402</v>
          </cell>
          <cell r="I97">
            <v>221035</v>
          </cell>
          <cell r="J97">
            <v>77652</v>
          </cell>
          <cell r="K97">
            <v>79946</v>
          </cell>
          <cell r="L97">
            <v>71844</v>
          </cell>
          <cell r="M97">
            <v>229442</v>
          </cell>
          <cell r="N97">
            <v>81726</v>
          </cell>
          <cell r="O97">
            <v>78259</v>
          </cell>
          <cell r="P97">
            <v>77946</v>
          </cell>
          <cell r="Q97">
            <v>237931</v>
          </cell>
          <cell r="R97">
            <v>87128</v>
          </cell>
          <cell r="S97">
            <v>79885</v>
          </cell>
          <cell r="T97">
            <v>90863</v>
          </cell>
          <cell r="U97">
            <v>257876</v>
          </cell>
          <cell r="V97">
            <v>100906</v>
          </cell>
          <cell r="W97">
            <v>108287</v>
          </cell>
          <cell r="X97">
            <v>108741</v>
          </cell>
          <cell r="Y97">
            <v>317934</v>
          </cell>
          <cell r="Z97">
            <v>115141</v>
          </cell>
          <cell r="AA97">
            <v>113430</v>
          </cell>
          <cell r="AB97">
            <v>108274</v>
          </cell>
          <cell r="AC97">
            <v>336845</v>
          </cell>
          <cell r="AD97">
            <v>115064</v>
          </cell>
          <cell r="AE97">
            <v>110351</v>
          </cell>
          <cell r="AF97">
            <v>117565</v>
          </cell>
          <cell r="AG97">
            <v>342980</v>
          </cell>
          <cell r="AH97">
            <v>123579</v>
          </cell>
          <cell r="AI97">
            <v>109721</v>
          </cell>
          <cell r="AJ97">
            <v>121134</v>
          </cell>
          <cell r="AK97">
            <v>354434</v>
          </cell>
          <cell r="AL97">
            <v>128926</v>
          </cell>
          <cell r="AM97">
            <v>129711</v>
          </cell>
          <cell r="AN97">
            <v>129092</v>
          </cell>
          <cell r="AO97">
            <v>387729</v>
          </cell>
          <cell r="AP97">
            <v>134516</v>
          </cell>
          <cell r="AQ97">
            <v>128361</v>
          </cell>
          <cell r="AR97">
            <v>129877</v>
          </cell>
          <cell r="AS97">
            <v>392754</v>
          </cell>
          <cell r="AT97">
            <v>145055</v>
          </cell>
          <cell r="AU97">
            <v>132523</v>
          </cell>
          <cell r="AV97">
            <v>151738</v>
          </cell>
          <cell r="AW97">
            <v>429316</v>
          </cell>
          <cell r="AX97">
            <v>149823</v>
          </cell>
          <cell r="AY97">
            <v>142500</v>
          </cell>
          <cell r="AZ97">
            <v>162468</v>
          </cell>
          <cell r="BA97">
            <v>454791</v>
          </cell>
          <cell r="BB97">
            <v>155457</v>
          </cell>
          <cell r="BC97">
            <v>153143</v>
          </cell>
          <cell r="BD97">
            <v>164207</v>
          </cell>
          <cell r="BE97">
            <v>472807</v>
          </cell>
          <cell r="BF97">
            <v>157181</v>
          </cell>
          <cell r="BG97">
            <v>159008</v>
          </cell>
          <cell r="BH97">
            <v>154349</v>
          </cell>
          <cell r="BI97">
            <v>470538</v>
          </cell>
        </row>
        <row r="98">
          <cell r="A98" t="str">
            <v xml:space="preserve">  % Change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0.34140070512524434</v>
          </cell>
          <cell r="S98">
            <v>0.32807434622865794</v>
          </cell>
          <cell r="T98">
            <v>0.30557790677625141</v>
          </cell>
          <cell r="U98">
            <v>0.32447868515665124</v>
          </cell>
          <cell r="V98">
            <v>0.45807383859547723</v>
          </cell>
          <cell r="W98">
            <v>0.41684984560632232</v>
          </cell>
          <cell r="X98">
            <v>0.44215007559481179</v>
          </cell>
          <cell r="Y98">
            <v>0.43838758567647651</v>
          </cell>
          <cell r="Z98">
            <v>0.48278215628702426</v>
          </cell>
          <cell r="AA98">
            <v>0.41883271208065453</v>
          </cell>
          <cell r="AB98">
            <v>0.50707087578642618</v>
          </cell>
          <cell r="AC98">
            <v>0.46810522920825304</v>
          </cell>
          <cell r="AD98">
            <v>0.4079240388615617</v>
          </cell>
          <cell r="AE98">
            <v>0.41007424066241582</v>
          </cell>
          <cell r="AF98">
            <v>0.5082877889821158</v>
          </cell>
          <cell r="AG98">
            <v>0.44151035384208037</v>
          </cell>
          <cell r="AH98">
            <v>0.41836149113947285</v>
          </cell>
          <cell r="AI98">
            <v>0.37348688740063851</v>
          </cell>
          <cell r="AJ98">
            <v>0.33314990700285052</v>
          </cell>
          <cell r="AK98">
            <v>0.37443577533388139</v>
          </cell>
          <cell r="AL98">
            <v>0.27768418131726547</v>
          </cell>
          <cell r="AM98">
            <v>0.1978446166206469</v>
          </cell>
          <cell r="AN98">
            <v>0.1871511205525056</v>
          </cell>
          <cell r="AO98">
            <v>0.21952669421955506</v>
          </cell>
          <cell r="AP98">
            <v>0.16827194483285712</v>
          </cell>
          <cell r="AQ98">
            <v>0.13163184342766465</v>
          </cell>
          <cell r="AR98">
            <v>0.19952158412915377</v>
          </cell>
          <cell r="AS98">
            <v>0.1659784173729757</v>
          </cell>
          <cell r="AT98">
            <v>0.26064624904401024</v>
          </cell>
          <cell r="AU98">
            <v>0.20092251089704671</v>
          </cell>
          <cell r="AV98">
            <v>0.29067324458810018</v>
          </cell>
          <cell r="AW98">
            <v>0.25172313254417178</v>
          </cell>
          <cell r="AX98">
            <v>0.21236617871968533</v>
          </cell>
          <cell r="AY98">
            <v>0.29874864428869596</v>
          </cell>
          <cell r="AZ98">
            <v>0.34122541978305021</v>
          </cell>
          <cell r="BA98">
            <v>0.28314721499630391</v>
          </cell>
          <cell r="BB98">
            <v>0.20578471371174167</v>
          </cell>
          <cell r="BC98">
            <v>0.18064774768523861</v>
          </cell>
          <cell r="BD98">
            <v>0.27201530691289943</v>
          </cell>
          <cell r="BE98">
            <v>0.21942645507558112</v>
          </cell>
          <cell r="BF98">
            <v>0.16849296737934516</v>
          </cell>
          <cell r="BG98">
            <v>0.23875632006606362</v>
          </cell>
          <cell r="BH98">
            <v>0.18842443234752881</v>
          </cell>
          <cell r="BI98">
            <v>0.19804763286942961</v>
          </cell>
        </row>
        <row r="99">
          <cell r="A99" t="str">
            <v>NRx</v>
          </cell>
          <cell r="B99">
            <v>43311</v>
          </cell>
          <cell r="C99">
            <v>39890</v>
          </cell>
          <cell r="D99">
            <v>46091</v>
          </cell>
          <cell r="E99">
            <v>129292</v>
          </cell>
          <cell r="F99">
            <v>46231</v>
          </cell>
          <cell r="G99">
            <v>52762</v>
          </cell>
          <cell r="H99">
            <v>52234</v>
          </cell>
          <cell r="I99">
            <v>151227</v>
          </cell>
          <cell r="J99">
            <v>53629</v>
          </cell>
          <cell r="K99">
            <v>54864</v>
          </cell>
          <cell r="L99">
            <v>47704</v>
          </cell>
          <cell r="M99">
            <v>156197</v>
          </cell>
          <cell r="N99">
            <v>55089</v>
          </cell>
          <cell r="O99">
            <v>51649</v>
          </cell>
          <cell r="P99">
            <v>49313</v>
          </cell>
          <cell r="Q99">
            <v>156051</v>
          </cell>
          <cell r="R99">
            <v>57920</v>
          </cell>
          <cell r="S99">
            <v>53038</v>
          </cell>
          <cell r="T99">
            <v>60618</v>
          </cell>
          <cell r="U99">
            <v>171576</v>
          </cell>
          <cell r="V99">
            <v>68568</v>
          </cell>
          <cell r="W99">
            <v>73978</v>
          </cell>
          <cell r="X99">
            <v>74683</v>
          </cell>
          <cell r="Y99">
            <v>217229</v>
          </cell>
          <cell r="Z99">
            <v>79686</v>
          </cell>
          <cell r="AA99">
            <v>77945</v>
          </cell>
          <cell r="AB99">
            <v>73144</v>
          </cell>
          <cell r="AC99">
            <v>230775</v>
          </cell>
          <cell r="AD99">
            <v>77647</v>
          </cell>
          <cell r="AE99">
            <v>72533</v>
          </cell>
          <cell r="AF99">
            <v>74489</v>
          </cell>
          <cell r="AG99">
            <v>224669</v>
          </cell>
          <cell r="AH99">
            <v>82289</v>
          </cell>
          <cell r="AI99">
            <v>72146</v>
          </cell>
          <cell r="AJ99">
            <v>79546</v>
          </cell>
          <cell r="AK99">
            <v>233981</v>
          </cell>
          <cell r="AL99">
            <v>86184</v>
          </cell>
          <cell r="AM99">
            <v>86851</v>
          </cell>
          <cell r="AN99">
            <v>87211</v>
          </cell>
          <cell r="AO99">
            <v>260246</v>
          </cell>
          <cell r="AP99">
            <v>92664</v>
          </cell>
          <cell r="AQ99">
            <v>88048</v>
          </cell>
          <cell r="AR99">
            <v>89890</v>
          </cell>
          <cell r="AS99">
            <v>270602</v>
          </cell>
          <cell r="AT99">
            <v>101810</v>
          </cell>
          <cell r="AU99">
            <v>89952</v>
          </cell>
          <cell r="AV99">
            <v>100896</v>
          </cell>
          <cell r="AW99">
            <v>292658</v>
          </cell>
          <cell r="AX99">
            <v>101893</v>
          </cell>
          <cell r="AY99">
            <v>97495</v>
          </cell>
          <cell r="AZ99">
            <v>110892</v>
          </cell>
          <cell r="BA99">
            <v>310280</v>
          </cell>
          <cell r="BB99">
            <v>106433</v>
          </cell>
          <cell r="BC99">
            <v>106212</v>
          </cell>
          <cell r="BD99">
            <v>114545</v>
          </cell>
          <cell r="BE99">
            <v>327190</v>
          </cell>
          <cell r="BF99">
            <v>109402</v>
          </cell>
          <cell r="BG99">
            <v>110557</v>
          </cell>
          <cell r="BH99">
            <v>106962</v>
          </cell>
          <cell r="BI99">
            <v>326921</v>
          </cell>
        </row>
        <row r="100">
          <cell r="A100" t="str">
            <v xml:space="preserve">  % Change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0.33730461083789343</v>
          </cell>
          <cell r="S100">
            <v>0.32960641764853338</v>
          </cell>
          <cell r="T100">
            <v>0.31518083790761753</v>
          </cell>
          <cell r="U100">
            <v>0.32704266311914121</v>
          </cell>
          <cell r="V100">
            <v>0.48316064978045037</v>
          </cell>
          <cell r="W100">
            <v>0.40210757742314551</v>
          </cell>
          <cell r="X100">
            <v>0.42977753953363718</v>
          </cell>
          <cell r="Y100">
            <v>0.43644322773049793</v>
          </cell>
          <cell r="Z100">
            <v>0.48587517947379211</v>
          </cell>
          <cell r="AA100">
            <v>0.42069480898221046</v>
          </cell>
          <cell r="AB100">
            <v>0.53328861311420428</v>
          </cell>
          <cell r="AC100">
            <v>0.47746115482371621</v>
          </cell>
          <cell r="AD100">
            <v>0.40948283686398379</v>
          </cell>
          <cell r="AE100">
            <v>0.40434471141745232</v>
          </cell>
          <cell r="AF100">
            <v>0.51053474742968397</v>
          </cell>
          <cell r="AG100">
            <v>0.43971522130585505</v>
          </cell>
          <cell r="AH100">
            <v>0.42073549723756898</v>
          </cell>
          <cell r="AI100">
            <v>0.36026999509785429</v>
          </cell>
          <cell r="AJ100">
            <v>0.31225048665412913</v>
          </cell>
          <cell r="AK100">
            <v>0.36371637058796091</v>
          </cell>
          <cell r="AL100">
            <v>0.25691284564228201</v>
          </cell>
          <cell r="AM100">
            <v>0.17401119251669406</v>
          </cell>
          <cell r="AN100">
            <v>0.16774901918776686</v>
          </cell>
          <cell r="AO100">
            <v>0.19802604624612741</v>
          </cell>
          <cell r="AP100">
            <v>0.16286424215044049</v>
          </cell>
          <cell r="AQ100">
            <v>0.12961703765475652</v>
          </cell>
          <cell r="AR100">
            <v>0.22894564147435204</v>
          </cell>
          <cell r="AS100">
            <v>0.17257935218286202</v>
          </cell>
          <cell r="AT100">
            <v>0.3111903872654449</v>
          </cell>
          <cell r="AU100">
            <v>0.24015275805495429</v>
          </cell>
          <cell r="AV100">
            <v>0.35450871940823481</v>
          </cell>
          <cell r="AW100">
            <v>0.30261851879876622</v>
          </cell>
          <cell r="AX100">
            <v>0.23823354275784125</v>
          </cell>
          <cell r="AY100">
            <v>0.35135697058741999</v>
          </cell>
          <cell r="AZ100">
            <v>0.39406129786538613</v>
          </cell>
          <cell r="BA100">
            <v>0.32609058000435942</v>
          </cell>
          <cell r="BB100">
            <v>0.23495080293325898</v>
          </cell>
          <cell r="BC100">
            <v>0.22292201586625371</v>
          </cell>
          <cell r="BD100">
            <v>0.31342376535070127</v>
          </cell>
          <cell r="BE100">
            <v>0.25723354057315007</v>
          </cell>
          <cell r="BF100">
            <v>0.18063109729776405</v>
          </cell>
          <cell r="BG100">
            <v>0.25564464837361434</v>
          </cell>
          <cell r="BH100">
            <v>0.18992101457336741</v>
          </cell>
          <cell r="BI100">
            <v>0.20812484756210226</v>
          </cell>
        </row>
        <row r="101">
          <cell r="A101" t="str">
            <v>Sales (IMS)</v>
          </cell>
          <cell r="B101">
            <v>1.004176</v>
          </cell>
          <cell r="C101">
            <v>1.0007809999999999</v>
          </cell>
          <cell r="D101">
            <v>1.340495</v>
          </cell>
          <cell r="E101">
            <v>3.3454519999999999</v>
          </cell>
          <cell r="F101">
            <v>1.079437</v>
          </cell>
          <cell r="G101">
            <v>1.1712149999999999</v>
          </cell>
          <cell r="H101">
            <v>1.336077</v>
          </cell>
          <cell r="I101">
            <v>3.5867289999999996</v>
          </cell>
          <cell r="J101">
            <v>1.0730789999999999</v>
          </cell>
          <cell r="K101">
            <v>1.072384</v>
          </cell>
          <cell r="L101">
            <v>1.248424</v>
          </cell>
          <cell r="M101">
            <v>3.3938869999999999</v>
          </cell>
          <cell r="N101">
            <v>0.99131499999999995</v>
          </cell>
          <cell r="O101">
            <v>1.2551779999999999</v>
          </cell>
          <cell r="P101">
            <v>1.225209</v>
          </cell>
          <cell r="Q101">
            <v>3.4717020000000001</v>
          </cell>
          <cell r="R101">
            <v>1.1206799999999999</v>
          </cell>
          <cell r="S101">
            <v>1.074225</v>
          </cell>
          <cell r="T101">
            <v>1.5259149999999999</v>
          </cell>
          <cell r="U101">
            <v>3.7208199999999998</v>
          </cell>
          <cell r="V101">
            <v>1.3296410000000001</v>
          </cell>
          <cell r="W101">
            <v>1.384625</v>
          </cell>
          <cell r="X101">
            <v>1.8207709999999999</v>
          </cell>
          <cell r="Y101">
            <v>4.535037</v>
          </cell>
          <cell r="Z101">
            <v>1.3445469999999999</v>
          </cell>
          <cell r="AA101">
            <v>1.316513</v>
          </cell>
          <cell r="AB101">
            <v>1.722817</v>
          </cell>
          <cell r="AC101">
            <v>4.383877</v>
          </cell>
          <cell r="AD101">
            <v>1.3900410000000001</v>
          </cell>
          <cell r="AE101">
            <v>1.398042</v>
          </cell>
          <cell r="AF101">
            <v>1.7272700000000001</v>
          </cell>
          <cell r="AG101">
            <v>4.5153530000000002</v>
          </cell>
          <cell r="AH101">
            <v>1.4354800000000001</v>
          </cell>
          <cell r="AI101">
            <v>1.4206559999999999</v>
          </cell>
          <cell r="AJ101">
            <v>1.705619</v>
          </cell>
          <cell r="AK101">
            <v>4.5617549999999998</v>
          </cell>
          <cell r="AL101">
            <v>1.089566</v>
          </cell>
          <cell r="AM101">
            <v>1.073453</v>
          </cell>
          <cell r="AN101">
            <v>1.3760410000000001</v>
          </cell>
          <cell r="AO101">
            <v>3.5390600000000001</v>
          </cell>
          <cell r="AP101">
            <v>1.1373089999999999</v>
          </cell>
          <cell r="AQ101">
            <v>1.1181209999999999</v>
          </cell>
          <cell r="AR101">
            <v>1.4988319999999999</v>
          </cell>
          <cell r="AS101">
            <v>3.7542619999999998</v>
          </cell>
          <cell r="AT101">
            <v>1.282867</v>
          </cell>
          <cell r="AU101">
            <v>1.1126590000000001</v>
          </cell>
          <cell r="AV101">
            <v>1.411421</v>
          </cell>
          <cell r="AW101">
            <v>3.8069470000000001</v>
          </cell>
          <cell r="AX101">
            <v>1.1384860000000001</v>
          </cell>
          <cell r="AY101">
            <v>1.2255819999999999</v>
          </cell>
          <cell r="AZ101">
            <v>1.5740879999999999</v>
          </cell>
          <cell r="BA101">
            <v>3.9381560000000002</v>
          </cell>
          <cell r="BB101">
            <v>1.259808</v>
          </cell>
          <cell r="BC101">
            <v>1.2960160000000001</v>
          </cell>
          <cell r="BD101">
            <v>1.6175759999999999</v>
          </cell>
          <cell r="BE101">
            <v>4.1734</v>
          </cell>
          <cell r="BF101">
            <v>1.2566139999999999</v>
          </cell>
          <cell r="BG101">
            <v>1.2531699999999999</v>
          </cell>
        </row>
        <row r="102">
          <cell r="A102" t="str">
            <v xml:space="preserve">  % Change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0.11601950255732052</v>
          </cell>
          <cell r="S102">
            <v>7.3386684999015905E-2</v>
          </cell>
          <cell r="T102">
            <v>0.13832203775470986</v>
          </cell>
          <cell r="U102">
            <v>0.11220247667579741</v>
          </cell>
          <cell r="V102">
            <v>0.23179120226562566</v>
          </cell>
          <cell r="W102">
            <v>0.18221248874032536</v>
          </cell>
          <cell r="X102">
            <v>0.3627740017978005</v>
          </cell>
          <cell r="Y102">
            <v>0.26439354632033818</v>
          </cell>
          <cell r="Z102">
            <v>0.25298044226007588</v>
          </cell>
          <cell r="AA102">
            <v>0.2276507295894008</v>
          </cell>
          <cell r="AB102">
            <v>0.37999349579950414</v>
          </cell>
          <cell r="AC102">
            <v>0.29169798523050416</v>
          </cell>
          <cell r="AD102">
            <v>0.40221927439814809</v>
          </cell>
          <cell r="AE102">
            <v>0.11381971321995765</v>
          </cell>
          <cell r="AF102">
            <v>0.40977580151631288</v>
          </cell>
          <cell r="AG102">
            <v>0.30061652757062673</v>
          </cell>
          <cell r="AH102">
            <v>0.28090088160759552</v>
          </cell>
          <cell r="AI102">
            <v>0.32249389094463443</v>
          </cell>
          <cell r="AJ102">
            <v>0.11776802770796535</v>
          </cell>
          <cell r="AK102">
            <v>0.22600797673631079</v>
          </cell>
          <cell r="AL102">
            <v>-0.18055625541029496</v>
          </cell>
          <cell r="AM102">
            <v>-0.22473377268213413</v>
          </cell>
          <cell r="AN102">
            <v>-0.24425367056043834</v>
          </cell>
          <cell r="AO102">
            <v>-0.21961827433822478</v>
          </cell>
          <cell r="AP102">
            <v>-0.15413220958434326</v>
          </cell>
          <cell r="AQ102">
            <v>-0.15069505580271525</v>
          </cell>
          <cell r="AR102">
            <v>-0.13001090655594882</v>
          </cell>
          <cell r="AS102">
            <v>-0.14362058972001268</v>
          </cell>
          <cell r="AT102">
            <v>-7.7101322910619219E-2</v>
          </cell>
          <cell r="AU102">
            <v>-0.20413049107251424</v>
          </cell>
          <cell r="AV102">
            <v>-0.1828602360951096</v>
          </cell>
          <cell r="AW102">
            <v>-0.15688828758238837</v>
          </cell>
          <cell r="AX102">
            <v>-0.20689525454900104</v>
          </cell>
          <cell r="AY102">
            <v>-0.13731262177472936</v>
          </cell>
          <cell r="AZ102">
            <v>-7.7116284469157526E-2</v>
          </cell>
          <cell r="BA102">
            <v>-0.13670155455520949</v>
          </cell>
          <cell r="BB102">
            <v>0.15624753342156428</v>
          </cell>
          <cell r="BC102">
            <v>0.2073337165204252</v>
          </cell>
          <cell r="BD102">
            <v>0.1755289268270348</v>
          </cell>
          <cell r="BE102">
            <v>0.17923968511412625</v>
          </cell>
          <cell r="BF102">
            <v>0.10490113065138851</v>
          </cell>
          <cell r="BG102">
            <v>0.12078209782304428</v>
          </cell>
        </row>
        <row r="104">
          <cell r="A104" t="str">
            <v xml:space="preserve">LUSTRA-AF </v>
          </cell>
        </row>
        <row r="105">
          <cell r="A105" t="str">
            <v>TRx</v>
          </cell>
          <cell r="B105">
            <v>16452</v>
          </cell>
          <cell r="C105">
            <v>16494</v>
          </cell>
          <cell r="D105">
            <v>19929</v>
          </cell>
          <cell r="E105">
            <v>52875</v>
          </cell>
          <cell r="F105">
            <v>20406</v>
          </cell>
          <cell r="G105">
            <v>21552</v>
          </cell>
          <cell r="H105">
            <v>20797</v>
          </cell>
          <cell r="I105">
            <v>62755</v>
          </cell>
          <cell r="J105">
            <v>19724</v>
          </cell>
          <cell r="K105">
            <v>18499</v>
          </cell>
          <cell r="L105">
            <v>14464</v>
          </cell>
          <cell r="M105">
            <v>52687</v>
          </cell>
          <cell r="N105">
            <v>15491</v>
          </cell>
          <cell r="O105">
            <v>13385</v>
          </cell>
          <cell r="P105">
            <v>12496</v>
          </cell>
          <cell r="Q105">
            <v>41372</v>
          </cell>
          <cell r="R105">
            <v>12590</v>
          </cell>
          <cell r="S105">
            <v>11430</v>
          </cell>
          <cell r="T105">
            <v>12906</v>
          </cell>
          <cell r="U105">
            <v>36926</v>
          </cell>
          <cell r="V105">
            <v>13040</v>
          </cell>
          <cell r="W105">
            <v>12148</v>
          </cell>
          <cell r="X105">
            <v>10925</v>
          </cell>
          <cell r="Y105">
            <v>36113</v>
          </cell>
          <cell r="Z105">
            <v>10617</v>
          </cell>
          <cell r="AA105">
            <v>10048</v>
          </cell>
          <cell r="AB105">
            <v>8187</v>
          </cell>
          <cell r="AC105">
            <v>28852</v>
          </cell>
          <cell r="AD105">
            <v>7657</v>
          </cell>
          <cell r="AE105">
            <v>7190</v>
          </cell>
          <cell r="AF105">
            <v>6629</v>
          </cell>
          <cell r="AG105">
            <v>21476</v>
          </cell>
          <cell r="AH105">
            <v>6716</v>
          </cell>
          <cell r="AI105">
            <v>6025</v>
          </cell>
          <cell r="AJ105">
            <v>7076</v>
          </cell>
          <cell r="AK105">
            <v>19817</v>
          </cell>
          <cell r="AL105">
            <v>7518</v>
          </cell>
          <cell r="AM105">
            <v>7327</v>
          </cell>
          <cell r="AN105">
            <v>6863</v>
          </cell>
          <cell r="AO105">
            <v>21708</v>
          </cell>
          <cell r="AP105">
            <v>6710</v>
          </cell>
          <cell r="AQ105">
            <v>5956</v>
          </cell>
          <cell r="AR105">
            <v>5514</v>
          </cell>
          <cell r="AS105">
            <v>18180</v>
          </cell>
          <cell r="AT105">
            <v>5185</v>
          </cell>
          <cell r="AU105">
            <v>4386</v>
          </cell>
          <cell r="AV105">
            <v>4466</v>
          </cell>
          <cell r="AW105">
            <v>14037</v>
          </cell>
          <cell r="AX105">
            <v>4515</v>
          </cell>
          <cell r="AY105">
            <v>4239</v>
          </cell>
          <cell r="AZ105">
            <v>4990</v>
          </cell>
          <cell r="BA105">
            <v>13744</v>
          </cell>
          <cell r="BB105">
            <v>4556</v>
          </cell>
          <cell r="BC105">
            <v>4559</v>
          </cell>
          <cell r="BD105">
            <v>4481</v>
          </cell>
          <cell r="BE105">
            <v>13596</v>
          </cell>
          <cell r="BF105">
            <v>3897</v>
          </cell>
          <cell r="BG105">
            <v>3619</v>
          </cell>
          <cell r="BH105">
            <v>3089</v>
          </cell>
          <cell r="BI105">
            <v>10605</v>
          </cell>
        </row>
        <row r="106">
          <cell r="A106" t="str">
            <v xml:space="preserve">  % Change</v>
          </cell>
          <cell r="R106">
            <v>-0.23474349623146118</v>
          </cell>
          <cell r="S106">
            <v>-0.30702073481265912</v>
          </cell>
          <cell r="T106">
            <v>-0.35240102363390036</v>
          </cell>
          <cell r="U106">
            <v>-0.30163593380614662</v>
          </cell>
          <cell r="V106">
            <v>-0.36097226305988439</v>
          </cell>
          <cell r="W106">
            <v>-0.43634001484780993</v>
          </cell>
          <cell r="X106">
            <v>-0.47468384863201418</v>
          </cell>
          <cell r="Y106">
            <v>-0.42453987730061349</v>
          </cell>
          <cell r="Z106">
            <v>-0.46172176029203005</v>
          </cell>
          <cell r="AA106">
            <v>-0.4568355046218715</v>
          </cell>
          <cell r="AB106">
            <v>-0.43397400442477874</v>
          </cell>
          <cell r="AC106">
            <v>-0.45238863476758973</v>
          </cell>
          <cell r="AD106">
            <v>-0.50571299464205022</v>
          </cell>
          <cell r="AE106">
            <v>-0.46283152782966008</v>
          </cell>
          <cell r="AF106">
            <v>-0.46951024327784896</v>
          </cell>
          <cell r="AG106">
            <v>-0.48090495987624482</v>
          </cell>
          <cell r="AH106">
            <v>-0.46656076250992851</v>
          </cell>
          <cell r="AI106">
            <v>-0.4728783902012248</v>
          </cell>
          <cell r="AJ106">
            <v>-0.45172787850612117</v>
          </cell>
          <cell r="AK106">
            <v>-0.46333206954449435</v>
          </cell>
          <cell r="AL106">
            <v>-0.42346625766871171</v>
          </cell>
          <cell r="AM106">
            <v>-0.3968554494567007</v>
          </cell>
          <cell r="AN106">
            <v>-0.3718077803203661</v>
          </cell>
          <cell r="AO106">
            <v>-0.39888682745825599</v>
          </cell>
          <cell r="AP106">
            <v>-0.36799472544033152</v>
          </cell>
          <cell r="AQ106">
            <v>-0.40724522292993626</v>
          </cell>
          <cell r="AR106">
            <v>-0.32649322096005862</v>
          </cell>
          <cell r="AS106">
            <v>-0.36988770275890748</v>
          </cell>
          <cell r="AT106">
            <v>-0.32284184406425498</v>
          </cell>
          <cell r="AU106">
            <v>-0.38998609179415855</v>
          </cell>
          <cell r="AV106">
            <v>-0.32629355860612463</v>
          </cell>
          <cell r="AW106">
            <v>-0.34638666418327435</v>
          </cell>
          <cell r="AX106">
            <v>-0.32772483621203097</v>
          </cell>
          <cell r="AY106">
            <v>-0.29643153526970956</v>
          </cell>
          <cell r="AZ106">
            <v>-0.29479932165065004</v>
          </cell>
          <cell r="BA106">
            <v>-0.30645405459958619</v>
          </cell>
          <cell r="BB106">
            <v>-0.39398776270284652</v>
          </cell>
          <cell r="BC106">
            <v>-0.37778081070015013</v>
          </cell>
          <cell r="BD106">
            <v>-0.34707853708290837</v>
          </cell>
          <cell r="BE106">
            <v>-0.37368711995577664</v>
          </cell>
          <cell r="BF106">
            <v>-0.41922503725782412</v>
          </cell>
          <cell r="BG106">
            <v>-0.392377434519812</v>
          </cell>
          <cell r="BH106">
            <v>-0.43978962640551322</v>
          </cell>
          <cell r="BI106">
            <v>-0.41666666666666663</v>
          </cell>
        </row>
        <row r="107">
          <cell r="A107" t="str">
            <v>NRx</v>
          </cell>
          <cell r="B107">
            <v>10540</v>
          </cell>
          <cell r="C107">
            <v>10995</v>
          </cell>
          <cell r="D107">
            <v>13584</v>
          </cell>
          <cell r="E107">
            <v>35119</v>
          </cell>
          <cell r="F107">
            <v>14065</v>
          </cell>
          <cell r="G107">
            <v>15105</v>
          </cell>
          <cell r="H107">
            <v>14914</v>
          </cell>
          <cell r="I107">
            <v>44084</v>
          </cell>
          <cell r="J107">
            <v>13741</v>
          </cell>
          <cell r="K107">
            <v>12688</v>
          </cell>
          <cell r="L107">
            <v>9314</v>
          </cell>
          <cell r="M107">
            <v>35743</v>
          </cell>
          <cell r="N107">
            <v>10222</v>
          </cell>
          <cell r="O107">
            <v>8476</v>
          </cell>
          <cell r="P107">
            <v>7528</v>
          </cell>
          <cell r="Q107">
            <v>26226</v>
          </cell>
          <cell r="R107">
            <v>7859</v>
          </cell>
          <cell r="S107">
            <v>7194</v>
          </cell>
          <cell r="T107">
            <v>8336</v>
          </cell>
          <cell r="U107">
            <v>23389</v>
          </cell>
          <cell r="V107">
            <v>8411</v>
          </cell>
          <cell r="W107">
            <v>7590</v>
          </cell>
          <cell r="X107">
            <v>6849</v>
          </cell>
          <cell r="Y107">
            <v>22850</v>
          </cell>
          <cell r="Z107">
            <v>6827</v>
          </cell>
          <cell r="AA107">
            <v>6637</v>
          </cell>
          <cell r="AB107">
            <v>5336</v>
          </cell>
          <cell r="AC107">
            <v>18800</v>
          </cell>
          <cell r="AD107">
            <v>4841</v>
          </cell>
          <cell r="AE107">
            <v>4503</v>
          </cell>
          <cell r="AF107">
            <v>3796</v>
          </cell>
          <cell r="AG107">
            <v>13140</v>
          </cell>
          <cell r="AH107">
            <v>4167</v>
          </cell>
          <cell r="AI107">
            <v>3804</v>
          </cell>
          <cell r="AJ107">
            <v>4568</v>
          </cell>
          <cell r="AK107">
            <v>12539</v>
          </cell>
          <cell r="AL107">
            <v>5054</v>
          </cell>
          <cell r="AM107">
            <v>5056</v>
          </cell>
          <cell r="AN107">
            <v>4578</v>
          </cell>
          <cell r="AO107">
            <v>14688</v>
          </cell>
          <cell r="AP107">
            <v>4482</v>
          </cell>
          <cell r="AQ107">
            <v>4011</v>
          </cell>
          <cell r="AR107">
            <v>3452</v>
          </cell>
          <cell r="AS107">
            <v>11945</v>
          </cell>
          <cell r="AT107">
            <v>3230</v>
          </cell>
          <cell r="AU107">
            <v>2704</v>
          </cell>
          <cell r="AV107">
            <v>2569</v>
          </cell>
          <cell r="AW107">
            <v>8503</v>
          </cell>
          <cell r="AX107">
            <v>2828</v>
          </cell>
          <cell r="AY107">
            <v>2882</v>
          </cell>
          <cell r="AZ107">
            <v>3496</v>
          </cell>
          <cell r="BA107">
            <v>9206</v>
          </cell>
          <cell r="BB107">
            <v>3316</v>
          </cell>
          <cell r="BC107">
            <v>3485</v>
          </cell>
          <cell r="BD107">
            <v>3354</v>
          </cell>
          <cell r="BE107">
            <v>10155</v>
          </cell>
          <cell r="BF107">
            <v>2886</v>
          </cell>
          <cell r="BG107">
            <v>2736</v>
          </cell>
          <cell r="BH107">
            <v>2244</v>
          </cell>
          <cell r="BI107">
            <v>7866</v>
          </cell>
        </row>
        <row r="108">
          <cell r="A108" t="str">
            <v xml:space="preserve">  % Change</v>
          </cell>
          <cell r="R108">
            <v>-0.2543643263757116</v>
          </cell>
          <cell r="S108">
            <v>-0.34570259208731247</v>
          </cell>
          <cell r="T108">
            <v>-0.3863368669022379</v>
          </cell>
          <cell r="U108">
            <v>-0.33400723255217968</v>
          </cell>
          <cell r="V108">
            <v>-0.40199075719872024</v>
          </cell>
          <cell r="W108">
            <v>-0.4975173783515392</v>
          </cell>
          <cell r="X108">
            <v>-0.54076706450315148</v>
          </cell>
          <cell r="Y108">
            <v>-0.48167135468650757</v>
          </cell>
          <cell r="Z108">
            <v>-0.50316570846372177</v>
          </cell>
          <cell r="AA108">
            <v>-0.47690731399747788</v>
          </cell>
          <cell r="AB108">
            <v>-0.42709899076658797</v>
          </cell>
          <cell r="AC108">
            <v>-0.47402288559997763</v>
          </cell>
          <cell r="AD108">
            <v>-0.52641361768734107</v>
          </cell>
          <cell r="AE108">
            <v>-0.46873525247758374</v>
          </cell>
          <cell r="AF108">
            <v>-0.49574920297555791</v>
          </cell>
          <cell r="AG108">
            <v>-0.49897048730267668</v>
          </cell>
          <cell r="AH108">
            <v>-0.46977987021249523</v>
          </cell>
          <cell r="AI108">
            <v>-0.47122602168473726</v>
          </cell>
          <cell r="AJ108">
            <v>-0.45201535508637236</v>
          </cell>
          <cell r="AK108">
            <v>-0.46389328316730083</v>
          </cell>
          <cell r="AL108">
            <v>-0.39912019973843771</v>
          </cell>
          <cell r="AM108">
            <v>-0.33386034255599473</v>
          </cell>
          <cell r="AN108">
            <v>-0.33158125273762595</v>
          </cell>
          <cell r="AO108">
            <v>-0.35719912472647697</v>
          </cell>
          <cell r="AP108">
            <v>-0.34348908744690199</v>
          </cell>
          <cell r="AQ108">
            <v>-0.39566069007081517</v>
          </cell>
          <cell r="AR108">
            <v>-0.35307346326836586</v>
          </cell>
          <cell r="AS108">
            <v>-0.36462765957446808</v>
          </cell>
          <cell r="AT108">
            <v>-0.33278248295806656</v>
          </cell>
          <cell r="AU108">
            <v>-0.39951143681989787</v>
          </cell>
          <cell r="AV108">
            <v>-0.3232349841938883</v>
          </cell>
          <cell r="AW108">
            <v>-0.3528919330289193</v>
          </cell>
          <cell r="AX108">
            <v>-0.3213342932565395</v>
          </cell>
          <cell r="AY108">
            <v>-0.24237644584647744</v>
          </cell>
          <cell r="AZ108">
            <v>-0.23467600700525393</v>
          </cell>
          <cell r="BA108">
            <v>-0.26581067070739295</v>
          </cell>
          <cell r="BB108">
            <v>-0.34388603086664027</v>
          </cell>
          <cell r="BC108">
            <v>-0.31071993670886078</v>
          </cell>
          <cell r="BD108">
            <v>-0.26736566186107469</v>
          </cell>
          <cell r="BE108">
            <v>-0.30861928104575165</v>
          </cell>
          <cell r="BF108">
            <v>-0.35609103078982596</v>
          </cell>
          <cell r="BG108">
            <v>-0.31787584143605085</v>
          </cell>
          <cell r="BH108">
            <v>-0.34994206257242177</v>
          </cell>
          <cell r="BI108">
            <v>-0.34148179154457936</v>
          </cell>
        </row>
        <row r="109">
          <cell r="A109" t="str">
            <v>Sales (IMS)</v>
          </cell>
          <cell r="B109">
            <v>0.68312600000000001</v>
          </cell>
          <cell r="C109">
            <v>0.78413100000000002</v>
          </cell>
          <cell r="D109">
            <v>1.076684</v>
          </cell>
          <cell r="E109">
            <v>2.5439410000000002</v>
          </cell>
          <cell r="F109">
            <v>0.90124700000000002</v>
          </cell>
          <cell r="G109">
            <v>1.0310900000000001</v>
          </cell>
          <cell r="H109">
            <v>1.2442690000000001</v>
          </cell>
          <cell r="I109">
            <v>3.176606</v>
          </cell>
          <cell r="J109">
            <v>1.0338849999999999</v>
          </cell>
          <cell r="K109">
            <v>0.93766300000000002</v>
          </cell>
          <cell r="L109">
            <v>1.0242599999999999</v>
          </cell>
          <cell r="M109">
            <v>2.9958080000000002</v>
          </cell>
          <cell r="N109">
            <v>0.78563499999999997</v>
          </cell>
          <cell r="O109">
            <v>0.93995700000000004</v>
          </cell>
          <cell r="P109">
            <v>0.80784599999999995</v>
          </cell>
          <cell r="Q109">
            <v>2.5334379999999999</v>
          </cell>
          <cell r="R109">
            <v>0.62313200000000002</v>
          </cell>
          <cell r="S109">
            <v>0.69420599999999999</v>
          </cell>
          <cell r="T109">
            <v>0.90612800000000004</v>
          </cell>
          <cell r="U109">
            <v>2.2234660000000002</v>
          </cell>
          <cell r="V109">
            <v>0.76551599999999997</v>
          </cell>
          <cell r="W109">
            <v>0.65702400000000005</v>
          </cell>
          <cell r="X109">
            <v>0.76433600000000002</v>
          </cell>
          <cell r="Y109">
            <v>2.1868759999999998</v>
          </cell>
          <cell r="Z109">
            <v>0.58363699999999996</v>
          </cell>
          <cell r="AA109">
            <v>0.56753399999999998</v>
          </cell>
          <cell r="AB109">
            <v>0.61385599999999996</v>
          </cell>
          <cell r="AC109">
            <v>1.7650269999999999</v>
          </cell>
          <cell r="AD109">
            <v>0.47896100000000003</v>
          </cell>
          <cell r="AE109">
            <v>0.42514600000000002</v>
          </cell>
          <cell r="AF109">
            <v>0.46359699999999998</v>
          </cell>
          <cell r="AG109">
            <v>1.367704</v>
          </cell>
          <cell r="AH109">
            <v>0.38491500000000001</v>
          </cell>
          <cell r="AI109">
            <v>0.39713500000000002</v>
          </cell>
          <cell r="AJ109">
            <v>0.56344499999999997</v>
          </cell>
          <cell r="AK109">
            <v>1.3454950000000001</v>
          </cell>
          <cell r="AL109">
            <v>0.46513599999999999</v>
          </cell>
          <cell r="AM109">
            <v>0.49023899999999998</v>
          </cell>
          <cell r="AN109">
            <v>0.59452000000000005</v>
          </cell>
          <cell r="AO109">
            <v>1.549895</v>
          </cell>
          <cell r="AP109">
            <v>0.44603900000000002</v>
          </cell>
          <cell r="AQ109">
            <v>0.41342499999999999</v>
          </cell>
          <cell r="AR109">
            <v>0.45039099999999999</v>
          </cell>
          <cell r="AS109">
            <v>1.309855</v>
          </cell>
          <cell r="AT109">
            <v>0.34901599999999999</v>
          </cell>
          <cell r="AU109">
            <v>0.29491499999999998</v>
          </cell>
          <cell r="AV109">
            <v>0.34418500000000002</v>
          </cell>
          <cell r="AW109">
            <v>0.98811599999999999</v>
          </cell>
          <cell r="AX109">
            <v>0.38083400000000001</v>
          </cell>
          <cell r="AY109">
            <v>0.42701899999999998</v>
          </cell>
          <cell r="AZ109">
            <v>0.60316199999999998</v>
          </cell>
          <cell r="BA109">
            <v>1.4110149999999999</v>
          </cell>
          <cell r="BB109">
            <v>0.61086200000000002</v>
          </cell>
          <cell r="BC109">
            <v>0.68834799999999996</v>
          </cell>
          <cell r="BD109">
            <v>0.76503399999999999</v>
          </cell>
          <cell r="BE109">
            <v>2.064244</v>
          </cell>
          <cell r="BF109">
            <v>0.54235100000000003</v>
          </cell>
          <cell r="BG109">
            <v>0.45365</v>
          </cell>
        </row>
        <row r="110">
          <cell r="A110" t="str">
            <v xml:space="preserve">  % Change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-8.7822744266797037E-2</v>
          </cell>
          <cell r="S110">
            <v>-0.11468109282760153</v>
          </cell>
          <cell r="T110">
            <v>-0.15840859527958062</v>
          </cell>
          <cell r="U110">
            <v>-0.12597579896703581</v>
          </cell>
          <cell r="V110">
            <v>-0.15060355263318492</v>
          </cell>
          <cell r="W110">
            <v>-0.36278695361219682</v>
          </cell>
          <cell r="X110">
            <v>-0.3857148253311784</v>
          </cell>
          <cell r="Y110">
            <v>-0.31156838462182601</v>
          </cell>
          <cell r="Z110">
            <v>-0.43549137476605237</v>
          </cell>
          <cell r="AA110">
            <v>-0.39473563529754296</v>
          </cell>
          <cell r="AB110">
            <v>-0.40068342022533343</v>
          </cell>
          <cell r="AC110">
            <v>-0.41083440594323806</v>
          </cell>
          <cell r="AD110">
            <v>-0.39035175367696184</v>
          </cell>
          <cell r="AE110">
            <v>-0.54769633078959989</v>
          </cell>
          <cell r="AF110">
            <v>-0.42613196079450788</v>
          </cell>
          <cell r="AG110">
            <v>-0.46013914688261559</v>
          </cell>
          <cell r="AH110">
            <v>-0.38228978771753019</v>
          </cell>
          <cell r="AI110">
            <v>-0.42792917376110262</v>
          </cell>
          <cell r="AJ110">
            <v>-0.37818387689156507</v>
          </cell>
          <cell r="AK110">
            <v>-0.39486594353140547</v>
          </cell>
          <cell r="AL110">
            <v>-0.39238892459465247</v>
          </cell>
          <cell r="AM110">
            <v>-0.2538491744593806</v>
          </cell>
          <cell r="AN110">
            <v>-0.22217454103954282</v>
          </cell>
          <cell r="AO110">
            <v>-0.29127440238952729</v>
          </cell>
          <cell r="AP110">
            <v>-0.2357595560254061</v>
          </cell>
          <cell r="AQ110">
            <v>-0.27154144068901598</v>
          </cell>
          <cell r="AR110">
            <v>-0.26629209456289415</v>
          </cell>
          <cell r="AS110">
            <v>-0.25788387373110999</v>
          </cell>
          <cell r="AT110">
            <v>-0.2713060144771704</v>
          </cell>
          <cell r="AU110">
            <v>-0.30632065219947979</v>
          </cell>
          <cell r="AV110">
            <v>-0.25757716292383248</v>
          </cell>
          <cell r="AW110">
            <v>-0.27753665997905985</v>
          </cell>
          <cell r="AX110">
            <v>-1.0602340776535102E-2</v>
          </cell>
          <cell r="AY110">
            <v>7.5248970753018396E-2</v>
          </cell>
          <cell r="AZ110">
            <v>7.0489577509783574E-2</v>
          </cell>
          <cell r="BA110">
            <v>4.8695833132044175E-2</v>
          </cell>
          <cell r="BB110">
            <v>0.31329761618107388</v>
          </cell>
          <cell r="BC110">
            <v>0.40410697639314708</v>
          </cell>
          <cell r="BD110">
            <v>0.2868095270133888</v>
          </cell>
          <cell r="BE110">
            <v>0.33186054539178467</v>
          </cell>
          <cell r="BF110">
            <v>0.21592730680501027</v>
          </cell>
          <cell r="BG110">
            <v>9.7296970429944896E-2</v>
          </cell>
        </row>
        <row r="112">
          <cell r="A112" t="str">
            <v xml:space="preserve">LUSTRA </v>
          </cell>
        </row>
        <row r="113">
          <cell r="A113" t="str">
            <v>TRx</v>
          </cell>
          <cell r="B113">
            <v>11236</v>
          </cell>
          <cell r="C113">
            <v>10541</v>
          </cell>
          <cell r="D113">
            <v>11749</v>
          </cell>
          <cell r="E113">
            <v>33526</v>
          </cell>
          <cell r="F113">
            <v>10703</v>
          </cell>
          <cell r="G113">
            <v>11503</v>
          </cell>
          <cell r="H113">
            <v>10786</v>
          </cell>
          <cell r="I113">
            <v>32992</v>
          </cell>
          <cell r="J113">
            <v>10382</v>
          </cell>
          <cell r="K113">
            <v>9842</v>
          </cell>
          <cell r="L113">
            <v>8171</v>
          </cell>
          <cell r="M113">
            <v>28395</v>
          </cell>
          <cell r="N113">
            <v>8673</v>
          </cell>
          <cell r="O113">
            <v>7752</v>
          </cell>
          <cell r="P113">
            <v>7562</v>
          </cell>
          <cell r="Q113">
            <v>23987</v>
          </cell>
          <cell r="R113">
            <v>7613</v>
          </cell>
          <cell r="S113">
            <v>7046</v>
          </cell>
          <cell r="T113">
            <v>8187</v>
          </cell>
          <cell r="U113">
            <v>22846</v>
          </cell>
          <cell r="V113">
            <v>7771</v>
          </cell>
          <cell r="W113">
            <v>7061</v>
          </cell>
          <cell r="X113">
            <v>6295</v>
          </cell>
          <cell r="Y113">
            <v>21127</v>
          </cell>
          <cell r="Z113">
            <v>5941</v>
          </cell>
          <cell r="AA113">
            <v>5639</v>
          </cell>
          <cell r="AB113">
            <v>4974</v>
          </cell>
          <cell r="AC113">
            <v>16554</v>
          </cell>
          <cell r="AD113">
            <v>5114</v>
          </cell>
          <cell r="AE113">
            <v>4471</v>
          </cell>
          <cell r="AF113">
            <v>4377</v>
          </cell>
          <cell r="AG113">
            <v>13962</v>
          </cell>
          <cell r="AH113">
            <v>4277</v>
          </cell>
          <cell r="AI113">
            <v>3790</v>
          </cell>
          <cell r="AJ113">
            <v>4395</v>
          </cell>
          <cell r="AK113">
            <v>12462</v>
          </cell>
          <cell r="AL113">
            <v>4428</v>
          </cell>
          <cell r="AM113">
            <v>4264</v>
          </cell>
          <cell r="AN113">
            <v>4086</v>
          </cell>
          <cell r="AO113">
            <v>12778</v>
          </cell>
          <cell r="AP113">
            <v>4025</v>
          </cell>
          <cell r="AQ113">
            <v>3423</v>
          </cell>
          <cell r="AR113">
            <v>3397</v>
          </cell>
          <cell r="AS113">
            <v>10845</v>
          </cell>
          <cell r="AT113">
            <v>3235</v>
          </cell>
          <cell r="AU113">
            <v>2749</v>
          </cell>
          <cell r="AV113">
            <v>2932</v>
          </cell>
          <cell r="AW113">
            <v>8916</v>
          </cell>
          <cell r="AX113">
            <v>2672</v>
          </cell>
          <cell r="AY113">
            <v>2607</v>
          </cell>
          <cell r="AZ113">
            <v>2978</v>
          </cell>
          <cell r="BA113">
            <v>8257</v>
          </cell>
          <cell r="BB113">
            <v>2755</v>
          </cell>
          <cell r="BC113">
            <v>2388</v>
          </cell>
          <cell r="BD113">
            <v>2400</v>
          </cell>
          <cell r="BE113">
            <v>7543</v>
          </cell>
          <cell r="BF113">
            <v>2524</v>
          </cell>
          <cell r="BG113">
            <v>2034</v>
          </cell>
          <cell r="BH113">
            <v>1966</v>
          </cell>
          <cell r="BI113">
            <v>6524</v>
          </cell>
        </row>
        <row r="114">
          <cell r="A114" t="str">
            <v xml:space="preserve">  % Change</v>
          </cell>
          <cell r="R114">
            <v>-0.32244571021715918</v>
          </cell>
          <cell r="S114">
            <v>-0.33156247035385633</v>
          </cell>
          <cell r="T114">
            <v>-0.30317473827559793</v>
          </cell>
          <cell r="U114">
            <v>-0.31855873053749328</v>
          </cell>
          <cell r="V114">
            <v>-0.27394188545267684</v>
          </cell>
          <cell r="W114">
            <v>-0.38616013213944189</v>
          </cell>
          <cell r="X114">
            <v>-0.41637307620990172</v>
          </cell>
          <cell r="Y114">
            <v>-0.35963263821532487</v>
          </cell>
          <cell r="Z114">
            <v>-0.42775958389520319</v>
          </cell>
          <cell r="AA114">
            <v>-0.42704734809997968</v>
          </cell>
          <cell r="AB114">
            <v>-0.3912617794639579</v>
          </cell>
          <cell r="AC114">
            <v>-0.41701003697834127</v>
          </cell>
          <cell r="AD114">
            <v>-0.4103539720973135</v>
          </cell>
          <cell r="AE114">
            <v>-0.42324561403508776</v>
          </cell>
          <cell r="AF114">
            <v>-0.42118487172705632</v>
          </cell>
          <cell r="AG114">
            <v>-0.41793471463709508</v>
          </cell>
          <cell r="AH114">
            <v>-0.43819781951924341</v>
          </cell>
          <cell r="AI114">
            <v>-0.46210615952313372</v>
          </cell>
          <cell r="AJ114">
            <v>-0.46317332356174423</v>
          </cell>
          <cell r="AK114">
            <v>-0.45452157926989412</v>
          </cell>
          <cell r="AL114">
            <v>-0.43018916484364944</v>
          </cell>
          <cell r="AM114">
            <v>-0.39611952981164145</v>
          </cell>
          <cell r="AN114">
            <v>-0.35091342335186659</v>
          </cell>
          <cell r="AO114">
            <v>-0.39518152127609218</v>
          </cell>
          <cell r="AP114">
            <v>-0.32250462885036191</v>
          </cell>
          <cell r="AQ114">
            <v>-0.39297747827629015</v>
          </cell>
          <cell r="AR114">
            <v>-0.31704865299557705</v>
          </cell>
          <cell r="AS114">
            <v>-0.34487133019209859</v>
          </cell>
          <cell r="AT114">
            <v>-0.36742276104810323</v>
          </cell>
          <cell r="AU114">
            <v>-0.38514873630060387</v>
          </cell>
          <cell r="AV114">
            <v>-0.33013479552204705</v>
          </cell>
          <cell r="AW114">
            <v>-0.36140954018048987</v>
          </cell>
          <cell r="AX114">
            <v>-0.3752630348375029</v>
          </cell>
          <cell r="AY114">
            <v>-0.31213720316622695</v>
          </cell>
          <cell r="AZ114">
            <v>-0.32241183162684872</v>
          </cell>
          <cell r="BA114">
            <v>-0.33742577435403631</v>
          </cell>
          <cell r="BB114">
            <v>-0.37782294489611568</v>
          </cell>
          <cell r="BC114">
            <v>-0.43996247654784237</v>
          </cell>
          <cell r="BD114">
            <v>-0.41262848751835535</v>
          </cell>
          <cell r="BE114">
            <v>-0.40968852715604942</v>
          </cell>
          <cell r="BF114">
            <v>-0.37291925465838505</v>
          </cell>
          <cell r="BG114">
            <v>-0.40578439964943036</v>
          </cell>
          <cell r="BH114">
            <v>-0.42125404768913743</v>
          </cell>
          <cell r="BI114">
            <v>-0.39843245735361921</v>
          </cell>
        </row>
        <row r="115">
          <cell r="A115" t="str">
            <v>NRx</v>
          </cell>
          <cell r="B115">
            <v>6903</v>
          </cell>
          <cell r="C115">
            <v>6537</v>
          </cell>
          <cell r="D115">
            <v>7370</v>
          </cell>
          <cell r="E115">
            <v>20810</v>
          </cell>
          <cell r="F115">
            <v>6602</v>
          </cell>
          <cell r="G115">
            <v>7467</v>
          </cell>
          <cell r="H115">
            <v>6858</v>
          </cell>
          <cell r="I115">
            <v>20927</v>
          </cell>
          <cell r="J115">
            <v>6586</v>
          </cell>
          <cell r="K115">
            <v>6330</v>
          </cell>
          <cell r="L115">
            <v>5261</v>
          </cell>
          <cell r="M115">
            <v>18177</v>
          </cell>
          <cell r="N115">
            <v>5438</v>
          </cell>
          <cell r="O115">
            <v>4926</v>
          </cell>
          <cell r="P115">
            <v>4377</v>
          </cell>
          <cell r="Q115">
            <v>14741</v>
          </cell>
          <cell r="R115">
            <v>4797</v>
          </cell>
          <cell r="S115">
            <v>4576</v>
          </cell>
          <cell r="T115">
            <v>5305</v>
          </cell>
          <cell r="U115">
            <v>14678</v>
          </cell>
          <cell r="V115">
            <v>4943</v>
          </cell>
          <cell r="W115">
            <v>4401</v>
          </cell>
          <cell r="X115">
            <v>3944</v>
          </cell>
          <cell r="Y115">
            <v>13288</v>
          </cell>
          <cell r="Z115">
            <v>3807</v>
          </cell>
          <cell r="AA115">
            <v>3665</v>
          </cell>
          <cell r="AB115">
            <v>3193</v>
          </cell>
          <cell r="AC115">
            <v>10665</v>
          </cell>
          <cell r="AD115">
            <v>3246</v>
          </cell>
          <cell r="AE115">
            <v>2770</v>
          </cell>
          <cell r="AF115">
            <v>2507</v>
          </cell>
          <cell r="AG115">
            <v>8523</v>
          </cell>
          <cell r="AH115">
            <v>2731</v>
          </cell>
          <cell r="AI115">
            <v>2412</v>
          </cell>
          <cell r="AJ115">
            <v>2869</v>
          </cell>
          <cell r="AK115">
            <v>8012</v>
          </cell>
          <cell r="AL115">
            <v>3044</v>
          </cell>
          <cell r="AM115">
            <v>2846</v>
          </cell>
          <cell r="AN115">
            <v>2715</v>
          </cell>
          <cell r="AO115">
            <v>8605</v>
          </cell>
          <cell r="AP115">
            <v>2650</v>
          </cell>
          <cell r="AQ115">
            <v>2240</v>
          </cell>
          <cell r="AR115">
            <v>2202</v>
          </cell>
          <cell r="AS115">
            <v>7092</v>
          </cell>
          <cell r="AT115">
            <v>2114</v>
          </cell>
          <cell r="AU115">
            <v>1789</v>
          </cell>
          <cell r="AV115">
            <v>1812</v>
          </cell>
          <cell r="AW115">
            <v>5715</v>
          </cell>
          <cell r="AX115">
            <v>1742</v>
          </cell>
          <cell r="AY115">
            <v>1822</v>
          </cell>
          <cell r="AZ115">
            <v>2035</v>
          </cell>
          <cell r="BA115">
            <v>5599</v>
          </cell>
          <cell r="BB115">
            <v>1985</v>
          </cell>
          <cell r="BC115">
            <v>1721</v>
          </cell>
          <cell r="BD115">
            <v>1759</v>
          </cell>
          <cell r="BE115">
            <v>5465</v>
          </cell>
          <cell r="BF115">
            <v>1944</v>
          </cell>
          <cell r="BG115">
            <v>1541</v>
          </cell>
          <cell r="BH115">
            <v>1519</v>
          </cell>
          <cell r="BI115">
            <v>5004</v>
          </cell>
        </row>
        <row r="116">
          <cell r="A116" t="str">
            <v xml:space="preserve">  % Change</v>
          </cell>
          <cell r="R116">
            <v>-0.30508474576271183</v>
          </cell>
          <cell r="S116">
            <v>-0.29998470246290343</v>
          </cell>
          <cell r="T116">
            <v>-0.28018995929443691</v>
          </cell>
          <cell r="U116">
            <v>-0.29466602594906299</v>
          </cell>
          <cell r="V116">
            <v>-0.2512874886398061</v>
          </cell>
          <cell r="W116">
            <v>-0.41060666934511847</v>
          </cell>
          <cell r="X116">
            <v>-0.42490522018081078</v>
          </cell>
          <cell r="Y116">
            <v>-0.36503082142686483</v>
          </cell>
          <cell r="Z116">
            <v>-0.42195566352869729</v>
          </cell>
          <cell r="AA116">
            <v>-0.42101105845181674</v>
          </cell>
          <cell r="AB116">
            <v>-0.39308116327694353</v>
          </cell>
          <cell r="AC116">
            <v>-0.41326951642185183</v>
          </cell>
          <cell r="AD116">
            <v>-0.40308937109231335</v>
          </cell>
          <cell r="AE116">
            <v>-0.43767762890783601</v>
          </cell>
          <cell r="AF116">
            <v>-0.42723326479323742</v>
          </cell>
          <cell r="AG116">
            <v>-0.42181670171630148</v>
          </cell>
          <cell r="AH116">
            <v>-0.43068584531999166</v>
          </cell>
          <cell r="AI116">
            <v>-0.47290209790209792</v>
          </cell>
          <cell r="AJ116">
            <v>-0.45918944392082939</v>
          </cell>
          <cell r="AK116">
            <v>-0.45414906663033106</v>
          </cell>
          <cell r="AL116">
            <v>-0.3841796479870524</v>
          </cell>
          <cell r="AM116">
            <v>-0.35332878891161101</v>
          </cell>
          <cell r="AN116">
            <v>-0.31161257606490878</v>
          </cell>
          <cell r="AO116">
            <v>-0.35242323901264294</v>
          </cell>
          <cell r="AP116">
            <v>-0.30391384292093515</v>
          </cell>
          <cell r="AQ116">
            <v>-0.38881309686221011</v>
          </cell>
          <cell r="AR116">
            <v>-0.31036642655809588</v>
          </cell>
          <cell r="AS116">
            <v>-0.33502109704641347</v>
          </cell>
          <cell r="AT116">
            <v>-0.34873690696241533</v>
          </cell>
          <cell r="AU116">
            <v>-0.3541516245487365</v>
          </cell>
          <cell r="AV116">
            <v>-0.27722377343438376</v>
          </cell>
          <cell r="AW116">
            <v>-0.3294614572333685</v>
          </cell>
          <cell r="AX116">
            <v>-0.36213841083852072</v>
          </cell>
          <cell r="AY116">
            <v>-0.24461028192371481</v>
          </cell>
          <cell r="AZ116">
            <v>-0.29069362147089584</v>
          </cell>
          <cell r="BA116">
            <v>-0.3011732401397903</v>
          </cell>
          <cell r="BB116">
            <v>-0.34789750328515112</v>
          </cell>
          <cell r="BC116">
            <v>-0.39529163738580464</v>
          </cell>
          <cell r="BD116">
            <v>-0.3521178637200737</v>
          </cell>
          <cell r="BE116">
            <v>-0.36490412550842533</v>
          </cell>
          <cell r="BF116">
            <v>-0.26641509433962263</v>
          </cell>
          <cell r="BG116">
            <v>-0.31205357142857137</v>
          </cell>
          <cell r="BH116">
            <v>-0.31017257039055401</v>
          </cell>
          <cell r="BI116">
            <v>-0.29441624365482233</v>
          </cell>
        </row>
        <row r="117">
          <cell r="A117" t="str">
            <v>Sales (IMS)</v>
          </cell>
          <cell r="B117">
            <v>0.41493000000000002</v>
          </cell>
          <cell r="C117">
            <v>0.45794800000000002</v>
          </cell>
          <cell r="D117">
            <v>0.58353100000000002</v>
          </cell>
          <cell r="E117">
            <v>1.4564090000000001</v>
          </cell>
          <cell r="F117">
            <v>0.45611699999999999</v>
          </cell>
          <cell r="G117">
            <v>0.486591</v>
          </cell>
          <cell r="H117">
            <v>0.57022499999999998</v>
          </cell>
          <cell r="I117">
            <v>1.5129329999999999</v>
          </cell>
          <cell r="J117">
            <v>0.47279900000000002</v>
          </cell>
          <cell r="K117">
            <v>0.44706499999999999</v>
          </cell>
          <cell r="L117">
            <v>0.49781700000000001</v>
          </cell>
          <cell r="M117">
            <v>1.417681</v>
          </cell>
          <cell r="N117">
            <v>0.39718599999999998</v>
          </cell>
          <cell r="O117">
            <v>0.49832700000000002</v>
          </cell>
          <cell r="P117">
            <v>0.419184</v>
          </cell>
          <cell r="Q117">
            <v>1.314697</v>
          </cell>
          <cell r="R117">
            <v>0.337086</v>
          </cell>
          <cell r="S117">
            <v>0.37455899999999998</v>
          </cell>
          <cell r="T117">
            <v>0.47586099999999998</v>
          </cell>
          <cell r="U117">
            <v>1.187506</v>
          </cell>
          <cell r="V117">
            <v>0.39872999999999997</v>
          </cell>
          <cell r="W117">
            <v>0.33046999999999999</v>
          </cell>
          <cell r="X117">
            <v>0.38375599999999999</v>
          </cell>
          <cell r="Y117">
            <v>1.1129560000000001</v>
          </cell>
          <cell r="Z117">
            <v>0.30649100000000001</v>
          </cell>
          <cell r="AA117">
            <v>0.287049</v>
          </cell>
          <cell r="AB117">
            <v>0.323295</v>
          </cell>
          <cell r="AC117">
            <v>0.91683500000000007</v>
          </cell>
          <cell r="AD117">
            <v>0.28631400000000001</v>
          </cell>
          <cell r="AE117">
            <v>0.233602</v>
          </cell>
          <cell r="AF117">
            <v>0.267183</v>
          </cell>
          <cell r="AG117">
            <v>0.78709899999999999</v>
          </cell>
          <cell r="AH117">
            <v>0.22042200000000001</v>
          </cell>
          <cell r="AI117">
            <v>0.21989800000000001</v>
          </cell>
          <cell r="AJ117">
            <v>0.28289700000000001</v>
          </cell>
          <cell r="AK117">
            <v>0.723217</v>
          </cell>
          <cell r="AL117">
            <v>0.23316899999999999</v>
          </cell>
          <cell r="AM117">
            <v>0.24798999999999999</v>
          </cell>
          <cell r="AN117">
            <v>0.32892399999999999</v>
          </cell>
          <cell r="AO117">
            <v>0.81008299999999989</v>
          </cell>
          <cell r="AP117">
            <v>0.24335100000000001</v>
          </cell>
          <cell r="AQ117">
            <v>0.21921599999999999</v>
          </cell>
          <cell r="AR117">
            <v>0.26760499999999998</v>
          </cell>
          <cell r="AS117">
            <v>0.73017199999999993</v>
          </cell>
          <cell r="AT117">
            <v>0.201681</v>
          </cell>
          <cell r="AU117">
            <v>0.17760899999999999</v>
          </cell>
          <cell r="AV117">
            <v>0.20674600000000001</v>
          </cell>
          <cell r="AW117">
            <v>0.586036</v>
          </cell>
          <cell r="AX117">
            <v>0.212177</v>
          </cell>
          <cell r="AY117">
            <v>0.28428100000000001</v>
          </cell>
          <cell r="AZ117">
            <v>0.32122200000000001</v>
          </cell>
          <cell r="BA117">
            <v>0.81767999999999996</v>
          </cell>
          <cell r="BB117">
            <v>0.28674699999999997</v>
          </cell>
          <cell r="BC117">
            <v>0.26650099999999999</v>
          </cell>
          <cell r="BD117">
            <v>0.321627</v>
          </cell>
          <cell r="BE117">
            <v>0.87487499999999996</v>
          </cell>
          <cell r="BF117">
            <v>0.262824</v>
          </cell>
          <cell r="BG117">
            <v>0.226996</v>
          </cell>
        </row>
        <row r="118">
          <cell r="A118" t="str">
            <v xml:space="preserve">  % Change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-0.18760754826115256</v>
          </cell>
          <cell r="S118">
            <v>-0.18209272668512588</v>
          </cell>
          <cell r="T118">
            <v>-0.18451461876061437</v>
          </cell>
          <cell r="U118">
            <v>-0.1846342613922326</v>
          </cell>
          <cell r="V118">
            <v>-0.12581640237044445</v>
          </cell>
          <cell r="W118">
            <v>-0.32084646037431852</v>
          </cell>
          <cell r="X118">
            <v>-0.32700951378841681</v>
          </cell>
          <cell r="Y118">
            <v>-0.26437191865072662</v>
          </cell>
          <cell r="Z118">
            <v>-0.35175201301187187</v>
          </cell>
          <cell r="AA118">
            <v>-0.35792558129131113</v>
          </cell>
          <cell r="AB118">
            <v>-0.3505746087417666</v>
          </cell>
          <cell r="AC118">
            <v>-0.35328540059435087</v>
          </cell>
          <cell r="AD118">
            <v>-0.27914377646744848</v>
          </cell>
          <cell r="AE118">
            <v>-0.53122748717207779</v>
          </cell>
          <cell r="AF118">
            <v>-0.36261164548265201</v>
          </cell>
          <cell r="AG118">
            <v>-0.40130767773867282</v>
          </cell>
          <cell r="AH118">
            <v>-0.34609565511471851</v>
          </cell>
          <cell r="AI118">
            <v>-0.41291492128075946</v>
          </cell>
          <cell r="AJ118">
            <v>-0.40550496888797349</v>
          </cell>
          <cell r="AK118">
            <v>-0.39097823505733864</v>
          </cell>
          <cell r="AL118">
            <v>-0.41522082612294031</v>
          </cell>
          <cell r="AM118">
            <v>-0.2495839259236845</v>
          </cell>
          <cell r="AN118">
            <v>-0.14288245656093979</v>
          </cell>
          <cell r="AO118">
            <v>-0.27213384895719162</v>
          </cell>
          <cell r="AP118">
            <v>-0.20600931185581306</v>
          </cell>
          <cell r="AQ118">
            <v>-0.23631157049841667</v>
          </cell>
          <cell r="AR118">
            <v>-0.17225753568722069</v>
          </cell>
          <cell r="AS118">
            <v>-0.20359497619528066</v>
          </cell>
          <cell r="AT118">
            <v>-0.29559504599844932</v>
          </cell>
          <cell r="AU118">
            <v>-0.23969400946909702</v>
          </cell>
          <cell r="AV118">
            <v>-0.22620076876148554</v>
          </cell>
          <cell r="AW118">
            <v>-0.25544817106869655</v>
          </cell>
          <cell r="AX118">
            <v>-3.7405522134814184E-2</v>
          </cell>
          <cell r="AY118">
            <v>0.29278574611865493</v>
          </cell>
          <cell r="AZ118">
            <v>0.13547333481797263</v>
          </cell>
          <cell r="BA118">
            <v>0.13061501596339675</v>
          </cell>
          <cell r="BB118">
            <v>0.22978183206172353</v>
          </cell>
          <cell r="BC118">
            <v>7.4644138876567512E-2</v>
          </cell>
          <cell r="BD118">
            <v>-2.2184455983753071E-2</v>
          </cell>
          <cell r="BE118">
            <v>7.9981927777770911E-2</v>
          </cell>
          <cell r="BF118">
            <v>8.0020217710220942E-2</v>
          </cell>
          <cell r="BG118">
            <v>3.5490110210933512E-2</v>
          </cell>
        </row>
        <row r="121">
          <cell r="A121" t="str">
            <v>TRx TARO Products</v>
          </cell>
          <cell r="B121">
            <v>765686</v>
          </cell>
          <cell r="C121">
            <v>701510</v>
          </cell>
          <cell r="D121">
            <v>819822</v>
          </cell>
          <cell r="E121">
            <v>2287018</v>
          </cell>
          <cell r="F121">
            <v>810626</v>
          </cell>
          <cell r="G121">
            <v>872840</v>
          </cell>
          <cell r="H121">
            <v>964318</v>
          </cell>
          <cell r="I121">
            <v>2647784</v>
          </cell>
          <cell r="J121">
            <v>1060680</v>
          </cell>
          <cell r="K121">
            <v>1127273</v>
          </cell>
          <cell r="L121">
            <v>1021607</v>
          </cell>
          <cell r="M121">
            <v>3209560</v>
          </cell>
          <cell r="N121">
            <v>1194896</v>
          </cell>
          <cell r="O121">
            <v>1140812</v>
          </cell>
          <cell r="P121">
            <v>1143576</v>
          </cell>
          <cell r="Q121">
            <v>3479284</v>
          </cell>
          <cell r="R121">
            <v>1288358</v>
          </cell>
          <cell r="S121">
            <v>1196453</v>
          </cell>
          <cell r="T121">
            <v>1335697</v>
          </cell>
          <cell r="U121">
            <v>3820508</v>
          </cell>
          <cell r="V121">
            <v>1409098</v>
          </cell>
          <cell r="W121">
            <v>1449132</v>
          </cell>
          <cell r="X121">
            <v>1401358</v>
          </cell>
          <cell r="Y121">
            <v>4259588</v>
          </cell>
          <cell r="Z121">
            <v>1524500</v>
          </cell>
          <cell r="AA121">
            <v>1528049</v>
          </cell>
          <cell r="AB121">
            <v>1460030</v>
          </cell>
          <cell r="AC121">
            <v>4512579</v>
          </cell>
          <cell r="AD121">
            <v>1564231</v>
          </cell>
          <cell r="AE121">
            <v>1484663</v>
          </cell>
          <cell r="AF121">
            <v>1575437</v>
          </cell>
          <cell r="AG121">
            <v>4624331</v>
          </cell>
          <cell r="AH121">
            <v>1659836</v>
          </cell>
          <cell r="AI121">
            <v>1502244</v>
          </cell>
          <cell r="AJ121">
            <v>1673044</v>
          </cell>
          <cell r="AK121">
            <v>4835124</v>
          </cell>
          <cell r="AL121">
            <v>1709307</v>
          </cell>
          <cell r="AM121">
            <v>1752302</v>
          </cell>
          <cell r="AN121">
            <v>1768467</v>
          </cell>
          <cell r="AO121">
            <v>5230076</v>
          </cell>
          <cell r="AP121">
            <v>1861963</v>
          </cell>
          <cell r="AQ121">
            <v>1823531</v>
          </cell>
          <cell r="AR121">
            <v>1826447</v>
          </cell>
          <cell r="AS121">
            <v>5511941</v>
          </cell>
          <cell r="AT121">
            <v>2004267</v>
          </cell>
          <cell r="AU121">
            <v>1856548</v>
          </cell>
          <cell r="AV121">
            <v>2065738</v>
          </cell>
          <cell r="AW121">
            <v>5926553</v>
          </cell>
          <cell r="AX121">
            <v>2049594</v>
          </cell>
          <cell r="AY121">
            <v>1941767</v>
          </cell>
          <cell r="AZ121">
            <v>2185385</v>
          </cell>
          <cell r="BA121">
            <v>6176746</v>
          </cell>
          <cell r="BB121">
            <v>2098351</v>
          </cell>
          <cell r="BC121">
            <v>2095504</v>
          </cell>
          <cell r="BD121">
            <v>2245554</v>
          </cell>
          <cell r="BE121">
            <v>6439409</v>
          </cell>
          <cell r="BF121">
            <v>2217150</v>
          </cell>
          <cell r="BG121">
            <v>2259389</v>
          </cell>
          <cell r="BH121">
            <v>2167496</v>
          </cell>
          <cell r="BI121">
            <v>6644035</v>
          </cell>
        </row>
        <row r="122">
          <cell r="A122" t="str">
            <v xml:space="preserve">  % Change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0.68261924600946089</v>
          </cell>
          <cell r="S122">
            <v>0.70553947912360471</v>
          </cell>
          <cell r="T122">
            <v>0.62925244748250231</v>
          </cell>
          <cell r="U122">
            <v>0.67051942748155025</v>
          </cell>
          <cell r="V122">
            <v>0.73828374614187053</v>
          </cell>
          <cell r="W122">
            <v>0.66024930113193703</v>
          </cell>
          <cell r="X122">
            <v>0.45321149247447412</v>
          </cell>
          <cell r="Y122">
            <v>0.60873696645949971</v>
          </cell>
          <cell r="Z122">
            <v>0.43728551495267176</v>
          </cell>
          <cell r="AA122">
            <v>0.35552701075959425</v>
          </cell>
          <cell r="AB122">
            <v>0.42915034842165323</v>
          </cell>
          <cell r="AC122">
            <v>0.4059805705454953</v>
          </cell>
          <cell r="AD122">
            <v>0.30909384582423916</v>
          </cell>
          <cell r="AE122">
            <v>0.30140899639905605</v>
          </cell>
          <cell r="AF122">
            <v>0.37764083891232425</v>
          </cell>
          <cell r="AG122">
            <v>0.32910420649765881</v>
          </cell>
          <cell r="AH122">
            <v>0.28833445362236265</v>
          </cell>
          <cell r="AI122">
            <v>0.25558128902681498</v>
          </cell>
          <cell r="AJ122">
            <v>0.25256251979303679</v>
          </cell>
          <cell r="AK122">
            <v>0.26557096595531271</v>
          </cell>
          <cell r="AL122">
            <v>0.21305047626211948</v>
          </cell>
          <cell r="AM122">
            <v>0.20920799485485109</v>
          </cell>
          <cell r="AN122">
            <v>0.26196660667723726</v>
          </cell>
          <cell r="AO122">
            <v>0.22783611936177861</v>
          </cell>
          <cell r="AP122">
            <v>0.2213597900951132</v>
          </cell>
          <cell r="AQ122">
            <v>0.19337207118358113</v>
          </cell>
          <cell r="AR122">
            <v>0.25096539112210015</v>
          </cell>
          <cell r="AS122">
            <v>0.22146138604997279</v>
          </cell>
          <cell r="AT122">
            <v>0.28131139198750055</v>
          </cell>
          <cell r="AU122">
            <v>0.25048445337426739</v>
          </cell>
          <cell r="AV122">
            <v>0.31121587216753199</v>
          </cell>
          <cell r="AW122">
            <v>0.28160224689798374</v>
          </cell>
          <cell r="AX122">
            <v>0.23481717470882657</v>
          </cell>
          <cell r="AY122">
            <v>0.29257763718809993</v>
          </cell>
          <cell r="AZ122">
            <v>0.30623283069662244</v>
          </cell>
          <cell r="BA122">
            <v>0.27747416612273024</v>
          </cell>
          <cell r="BB122">
            <v>0.227603350363627</v>
          </cell>
          <cell r="BC122">
            <v>0.19585779163637329</v>
          </cell>
          <cell r="BD122">
            <v>0.26977432997053374</v>
          </cell>
          <cell r="BE122">
            <v>0.23122665903898909</v>
          </cell>
          <cell r="BF122">
            <v>0.19075942969865678</v>
          </cell>
          <cell r="BG122">
            <v>0.23901869504823336</v>
          </cell>
          <cell r="BH122">
            <v>0.18672811201201012</v>
          </cell>
          <cell r="BI122">
            <v>0.20538935376848189</v>
          </cell>
        </row>
        <row r="123">
          <cell r="A123" t="str">
            <v xml:space="preserve">TOTAL TARO PRODUCTS REPORTED SALES </v>
          </cell>
          <cell r="E123">
            <v>28.367999999999999</v>
          </cell>
          <cell r="I123">
            <v>36.36</v>
          </cell>
          <cell r="M123">
            <v>41.042999999999999</v>
          </cell>
          <cell r="Q123">
            <v>43.459000000000003</v>
          </cell>
          <cell r="U123">
            <v>44.539000000000001</v>
          </cell>
          <cell r="Y123">
            <v>49.582999999999998</v>
          </cell>
          <cell r="AC123">
            <v>55.481999999999999</v>
          </cell>
          <cell r="AG123">
            <v>61.975999999999999</v>
          </cell>
          <cell r="AK123">
            <v>68.968000000000004</v>
          </cell>
          <cell r="AO123">
            <v>74.8</v>
          </cell>
          <cell r="AS123">
            <v>83.1</v>
          </cell>
          <cell r="AW123">
            <v>88.6</v>
          </cell>
          <cell r="BA123">
            <v>84.1</v>
          </cell>
          <cell r="BE123">
            <v>49.1</v>
          </cell>
          <cell r="BI123">
            <v>70</v>
          </cell>
        </row>
        <row r="124">
          <cell r="A124" t="str">
            <v xml:space="preserve">  % Change</v>
          </cell>
          <cell r="E124">
            <v>0</v>
          </cell>
          <cell r="I124">
            <v>0</v>
          </cell>
          <cell r="M124">
            <v>0</v>
          </cell>
          <cell r="Q124">
            <v>0</v>
          </cell>
          <cell r="U124">
            <v>0.57004371122391451</v>
          </cell>
          <cell r="Y124">
            <v>0.36366886688668854</v>
          </cell>
          <cell r="AC124">
            <v>0.35180176887654402</v>
          </cell>
          <cell r="AG124">
            <v>0.42607975333072545</v>
          </cell>
          <cell r="AK124">
            <v>0.548485596892611</v>
          </cell>
          <cell r="AO124">
            <v>0.50858157029627082</v>
          </cell>
          <cell r="AS124">
            <v>0.49778306477776568</v>
          </cell>
          <cell r="AW124">
            <v>0.42958564605653793</v>
          </cell>
          <cell r="BA124">
            <v>0.2194061013803501</v>
          </cell>
          <cell r="BE124">
            <v>-0.34358288770053469</v>
          </cell>
          <cell r="BI124">
            <v>-0.15764139590854387</v>
          </cell>
        </row>
        <row r="125">
          <cell r="A125" t="str">
            <v>TOTAL TARO PRODUCTS SALES (IMS)</v>
          </cell>
          <cell r="B125">
            <v>7.8426629999999999</v>
          </cell>
          <cell r="C125">
            <v>7.8027199999999999</v>
          </cell>
          <cell r="D125">
            <v>10.494491999999999</v>
          </cell>
          <cell r="E125">
            <v>26.139874999999996</v>
          </cell>
          <cell r="F125">
            <v>8.4673809999999996</v>
          </cell>
          <cell r="G125">
            <v>9.0972519999999992</v>
          </cell>
          <cell r="H125">
            <v>16.801466000000001</v>
          </cell>
          <cell r="I125">
            <v>34.366099000000006</v>
          </cell>
          <cell r="J125">
            <v>13.807667</v>
          </cell>
          <cell r="K125">
            <v>15.285446</v>
          </cell>
          <cell r="L125">
            <v>18.797049999999999</v>
          </cell>
          <cell r="M125">
            <v>47.890163000000001</v>
          </cell>
          <cell r="N125">
            <v>15.275931</v>
          </cell>
          <cell r="O125">
            <v>19.095476999999999</v>
          </cell>
          <cell r="P125">
            <v>18.454094000000001</v>
          </cell>
          <cell r="Q125">
            <v>52.825502</v>
          </cell>
          <cell r="R125">
            <v>18.184543000000001</v>
          </cell>
          <cell r="S125">
            <v>16.718826</v>
          </cell>
          <cell r="T125">
            <v>22.852336000000001</v>
          </cell>
          <cell r="U125">
            <v>57.755704999999999</v>
          </cell>
          <cell r="V125">
            <v>18.146343000000002</v>
          </cell>
          <cell r="W125">
            <v>18.110541999999999</v>
          </cell>
          <cell r="X125">
            <v>23.888392</v>
          </cell>
          <cell r="Y125">
            <v>60.145276999999993</v>
          </cell>
          <cell r="Z125">
            <v>19.288888</v>
          </cell>
          <cell r="AA125">
            <v>19.651444999999999</v>
          </cell>
          <cell r="AB125">
            <v>23.902035999999999</v>
          </cell>
          <cell r="AC125">
            <v>62.842368999999991</v>
          </cell>
          <cell r="AD125">
            <v>19.003523000000001</v>
          </cell>
          <cell r="AE125">
            <v>18.189371000000001</v>
          </cell>
          <cell r="AF125">
            <v>24.140967</v>
          </cell>
          <cell r="AG125">
            <v>61.333860999999999</v>
          </cell>
          <cell r="AH125">
            <v>20.347532999999999</v>
          </cell>
          <cell r="AI125">
            <v>20.317440999999999</v>
          </cell>
          <cell r="AJ125">
            <v>26.181716999999999</v>
          </cell>
          <cell r="AK125">
            <v>66.846690999999993</v>
          </cell>
          <cell r="AL125">
            <v>18.376937000000002</v>
          </cell>
          <cell r="AM125">
            <v>18.466888000000001</v>
          </cell>
          <cell r="AN125">
            <v>24.968464000000001</v>
          </cell>
          <cell r="AO125">
            <v>61.812289000000007</v>
          </cell>
          <cell r="AP125">
            <v>19.577605999999999</v>
          </cell>
          <cell r="AQ125">
            <v>20.750592000000001</v>
          </cell>
          <cell r="AR125">
            <v>26.541117</v>
          </cell>
          <cell r="AS125">
            <v>66.869315</v>
          </cell>
          <cell r="AT125">
            <v>22.897780999999998</v>
          </cell>
          <cell r="AU125">
            <v>22.814892</v>
          </cell>
          <cell r="AV125">
            <v>26.919924999999999</v>
          </cell>
          <cell r="AW125">
            <v>72.632598000000002</v>
          </cell>
          <cell r="AX125">
            <v>22.085429999999999</v>
          </cell>
          <cell r="AY125">
            <v>23.166575999999999</v>
          </cell>
          <cell r="AZ125">
            <v>29.689896000000001</v>
          </cell>
          <cell r="BA125">
            <v>74.941901999999999</v>
          </cell>
          <cell r="BB125">
            <v>24.539549000000001</v>
          </cell>
          <cell r="BC125">
            <v>24.906120999999999</v>
          </cell>
          <cell r="BD125">
            <v>31.773451000000001</v>
          </cell>
          <cell r="BE125">
            <v>81.219121000000001</v>
          </cell>
          <cell r="BF125">
            <v>26.087698</v>
          </cell>
          <cell r="BG125">
            <v>28.124525999999999</v>
          </cell>
        </row>
        <row r="126">
          <cell r="A126" t="str">
            <v xml:space="preserve">  % Change</v>
          </cell>
          <cell r="E126">
            <v>0</v>
          </cell>
          <cell r="I126">
            <v>0</v>
          </cell>
          <cell r="M126">
            <v>0</v>
          </cell>
          <cell r="Q126">
            <v>0</v>
          </cell>
          <cell r="U126">
            <v>1.2094866559231829</v>
          </cell>
          <cell r="Y126">
            <v>0.75013396196059334</v>
          </cell>
          <cell r="AC126">
            <v>0.31221873268629285</v>
          </cell>
          <cell r="AG126">
            <v>0.16106536952549932</v>
          </cell>
          <cell r="AK126">
            <v>0.15740412137640769</v>
          </cell>
          <cell r="AO126">
            <v>2.7716424017799612E-2</v>
          </cell>
          <cell r="AP126">
            <v>1.4968099768115195E-2</v>
          </cell>
          <cell r="AQ126">
            <v>5.5932121022143733E-2</v>
          </cell>
          <cell r="AR126">
            <v>0.11041239332080344</v>
          </cell>
          <cell r="AS126">
            <v>6.4080111301978659E-2</v>
          </cell>
          <cell r="AT126">
            <v>0.20492295033926067</v>
          </cell>
          <cell r="AU126">
            <v>0.25429801833169496</v>
          </cell>
          <cell r="AV126">
            <v>0.11511378148190987</v>
          </cell>
          <cell r="AW126">
            <v>0.18421695317697351</v>
          </cell>
          <cell r="AX126">
            <v>8.5410698191274559E-2</v>
          </cell>
          <cell r="AY126">
            <v>0.14023099661025218</v>
          </cell>
          <cell r="AZ126">
            <v>0.13399346574558124</v>
          </cell>
          <cell r="BA126">
            <v>0.12110114769929314</v>
          </cell>
          <cell r="BB126">
            <v>0.33534489452730876</v>
          </cell>
          <cell r="BC126">
            <v>0.34869074854409665</v>
          </cell>
          <cell r="BD126">
            <v>0.27254327699132785</v>
          </cell>
          <cell r="BE126">
            <v>0.3139639756748045</v>
          </cell>
          <cell r="BF126">
            <v>0.33252748063271875</v>
          </cell>
          <cell r="BG126">
            <v>0.35536017478441084</v>
          </cell>
        </row>
        <row r="128">
          <cell r="A128" t="str">
            <v>REPORTED SALES/TRx GENERICS</v>
          </cell>
          <cell r="E128">
            <v>12.40392511121469</v>
          </cell>
          <cell r="I128">
            <v>13.732237977115958</v>
          </cell>
          <cell r="M128">
            <v>12.787734144244071</v>
          </cell>
          <cell r="Q128">
            <v>12.490788334611375</v>
          </cell>
          <cell r="U128">
            <v>11.657873769666233</v>
          </cell>
          <cell r="Y128">
            <v>11.640327656101951</v>
          </cell>
          <cell r="AC128">
            <v>12.294964808372331</v>
          </cell>
          <cell r="AG128">
            <v>13.402154819799881</v>
          </cell>
          <cell r="AK128">
            <v>14.263956829235402</v>
          </cell>
          <cell r="AO128">
            <v>14.30189542178737</v>
          </cell>
          <cell r="AS128">
            <v>15.076358763636982</v>
          </cell>
          <cell r="AW128">
            <v>14.949668044814581</v>
          </cell>
          <cell r="BA128">
            <v>13.615583350845251</v>
          </cell>
          <cell r="BE128">
            <v>7.6249233431204635</v>
          </cell>
          <cell r="BI128">
            <v>10.535766292621878</v>
          </cell>
        </row>
        <row r="129">
          <cell r="A129" t="str">
            <v>IMS SALES/REPORTED SALES</v>
          </cell>
          <cell r="E129">
            <v>0.92145639452904671</v>
          </cell>
          <cell r="I129">
            <v>0.94516223872387251</v>
          </cell>
          <cell r="M129">
            <v>1.1668290086007358</v>
          </cell>
          <cell r="Q129">
            <v>1.2155250235854482</v>
          </cell>
          <cell r="U129">
            <v>1.2967445384943532</v>
          </cell>
          <cell r="Y129">
            <v>1.2130221446866869</v>
          </cell>
          <cell r="AC129">
            <v>1.1326622868678129</v>
          </cell>
          <cell r="AG129">
            <v>0.98963890860978443</v>
          </cell>
          <cell r="AK129">
            <v>0.96924212678343569</v>
          </cell>
          <cell r="AO129">
            <v>0.82636750000000014</v>
          </cell>
          <cell r="AS129">
            <v>0.80468489771359808</v>
          </cell>
          <cell r="AW129">
            <v>0.81978101580135443</v>
          </cell>
          <cell r="BA129">
            <v>0.89110466111771702</v>
          </cell>
          <cell r="BE129">
            <v>1.6541572505091648</v>
          </cell>
        </row>
        <row r="130">
          <cell r="A130" t="str">
            <v>1.  Brands = Kerasel + Ovide + Topicort Line.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R-EPS"/>
      <sheetName val="YR-EPS"/>
      <sheetName val="QTR-REV"/>
      <sheetName val="YR-REV"/>
      <sheetName val="BAL-CF"/>
      <sheetName val="Copaxone"/>
      <sheetName val="MKTD"/>
      <sheetName val="PPLN-brand"/>
      <sheetName val="PPLN-generic"/>
      <sheetName val="IMS"/>
      <sheetName val="iQ_US_CoreIndustrials"/>
      <sheetName val="P&amp;L Review"/>
      <sheetName val="Copaxone Contribution"/>
      <sheetName val="SUMMARY"/>
      <sheetName val="VA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 t="str">
            <v>Product</v>
          </cell>
        </row>
      </sheetData>
      <sheetData sheetId="9">
        <row r="3">
          <cell r="A3" t="str">
            <v>Product</v>
          </cell>
          <cell r="B3">
            <v>36892</v>
          </cell>
          <cell r="C3">
            <v>36923</v>
          </cell>
          <cell r="D3">
            <v>36951</v>
          </cell>
          <cell r="E3" t="str">
            <v>Q1:01</v>
          </cell>
          <cell r="F3">
            <v>36982</v>
          </cell>
          <cell r="G3">
            <v>37012</v>
          </cell>
          <cell r="H3">
            <v>37043</v>
          </cell>
          <cell r="I3" t="str">
            <v>Q2:01</v>
          </cell>
          <cell r="J3">
            <v>37073</v>
          </cell>
          <cell r="K3">
            <v>37104</v>
          </cell>
          <cell r="L3">
            <v>37135</v>
          </cell>
          <cell r="M3" t="str">
            <v>Q3:01</v>
          </cell>
          <cell r="N3">
            <v>37165</v>
          </cell>
          <cell r="O3">
            <v>37196</v>
          </cell>
          <cell r="P3">
            <v>37226</v>
          </cell>
          <cell r="Q3" t="str">
            <v>Q4:01</v>
          </cell>
          <cell r="R3">
            <v>37257</v>
          </cell>
          <cell r="S3">
            <v>37288</v>
          </cell>
          <cell r="T3">
            <v>37316</v>
          </cell>
          <cell r="U3" t="str">
            <v>Q1:02</v>
          </cell>
          <cell r="V3">
            <v>37347</v>
          </cell>
          <cell r="W3">
            <v>37377</v>
          </cell>
          <cell r="X3">
            <v>37408</v>
          </cell>
          <cell r="Y3" t="str">
            <v>Q2:02</v>
          </cell>
          <cell r="Z3">
            <v>37438</v>
          </cell>
          <cell r="AA3">
            <v>37469</v>
          </cell>
          <cell r="AB3">
            <v>37500</v>
          </cell>
          <cell r="AC3" t="str">
            <v>Q3:02</v>
          </cell>
          <cell r="AD3">
            <v>37530</v>
          </cell>
          <cell r="AE3">
            <v>37561</v>
          </cell>
          <cell r="AF3">
            <v>37591</v>
          </cell>
          <cell r="AG3" t="str">
            <v>Q4:02</v>
          </cell>
          <cell r="AH3">
            <v>37622</v>
          </cell>
          <cell r="AI3">
            <v>37653</v>
          </cell>
          <cell r="AJ3">
            <v>37681</v>
          </cell>
          <cell r="AK3" t="str">
            <v>Q1:03</v>
          </cell>
          <cell r="AL3" t="str">
            <v>Apr-03</v>
          </cell>
          <cell r="AM3">
            <v>37744</v>
          </cell>
          <cell r="AN3">
            <v>37775</v>
          </cell>
          <cell r="AO3" t="str">
            <v>Q2:03</v>
          </cell>
          <cell r="AP3">
            <v>37805</v>
          </cell>
          <cell r="AQ3">
            <v>37836</v>
          </cell>
          <cell r="AR3">
            <v>37867</v>
          </cell>
          <cell r="AS3" t="str">
            <v>Q3:03</v>
          </cell>
          <cell r="AT3">
            <v>37897</v>
          </cell>
          <cell r="AU3">
            <v>37928</v>
          </cell>
          <cell r="AV3">
            <v>37958</v>
          </cell>
          <cell r="AW3" t="str">
            <v>Q4:03</v>
          </cell>
          <cell r="AX3">
            <v>37987</v>
          </cell>
          <cell r="AY3">
            <v>38018</v>
          </cell>
          <cell r="AZ3">
            <v>38047</v>
          </cell>
          <cell r="BA3" t="str">
            <v>Q1:04</v>
          </cell>
          <cell r="BB3">
            <v>38078</v>
          </cell>
          <cell r="BC3">
            <v>38108</v>
          </cell>
          <cell r="BD3">
            <v>38139</v>
          </cell>
          <cell r="BE3" t="str">
            <v>Q2:04</v>
          </cell>
          <cell r="BF3">
            <v>38169</v>
          </cell>
          <cell r="BG3">
            <v>38200</v>
          </cell>
          <cell r="BH3">
            <v>38231</v>
          </cell>
          <cell r="BI3" t="str">
            <v>Q3:04E</v>
          </cell>
        </row>
        <row r="5">
          <cell r="A5" t="str">
            <v>COPAXONE</v>
          </cell>
        </row>
        <row r="6">
          <cell r="A6" t="str">
            <v>TRx</v>
          </cell>
          <cell r="B6">
            <v>19035</v>
          </cell>
          <cell r="C6">
            <v>17451</v>
          </cell>
          <cell r="D6">
            <v>19222</v>
          </cell>
          <cell r="E6">
            <v>55708</v>
          </cell>
          <cell r="F6">
            <v>18945</v>
          </cell>
          <cell r="G6">
            <v>20143</v>
          </cell>
          <cell r="H6">
            <v>19375</v>
          </cell>
          <cell r="I6">
            <v>58463</v>
          </cell>
          <cell r="J6">
            <v>20691</v>
          </cell>
          <cell r="K6">
            <v>20828</v>
          </cell>
          <cell r="L6">
            <v>20085</v>
          </cell>
          <cell r="M6">
            <v>61604</v>
          </cell>
          <cell r="N6">
            <v>22789</v>
          </cell>
          <cell r="O6">
            <v>21524</v>
          </cell>
          <cell r="P6">
            <v>22334</v>
          </cell>
          <cell r="Q6">
            <v>66647</v>
          </cell>
          <cell r="R6">
            <v>24046</v>
          </cell>
          <cell r="S6">
            <v>21647</v>
          </cell>
          <cell r="T6">
            <v>23515</v>
          </cell>
          <cell r="U6">
            <v>69208</v>
          </cell>
          <cell r="V6">
            <v>23935</v>
          </cell>
          <cell r="W6">
            <v>24039</v>
          </cell>
          <cell r="X6">
            <v>23441</v>
          </cell>
          <cell r="Y6">
            <v>71415</v>
          </cell>
          <cell r="Z6">
            <v>25542</v>
          </cell>
          <cell r="AA6">
            <v>25263</v>
          </cell>
          <cell r="AB6">
            <v>24350</v>
          </cell>
          <cell r="AC6">
            <v>75155</v>
          </cell>
          <cell r="AD6">
            <v>26138</v>
          </cell>
          <cell r="AE6">
            <v>24589</v>
          </cell>
          <cell r="AF6">
            <v>26761</v>
          </cell>
          <cell r="AG6">
            <v>77488</v>
          </cell>
          <cell r="AH6">
            <v>26895</v>
          </cell>
          <cell r="AI6">
            <v>24771</v>
          </cell>
          <cell r="AJ6">
            <v>26777</v>
          </cell>
          <cell r="AK6">
            <v>78443</v>
          </cell>
          <cell r="AL6">
            <v>27007</v>
          </cell>
          <cell r="AM6">
            <v>26561</v>
          </cell>
          <cell r="AN6">
            <v>27017</v>
          </cell>
          <cell r="AO6">
            <v>80585</v>
          </cell>
          <cell r="AP6">
            <v>27766</v>
          </cell>
          <cell r="AQ6">
            <v>27567</v>
          </cell>
          <cell r="AR6">
            <v>28414</v>
          </cell>
          <cell r="AS6">
            <v>83747</v>
          </cell>
          <cell r="AT6">
            <v>29235</v>
          </cell>
          <cell r="AU6">
            <v>26695</v>
          </cell>
          <cell r="AV6">
            <v>30313</v>
          </cell>
          <cell r="AW6">
            <v>86243</v>
          </cell>
          <cell r="AX6">
            <v>29322</v>
          </cell>
          <cell r="AY6">
            <v>27910</v>
          </cell>
          <cell r="AZ6">
            <v>31588</v>
          </cell>
          <cell r="BA6">
            <v>88820</v>
          </cell>
          <cell r="BB6">
            <v>30673</v>
          </cell>
          <cell r="BC6">
            <v>30010</v>
          </cell>
          <cell r="BD6">
            <v>32617</v>
          </cell>
          <cell r="BE6">
            <v>93300</v>
          </cell>
          <cell r="BF6">
            <v>32025</v>
          </cell>
          <cell r="BG6">
            <v>32771</v>
          </cell>
          <cell r="BH6">
            <v>31837</v>
          </cell>
          <cell r="BI6">
            <v>96633</v>
          </cell>
        </row>
        <row r="7">
          <cell r="A7" t="str">
            <v xml:space="preserve">  % Change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0.26325190438665613</v>
          </cell>
          <cell r="S7">
            <v>0.24044467365766997</v>
          </cell>
          <cell r="T7">
            <v>0.22333784205597751</v>
          </cell>
          <cell r="U7">
            <v>0.24233503267035261</v>
          </cell>
          <cell r="V7">
            <v>0.26339403536553174</v>
          </cell>
          <cell r="W7">
            <v>0.193417067964057</v>
          </cell>
          <cell r="X7">
            <v>0.20985806451612898</v>
          </cell>
          <cell r="Y7">
            <v>0.2215418298753058</v>
          </cell>
          <cell r="Z7">
            <v>0.23444976076555024</v>
          </cell>
          <cell r="AA7">
            <v>0.21293451123487617</v>
          </cell>
          <cell r="AB7">
            <v>0.21234752302713478</v>
          </cell>
          <cell r="AC7">
            <v>0.21996948250113624</v>
          </cell>
          <cell r="AD7">
            <v>0.146956865154241</v>
          </cell>
          <cell r="AE7">
            <v>0.14239918230812121</v>
          </cell>
          <cell r="AF7">
            <v>0.19821796364287625</v>
          </cell>
          <cell r="AG7">
            <v>0.16266298558074621</v>
          </cell>
          <cell r="AH7">
            <v>0.1184812442817933</v>
          </cell>
          <cell r="AI7">
            <v>0.14431560955328693</v>
          </cell>
          <cell r="AJ7">
            <v>0.13871996597916225</v>
          </cell>
          <cell r="AK7">
            <v>0.13343833082880585</v>
          </cell>
          <cell r="AL7">
            <v>0.12834760810528523</v>
          </cell>
          <cell r="AM7">
            <v>0.10491284995216099</v>
          </cell>
          <cell r="AN7">
            <v>0.15255321871933791</v>
          </cell>
          <cell r="AO7">
            <v>0.12840439683539873</v>
          </cell>
          <cell r="AP7">
            <v>8.7072273118784738E-2</v>
          </cell>
          <cell r="AQ7">
            <v>9.120057000356252E-2</v>
          </cell>
          <cell r="AR7">
            <v>0.16689938398357285</v>
          </cell>
          <cell r="AS7">
            <v>0.11432373095602433</v>
          </cell>
          <cell r="AT7">
            <v>0.11848649475858908</v>
          </cell>
          <cell r="AU7">
            <v>8.5648054007889662E-2</v>
          </cell>
          <cell r="AV7">
            <v>0.13273046597660776</v>
          </cell>
          <cell r="AW7">
            <v>0.11298523642370428</v>
          </cell>
          <cell r="AX7">
            <v>9.023982152816501E-2</v>
          </cell>
          <cell r="AY7">
            <v>0.12672076218158335</v>
          </cell>
          <cell r="AZ7">
            <v>0.17966911902005456</v>
          </cell>
          <cell r="BA7">
            <v>0.13228713843172746</v>
          </cell>
          <cell r="BB7">
            <v>0.1357425852556744</v>
          </cell>
          <cell r="BC7">
            <v>0.12985203870336215</v>
          </cell>
          <cell r="BD7">
            <v>0.20727689972979979</v>
          </cell>
          <cell r="BE7">
            <v>0.15778370664515728</v>
          </cell>
          <cell r="BF7">
            <v>0.1533890369516675</v>
          </cell>
          <cell r="BG7">
            <v>0.18877643559328172</v>
          </cell>
          <cell r="BH7">
            <v>0.12046878299429853</v>
          </cell>
          <cell r="BI7">
            <v>0.15386819826381837</v>
          </cell>
        </row>
        <row r="8">
          <cell r="A8" t="str">
            <v>NRx</v>
          </cell>
          <cell r="B8">
            <v>5314</v>
          </cell>
          <cell r="C8">
            <v>5065</v>
          </cell>
          <cell r="D8">
            <v>5857</v>
          </cell>
          <cell r="E8">
            <v>16236</v>
          </cell>
          <cell r="F8">
            <v>5271</v>
          </cell>
          <cell r="G8">
            <v>5197</v>
          </cell>
          <cell r="H8">
            <v>4983</v>
          </cell>
          <cell r="I8">
            <v>15451</v>
          </cell>
          <cell r="J8">
            <v>5359</v>
          </cell>
          <cell r="K8">
            <v>5360</v>
          </cell>
          <cell r="L8">
            <v>5436</v>
          </cell>
          <cell r="M8">
            <v>16155</v>
          </cell>
          <cell r="N8">
            <v>6070</v>
          </cell>
          <cell r="O8">
            <v>5376</v>
          </cell>
          <cell r="P8">
            <v>5573</v>
          </cell>
          <cell r="Q8">
            <v>17019</v>
          </cell>
          <cell r="R8">
            <v>7042</v>
          </cell>
          <cell r="S8">
            <v>6187</v>
          </cell>
          <cell r="T8">
            <v>6391</v>
          </cell>
          <cell r="U8">
            <v>19620</v>
          </cell>
          <cell r="V8">
            <v>6435</v>
          </cell>
          <cell r="W8">
            <v>14440</v>
          </cell>
          <cell r="X8">
            <v>12121</v>
          </cell>
          <cell r="Y8">
            <v>32996</v>
          </cell>
          <cell r="Z8">
            <v>9253</v>
          </cell>
          <cell r="AA8">
            <v>7703</v>
          </cell>
          <cell r="AB8">
            <v>6520</v>
          </cell>
          <cell r="AC8">
            <v>23476</v>
          </cell>
          <cell r="AD8">
            <v>7074</v>
          </cell>
          <cell r="AE8">
            <v>6367</v>
          </cell>
          <cell r="AF8">
            <v>6527</v>
          </cell>
          <cell r="AG8">
            <v>19968</v>
          </cell>
          <cell r="AH8">
            <v>7528</v>
          </cell>
          <cell r="AI8">
            <v>6624</v>
          </cell>
          <cell r="AJ8">
            <v>6794</v>
          </cell>
          <cell r="AK8">
            <v>20946</v>
          </cell>
          <cell r="AL8">
            <v>6961</v>
          </cell>
          <cell r="AM8">
            <v>6986</v>
          </cell>
          <cell r="AN8">
            <v>7033</v>
          </cell>
          <cell r="AO8">
            <v>20980</v>
          </cell>
          <cell r="AP8">
            <v>6978</v>
          </cell>
          <cell r="AQ8">
            <v>6855</v>
          </cell>
          <cell r="AR8">
            <v>7133</v>
          </cell>
          <cell r="AS8">
            <v>20966</v>
          </cell>
          <cell r="AT8">
            <v>7543</v>
          </cell>
          <cell r="AU8">
            <v>6397</v>
          </cell>
          <cell r="AV8">
            <v>7303</v>
          </cell>
          <cell r="AW8">
            <v>21243</v>
          </cell>
          <cell r="AX8">
            <v>8062</v>
          </cell>
          <cell r="AY8">
            <v>7869</v>
          </cell>
          <cell r="AZ8">
            <v>8432</v>
          </cell>
          <cell r="BA8">
            <v>24363</v>
          </cell>
          <cell r="BB8">
            <v>8340</v>
          </cell>
          <cell r="BC8">
            <v>7975</v>
          </cell>
          <cell r="BD8">
            <v>8806</v>
          </cell>
          <cell r="BE8">
            <v>25121</v>
          </cell>
          <cell r="BF8">
            <v>8531</v>
          </cell>
          <cell r="BG8">
            <v>8350</v>
          </cell>
          <cell r="BH8">
            <v>8358</v>
          </cell>
          <cell r="BI8">
            <v>25239</v>
          </cell>
        </row>
        <row r="9">
          <cell r="A9" t="str">
            <v xml:space="preserve">  % Change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0.32517877305231457</v>
          </cell>
          <cell r="S9">
            <v>0.22152023692003953</v>
          </cell>
          <cell r="T9">
            <v>9.1172955437937464E-2</v>
          </cell>
          <cell r="U9">
            <v>0.20842572062084264</v>
          </cell>
          <cell r="V9">
            <v>0.2208309618668185</v>
          </cell>
          <cell r="W9">
            <v>1.77852607273427</v>
          </cell>
          <cell r="X9">
            <v>1.4324703993578165</v>
          </cell>
          <cell r="Y9">
            <v>1.1355252087243546</v>
          </cell>
          <cell r="Z9">
            <v>0.72662810225788399</v>
          </cell>
          <cell r="AA9">
            <v>0.43712686567164183</v>
          </cell>
          <cell r="AB9">
            <v>0.19941133186166304</v>
          </cell>
          <cell r="AC9">
            <v>0.45317239244815855</v>
          </cell>
          <cell r="AD9">
            <v>0.16540362438220768</v>
          </cell>
          <cell r="AE9">
            <v>0.18433779761904767</v>
          </cell>
          <cell r="AF9">
            <v>0.1711824869908487</v>
          </cell>
          <cell r="AG9">
            <v>0.17327692578882425</v>
          </cell>
          <cell r="AH9">
            <v>6.9014484521442876E-2</v>
          </cell>
          <cell r="AI9">
            <v>7.0631970260222943E-2</v>
          </cell>
          <cell r="AJ9">
            <v>6.3057424503207615E-2</v>
          </cell>
          <cell r="AK9">
            <v>6.7584097859327175E-2</v>
          </cell>
          <cell r="AL9">
            <v>8.1740481740481652E-2</v>
          </cell>
          <cell r="AM9">
            <v>-0.51620498614958454</v>
          </cell>
          <cell r="AN9">
            <v>-0.4197673459285538</v>
          </cell>
          <cell r="AO9">
            <v>-0.36416535337616684</v>
          </cell>
          <cell r="AP9">
            <v>-0.2458662055549552</v>
          </cell>
          <cell r="AQ9">
            <v>-0.1100869790990523</v>
          </cell>
          <cell r="AR9">
            <v>9.4018404907975528E-2</v>
          </cell>
          <cell r="AS9">
            <v>-0.10691770318623273</v>
          </cell>
          <cell r="AT9">
            <v>6.6299123551031958E-2</v>
          </cell>
          <cell r="AU9">
            <v>4.7117951939688041E-3</v>
          </cell>
          <cell r="AV9">
            <v>0.11889076145242838</v>
          </cell>
          <cell r="AW9">
            <v>6.3852163461538547E-2</v>
          </cell>
          <cell r="AX9">
            <v>7.0935175345377299E-2</v>
          </cell>
          <cell r="AY9">
            <v>0.18795289855072461</v>
          </cell>
          <cell r="AZ9">
            <v>0.24109508389755674</v>
          </cell>
          <cell r="BA9">
            <v>0.16313377255800621</v>
          </cell>
          <cell r="BB9">
            <v>0.19810372072978022</v>
          </cell>
          <cell r="BC9">
            <v>0.1415688519896936</v>
          </cell>
          <cell r="BD9">
            <v>0.25209725579411346</v>
          </cell>
          <cell r="BE9">
            <v>0.19737845567206858</v>
          </cell>
          <cell r="BF9">
            <v>0.22255660647750064</v>
          </cell>
          <cell r="BG9">
            <v>0.21808898614150252</v>
          </cell>
          <cell r="BH9">
            <v>0.17173699705593726</v>
          </cell>
          <cell r="BI9">
            <v>0.20380616235810356</v>
          </cell>
        </row>
        <row r="10">
          <cell r="A10" t="str">
            <v>TOTAL MS MARKET</v>
          </cell>
          <cell r="V10">
            <v>89908</v>
          </cell>
          <cell r="W10">
            <v>91441</v>
          </cell>
          <cell r="X10">
            <v>87466</v>
          </cell>
          <cell r="Y10">
            <v>268815</v>
          </cell>
          <cell r="Z10">
            <v>94430</v>
          </cell>
          <cell r="AA10">
            <v>92568</v>
          </cell>
          <cell r="AB10">
            <v>89591</v>
          </cell>
          <cell r="AC10">
            <v>276589</v>
          </cell>
          <cell r="AD10">
            <v>95801</v>
          </cell>
          <cell r="AE10">
            <v>88821</v>
          </cell>
          <cell r="AF10">
            <v>96486</v>
          </cell>
          <cell r="AG10">
            <v>281108</v>
          </cell>
          <cell r="AH10">
            <v>97911</v>
          </cell>
          <cell r="AI10">
            <v>89152</v>
          </cell>
          <cell r="AJ10">
            <v>96552</v>
          </cell>
          <cell r="AK10">
            <v>283615</v>
          </cell>
          <cell r="AL10">
            <v>96414</v>
          </cell>
          <cell r="AM10">
            <v>97969</v>
          </cell>
          <cell r="AN10">
            <v>99381</v>
          </cell>
          <cell r="AO10">
            <v>293764</v>
          </cell>
          <cell r="AP10">
            <v>101509</v>
          </cell>
          <cell r="AQ10">
            <v>98271</v>
          </cell>
          <cell r="AR10">
            <v>102246</v>
          </cell>
          <cell r="AS10">
            <v>302026</v>
          </cell>
          <cell r="AT10">
            <v>103890</v>
          </cell>
          <cell r="AU10">
            <v>94541</v>
          </cell>
          <cell r="AV10">
            <v>106641</v>
          </cell>
          <cell r="AW10">
            <v>305072</v>
          </cell>
          <cell r="AX10">
            <v>102506</v>
          </cell>
          <cell r="AY10">
            <v>95770</v>
          </cell>
          <cell r="AZ10">
            <v>107590</v>
          </cell>
          <cell r="BA10">
            <v>305866</v>
          </cell>
          <cell r="BB10">
            <v>105799</v>
          </cell>
          <cell r="BC10">
            <v>103279</v>
          </cell>
          <cell r="BD10">
            <v>108767</v>
          </cell>
          <cell r="BE10">
            <v>317845</v>
          </cell>
          <cell r="BF10">
            <v>104776</v>
          </cell>
          <cell r="BG10">
            <v>107096</v>
          </cell>
          <cell r="BH10">
            <v>105108</v>
          </cell>
          <cell r="BI10">
            <v>316980</v>
          </cell>
        </row>
        <row r="11">
          <cell r="A11" t="str">
            <v>NEW MS MARKET</v>
          </cell>
          <cell r="V11">
            <v>22291</v>
          </cell>
          <cell r="W11">
            <v>32135</v>
          </cell>
          <cell r="X11">
            <v>29581</v>
          </cell>
          <cell r="Y11">
            <v>84007</v>
          </cell>
          <cell r="Z11">
            <v>27662</v>
          </cell>
          <cell r="AA11">
            <v>25256</v>
          </cell>
          <cell r="AB11">
            <v>23495</v>
          </cell>
          <cell r="AC11">
            <v>76413</v>
          </cell>
          <cell r="AD11">
            <v>24086</v>
          </cell>
          <cell r="AE11">
            <v>21863</v>
          </cell>
          <cell r="AF11">
            <v>23139</v>
          </cell>
          <cell r="AG11">
            <v>69088</v>
          </cell>
          <cell r="AH11">
            <v>27053</v>
          </cell>
          <cell r="AI11">
            <v>23929</v>
          </cell>
          <cell r="AJ11">
            <v>24514</v>
          </cell>
          <cell r="AK11">
            <v>75496</v>
          </cell>
          <cell r="AL11">
            <v>24131</v>
          </cell>
          <cell r="AM11">
            <v>24514</v>
          </cell>
          <cell r="AN11">
            <v>24677</v>
          </cell>
          <cell r="AO11">
            <v>73322</v>
          </cell>
          <cell r="AP11">
            <v>25403</v>
          </cell>
          <cell r="AQ11">
            <v>27485</v>
          </cell>
          <cell r="AR11">
            <v>37713</v>
          </cell>
          <cell r="AS11">
            <v>90601</v>
          </cell>
          <cell r="AT11">
            <v>33686</v>
          </cell>
          <cell r="AU11">
            <v>26412</v>
          </cell>
          <cell r="AV11">
            <v>27469</v>
          </cell>
          <cell r="AW11">
            <v>87567</v>
          </cell>
          <cell r="AX11">
            <v>29016</v>
          </cell>
          <cell r="AY11">
            <v>28777</v>
          </cell>
          <cell r="AZ11">
            <v>31584</v>
          </cell>
          <cell r="BA11">
            <v>89377</v>
          </cell>
          <cell r="BB11">
            <v>31183</v>
          </cell>
          <cell r="BC11">
            <v>27763</v>
          </cell>
          <cell r="BD11">
            <v>28118</v>
          </cell>
          <cell r="BE11">
            <v>87064</v>
          </cell>
          <cell r="BF11">
            <v>26886</v>
          </cell>
          <cell r="BG11">
            <v>27010</v>
          </cell>
          <cell r="BH11">
            <v>26927</v>
          </cell>
          <cell r="BI11">
            <v>80823</v>
          </cell>
        </row>
        <row r="12">
          <cell r="A12" t="str">
            <v>TRx Market Growth</v>
          </cell>
          <cell r="AL12">
            <v>7.2362859812252545E-2</v>
          </cell>
          <cell r="AM12">
            <v>7.1390295381721591E-2</v>
          </cell>
          <cell r="AN12">
            <v>0.13622436146616979</v>
          </cell>
          <cell r="AO12">
            <v>9.2811041050536724E-2</v>
          </cell>
          <cell r="AP12">
            <v>7.4965582971513234E-2</v>
          </cell>
          <cell r="AQ12">
            <v>6.1608763287529067E-2</v>
          </cell>
          <cell r="AR12">
            <v>0.14125302764786651</v>
          </cell>
          <cell r="AS12">
            <v>9.1966781036122214E-2</v>
          </cell>
          <cell r="AT12">
            <v>8.4435444306426799E-2</v>
          </cell>
          <cell r="AU12">
            <v>6.4399184877450111E-2</v>
          </cell>
          <cell r="AV12">
            <v>0.10524842982401594</v>
          </cell>
          <cell r="AW12">
            <v>8.5248374290308293E-2</v>
          </cell>
          <cell r="AX12">
            <v>4.6930375545138014E-2</v>
          </cell>
          <cell r="AY12">
            <v>7.4232770997846309E-2</v>
          </cell>
          <cell r="AZ12">
            <v>0.11432181622338211</v>
          </cell>
          <cell r="BA12">
            <v>7.8454947728434643E-2</v>
          </cell>
          <cell r="BB12">
            <v>9.7340635177463941E-2</v>
          </cell>
          <cell r="BC12">
            <v>5.4200818626300107E-2</v>
          </cell>
          <cell r="BD12">
            <v>9.4444612149203522E-2</v>
          </cell>
          <cell r="BE12">
            <v>8.1973965496112466E-2</v>
          </cell>
          <cell r="BF12">
            <v>3.2184338334531937E-2</v>
          </cell>
          <cell r="BG12">
            <v>8.9802688483886506E-2</v>
          </cell>
          <cell r="BH12">
            <v>2.7991315063669919E-2</v>
          </cell>
          <cell r="BI12">
            <v>4.9512293643593663E-2</v>
          </cell>
        </row>
        <row r="13">
          <cell r="A13" t="str">
            <v>NRx Market Growth</v>
          </cell>
          <cell r="AL13">
            <v>8.2544524696065658E-2</v>
          </cell>
          <cell r="AM13">
            <v>-0.23715574918313365</v>
          </cell>
          <cell r="AN13">
            <v>-0.16578208985497445</v>
          </cell>
          <cell r="AO13">
            <v>-0.12719178163724454</v>
          </cell>
          <cell r="AP13">
            <v>-8.1664377123852216E-2</v>
          </cell>
          <cell r="AQ13">
            <v>8.8256255939182848E-2</v>
          </cell>
          <cell r="AR13">
            <v>0.60515003192168537</v>
          </cell>
          <cell r="AS13">
            <v>0.1856752123329799</v>
          </cell>
          <cell r="AT13">
            <v>0.39857178443909325</v>
          </cell>
          <cell r="AU13">
            <v>0.20806842610803633</v>
          </cell>
          <cell r="AV13">
            <v>0.18712995375772512</v>
          </cell>
          <cell r="AW13">
            <v>0.26747047244094491</v>
          </cell>
          <cell r="AX13">
            <v>7.2561268620855435E-2</v>
          </cell>
          <cell r="AY13">
            <v>0.20259935642943705</v>
          </cell>
          <cell r="AZ13">
            <v>0.28840662478583656</v>
          </cell>
          <cell r="BA13">
            <v>0.18386404577725979</v>
          </cell>
          <cell r="BB13">
            <v>0.29223819982595001</v>
          </cell>
          <cell r="BC13">
            <v>0.1325365097495308</v>
          </cell>
          <cell r="BD13">
            <v>0.13944158528184136</v>
          </cell>
          <cell r="BE13">
            <v>0.18741987398052418</v>
          </cell>
          <cell r="BF13">
            <v>5.8378931622249386E-2</v>
          </cell>
          <cell r="BG13">
            <v>-1.7282153902128394E-2</v>
          </cell>
          <cell r="BH13">
            <v>-0.28600217431654862</v>
          </cell>
          <cell r="BI13">
            <v>-0.10792375360095363</v>
          </cell>
        </row>
        <row r="14">
          <cell r="A14" t="str">
            <v>TRx Market Share</v>
          </cell>
          <cell r="V14">
            <v>0.26621657694532186</v>
          </cell>
          <cell r="W14">
            <v>0.26289082577837075</v>
          </cell>
          <cell r="X14">
            <v>0.26800128049756478</v>
          </cell>
          <cell r="Y14">
            <v>0.26566597846102336</v>
          </cell>
          <cell r="Z14">
            <v>0.27048607434078153</v>
          </cell>
          <cell r="AA14">
            <v>0.27291288566243194</v>
          </cell>
          <cell r="AB14">
            <v>0.27179069326159994</v>
          </cell>
          <cell r="AC14">
            <v>0.27172085657781042</v>
          </cell>
          <cell r="AD14">
            <v>0.2728364004551101</v>
          </cell>
          <cell r="AE14">
            <v>0.27683768478175208</v>
          </cell>
          <cell r="AF14">
            <v>0.27735630039591236</v>
          </cell>
          <cell r="AG14">
            <v>0.27565206255247093</v>
          </cell>
          <cell r="AH14">
            <v>0.27468823727671049</v>
          </cell>
          <cell r="AI14">
            <v>0.27785131012203879</v>
          </cell>
          <cell r="AJ14">
            <v>0.27733242190736596</v>
          </cell>
          <cell r="AK14">
            <v>0.2765826913245068</v>
          </cell>
          <cell r="AL14">
            <v>0.28011492106955421</v>
          </cell>
          <cell r="AM14">
            <v>0.27111637354673418</v>
          </cell>
          <cell r="AN14">
            <v>0.27185276863786839</v>
          </cell>
          <cell r="AO14">
            <v>0.27431884097438758</v>
          </cell>
          <cell r="AP14">
            <v>0.27353239614221397</v>
          </cell>
          <cell r="AQ14">
            <v>0.2805201941569741</v>
          </cell>
          <cell r="AR14">
            <v>0.27789840189347259</v>
          </cell>
          <cell r="AS14">
            <v>0.27728407488097051</v>
          </cell>
          <cell r="AT14">
            <v>0.28140340745018771</v>
          </cell>
          <cell r="AU14">
            <v>0.28236426523941993</v>
          </cell>
          <cell r="AV14">
            <v>0.28425277332358101</v>
          </cell>
          <cell r="AW14">
            <v>0.2826971993496617</v>
          </cell>
          <cell r="AX14">
            <v>0.28605154820205647</v>
          </cell>
          <cell r="AY14">
            <v>0.29142737809334862</v>
          </cell>
          <cell r="AZ14">
            <v>0.2935960591133005</v>
          </cell>
          <cell r="BA14">
            <v>0.29038860154446716</v>
          </cell>
          <cell r="BB14">
            <v>0.28991767408009528</v>
          </cell>
          <cell r="BC14">
            <v>0.29057213954434108</v>
          </cell>
          <cell r="BD14">
            <v>0.29987955905743469</v>
          </cell>
          <cell r="BE14">
            <v>0.29353930374868253</v>
          </cell>
          <cell r="BF14">
            <v>0.30565205772314269</v>
          </cell>
          <cell r="BG14">
            <v>0.30599648913124672</v>
          </cell>
          <cell r="BH14">
            <v>0.30289797161015336</v>
          </cell>
          <cell r="BI14">
            <v>0.30485519591141397</v>
          </cell>
        </row>
        <row r="15">
          <cell r="A15" t="str">
            <v>NRx Market Share</v>
          </cell>
          <cell r="V15">
            <v>0.28868153066259927</v>
          </cell>
          <cell r="W15">
            <v>0.44935428660339194</v>
          </cell>
          <cell r="X15">
            <v>0.40975626246577196</v>
          </cell>
          <cell r="Y15">
            <v>0.39277679241015628</v>
          </cell>
          <cell r="Z15">
            <v>0.33450220519123708</v>
          </cell>
          <cell r="AA15">
            <v>0.30499683243585685</v>
          </cell>
          <cell r="AB15">
            <v>0.27750585230900193</v>
          </cell>
          <cell r="AC15">
            <v>0.30722521036996325</v>
          </cell>
          <cell r="AD15">
            <v>0.29369758365855686</v>
          </cell>
          <cell r="AE15">
            <v>0.29122261354800349</v>
          </cell>
          <cell r="AF15">
            <v>0.2820778771770604</v>
          </cell>
          <cell r="AG15">
            <v>0.2890226956924502</v>
          </cell>
          <cell r="AH15">
            <v>0.27826858389088088</v>
          </cell>
          <cell r="AI15">
            <v>0.27681892264616154</v>
          </cell>
          <cell r="AJ15">
            <v>0.27714775230480543</v>
          </cell>
          <cell r="AK15">
            <v>0.27744516265762426</v>
          </cell>
          <cell r="AL15">
            <v>0.28846711698644895</v>
          </cell>
          <cell r="AM15">
            <v>0.28498001142204454</v>
          </cell>
          <cell r="AN15">
            <v>0.28500222879604492</v>
          </cell>
          <cell r="AO15">
            <v>0.28613512997463242</v>
          </cell>
          <cell r="AP15">
            <v>0.27469196551588393</v>
          </cell>
          <cell r="AQ15">
            <v>0.2494087684191377</v>
          </cell>
          <cell r="AR15">
            <v>0.18913902367883753</v>
          </cell>
          <cell r="AS15">
            <v>0.23141024933499629</v>
          </cell>
          <cell r="AT15">
            <v>0.22392091670130024</v>
          </cell>
          <cell r="AU15">
            <v>0.24220051491746175</v>
          </cell>
          <cell r="AV15">
            <v>0.26586333685245184</v>
          </cell>
          <cell r="AW15">
            <v>0.2425913871663983</v>
          </cell>
          <cell r="AX15">
            <v>0.27784670526606009</v>
          </cell>
          <cell r="AY15">
            <v>0.27344754491434131</v>
          </cell>
          <cell r="AZ15">
            <v>0.26697061803444783</v>
          </cell>
          <cell r="BA15">
            <v>0.27258690714613382</v>
          </cell>
          <cell r="BB15">
            <v>0.26745342013276463</v>
          </cell>
          <cell r="BC15">
            <v>0.28725281849944168</v>
          </cell>
          <cell r="BD15">
            <v>0.31318016928657799</v>
          </cell>
          <cell r="BE15">
            <v>0.28853487089956814</v>
          </cell>
          <cell r="BF15">
            <v>0.31730268541248235</v>
          </cell>
          <cell r="BG15">
            <v>0.3091447611995557</v>
          </cell>
          <cell r="BH15">
            <v>0.31039477104764734</v>
          </cell>
          <cell r="BI15">
            <v>0.31227497123343601</v>
          </cell>
        </row>
        <row r="16">
          <cell r="A16" t="str">
            <v>Price Change (YoY)</v>
          </cell>
          <cell r="Q16">
            <v>0</v>
          </cell>
          <cell r="U16">
            <v>0</v>
          </cell>
          <cell r="Y16">
            <v>0</v>
          </cell>
          <cell r="AC16">
            <v>0</v>
          </cell>
          <cell r="AG16">
            <v>0</v>
          </cell>
          <cell r="AK16">
            <v>0</v>
          </cell>
          <cell r="AL16">
            <v>0.14000000000000001</v>
          </cell>
          <cell r="AO16">
            <v>0.14000000000000001</v>
          </cell>
          <cell r="AS16">
            <v>0.14000000000000001</v>
          </cell>
          <cell r="AW16">
            <v>0.14000000000000001</v>
          </cell>
          <cell r="AX16">
            <v>0.04</v>
          </cell>
          <cell r="BA16">
            <v>0.18</v>
          </cell>
          <cell r="BE16">
            <v>0.04</v>
          </cell>
          <cell r="BI16">
            <v>0.04</v>
          </cell>
        </row>
        <row r="18">
          <cell r="A18" t="str">
            <v xml:space="preserve">TRx + Franchise Price Change </v>
          </cell>
          <cell r="AG18">
            <v>0.16266298558074621</v>
          </cell>
          <cell r="AH18">
            <v>0.1184812442817933</v>
          </cell>
          <cell r="AI18">
            <v>0.14431560955328693</v>
          </cell>
          <cell r="AJ18">
            <v>0.13871996597916225</v>
          </cell>
          <cell r="AK18">
            <v>0.13343833082880585</v>
          </cell>
          <cell r="AL18">
            <v>0.26834760810528524</v>
          </cell>
          <cell r="AM18">
            <v>0.10491284995216099</v>
          </cell>
          <cell r="AN18">
            <v>0.15255321871933791</v>
          </cell>
          <cell r="AO18">
            <v>0.26840439683539874</v>
          </cell>
          <cell r="AS18">
            <v>0.25432373095602434</v>
          </cell>
          <cell r="AW18">
            <v>0.2529852364237043</v>
          </cell>
          <cell r="BA18">
            <v>0.31228713843172751</v>
          </cell>
          <cell r="BE18">
            <v>0.19778370664515729</v>
          </cell>
          <cell r="BI18">
            <v>0.19386819826381838</v>
          </cell>
        </row>
        <row r="20">
          <cell r="A20" t="str">
            <v>TOTAL COPAXONE REPORTED SALES</v>
          </cell>
          <cell r="E20">
            <v>61</v>
          </cell>
          <cell r="I20">
            <v>72</v>
          </cell>
          <cell r="M20">
            <v>80</v>
          </cell>
          <cell r="Q20">
            <v>82</v>
          </cell>
          <cell r="U20">
            <v>86</v>
          </cell>
          <cell r="Y20">
            <v>100</v>
          </cell>
          <cell r="AC20">
            <v>109</v>
          </cell>
          <cell r="AG20">
            <v>116</v>
          </cell>
          <cell r="AK20">
            <v>109</v>
          </cell>
          <cell r="AO20">
            <v>120</v>
          </cell>
          <cell r="AS20">
            <v>123</v>
          </cell>
          <cell r="AW20">
            <v>142</v>
          </cell>
          <cell r="BA20">
            <v>138</v>
          </cell>
          <cell r="BE20">
            <v>151</v>
          </cell>
          <cell r="BI20">
            <v>154.97999999999999</v>
          </cell>
        </row>
        <row r="21">
          <cell r="A21" t="str">
            <v xml:space="preserve">  % Change</v>
          </cell>
          <cell r="U21">
            <v>0.4098360655737705</v>
          </cell>
          <cell r="Y21">
            <v>0.38888888888888884</v>
          </cell>
          <cell r="AC21">
            <v>0.36249999999999999</v>
          </cell>
          <cell r="AG21">
            <v>0.41463414634146334</v>
          </cell>
          <cell r="AK21">
            <v>0.26744186046511631</v>
          </cell>
          <cell r="AO21">
            <v>0.2</v>
          </cell>
          <cell r="AS21">
            <v>0.12844036697247696</v>
          </cell>
          <cell r="AW21">
            <v>0.22413793103448265</v>
          </cell>
          <cell r="BA21">
            <v>0.26605504587155959</v>
          </cell>
          <cell r="BE21">
            <v>0.2583333333333333</v>
          </cell>
          <cell r="BI21">
            <v>0.26</v>
          </cell>
        </row>
        <row r="23">
          <cell r="A23" t="str">
            <v>Sales (IMS)</v>
          </cell>
          <cell r="B23">
            <v>18.280801</v>
          </cell>
          <cell r="C23">
            <v>18.138641</v>
          </cell>
          <cell r="D23">
            <v>27.808916</v>
          </cell>
          <cell r="E23">
            <v>64.228358</v>
          </cell>
          <cell r="F23">
            <v>22.499658</v>
          </cell>
          <cell r="G23">
            <v>21.889575000000001</v>
          </cell>
          <cell r="H23">
            <v>28.901319999999998</v>
          </cell>
          <cell r="I23">
            <v>73.290553000000003</v>
          </cell>
          <cell r="J23">
            <v>24.476078000000001</v>
          </cell>
          <cell r="K23">
            <v>26.002555999999998</v>
          </cell>
          <cell r="L23">
            <v>32.694741</v>
          </cell>
          <cell r="M23">
            <v>83.173374999999993</v>
          </cell>
          <cell r="N23">
            <v>29.471311</v>
          </cell>
          <cell r="O23">
            <v>35.195008000000001</v>
          </cell>
          <cell r="P23">
            <v>36.733834000000002</v>
          </cell>
          <cell r="Q23">
            <v>101.400153</v>
          </cell>
          <cell r="R23">
            <v>28.706710000000001</v>
          </cell>
          <cell r="S23">
            <v>28.432573000000001</v>
          </cell>
          <cell r="T23">
            <v>35.845343</v>
          </cell>
          <cell r="U23">
            <v>92.984626000000006</v>
          </cell>
          <cell r="V23">
            <v>30.613327999999999</v>
          </cell>
          <cell r="W23">
            <v>31.745141</v>
          </cell>
          <cell r="X23">
            <v>40.815047</v>
          </cell>
          <cell r="Y23">
            <v>103.17351600000001</v>
          </cell>
          <cell r="Z23">
            <v>36.525007000000002</v>
          </cell>
          <cell r="AA23">
            <v>34.835456999999998</v>
          </cell>
          <cell r="AB23">
            <v>43.372596999999999</v>
          </cell>
          <cell r="AC23">
            <v>114.73306100000001</v>
          </cell>
          <cell r="AD23">
            <v>35.973215000000003</v>
          </cell>
          <cell r="AE23">
            <v>38.828557000000004</v>
          </cell>
          <cell r="AF23">
            <v>43.859642999999998</v>
          </cell>
          <cell r="AG23">
            <v>118.66141500000001</v>
          </cell>
          <cell r="AH23">
            <v>37.324067999999997</v>
          </cell>
          <cell r="AI23">
            <v>36.788691</v>
          </cell>
          <cell r="AJ23">
            <v>47.868707999999998</v>
          </cell>
          <cell r="AK23">
            <v>121.98146699999999</v>
          </cell>
          <cell r="AL23">
            <v>37.081637999999998</v>
          </cell>
          <cell r="AM23">
            <v>36.172508999999998</v>
          </cell>
          <cell r="AN23">
            <v>51.282065000000003</v>
          </cell>
          <cell r="AO23">
            <v>124.53621199999999</v>
          </cell>
          <cell r="AP23">
            <v>42.063339999999997</v>
          </cell>
          <cell r="AQ23">
            <v>42.877692000000003</v>
          </cell>
          <cell r="AR23">
            <v>52.990059000000002</v>
          </cell>
          <cell r="AS23">
            <v>137.93109100000001</v>
          </cell>
          <cell r="AT23">
            <v>42.162331000000002</v>
          </cell>
          <cell r="AU23">
            <v>41.813144999999999</v>
          </cell>
          <cell r="AV23">
            <v>55.257294000000002</v>
          </cell>
          <cell r="AW23">
            <v>139.23277000000002</v>
          </cell>
          <cell r="AX23">
            <v>46.730513999999999</v>
          </cell>
          <cell r="AY23">
            <v>48.605305000000001</v>
          </cell>
          <cell r="AZ23">
            <v>60.135235000000002</v>
          </cell>
          <cell r="BA23">
            <v>155.47105400000001</v>
          </cell>
          <cell r="BB23">
            <v>47.249003000000002</v>
          </cell>
          <cell r="BC23">
            <v>48.778596</v>
          </cell>
          <cell r="BD23">
            <v>61.900039999999997</v>
          </cell>
          <cell r="BE23">
            <v>157.927639</v>
          </cell>
          <cell r="BF23">
            <v>48.870901000000003</v>
          </cell>
          <cell r="BG23">
            <v>50.650475</v>
          </cell>
        </row>
        <row r="24">
          <cell r="A24" t="str">
            <v xml:space="preserve">  % Change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0.5703201407859535</v>
          </cell>
          <cell r="S24">
            <v>0.56751396094117545</v>
          </cell>
          <cell r="T24">
            <v>0.28898742403335675</v>
          </cell>
          <cell r="U24">
            <v>0.44771918347967121</v>
          </cell>
          <cell r="V24">
            <v>0.36061303687371593</v>
          </cell>
          <cell r="W24">
            <v>0.45024017140579464</v>
          </cell>
          <cell r="X24">
            <v>0.41222086050048934</v>
          </cell>
          <cell r="Y24">
            <v>0.40773280834707304</v>
          </cell>
          <cell r="Z24">
            <v>0.49227368044831366</v>
          </cell>
          <cell r="AA24">
            <v>0.33969356704779341</v>
          </cell>
          <cell r="AB24">
            <v>0.32659246329554947</v>
          </cell>
          <cell r="AC24">
            <v>0.37944457586336999</v>
          </cell>
          <cell r="AD24">
            <v>0.22061807837459302</v>
          </cell>
          <cell r="AE24">
            <v>0.10324046523870667</v>
          </cell>
          <cell r="AF24">
            <v>0.19398489686646903</v>
          </cell>
          <cell r="AG24">
            <v>0.17022915142938699</v>
          </cell>
          <cell r="AH24">
            <v>0.30018619340216968</v>
          </cell>
          <cell r="AI24">
            <v>0.2938924310508233</v>
          </cell>
          <cell r="AJ24">
            <v>0.33542334913631588</v>
          </cell>
          <cell r="AK24">
            <v>0.31184554100373529</v>
          </cell>
          <cell r="AL24">
            <v>0.21129065092171606</v>
          </cell>
          <cell r="AM24">
            <v>0.139466005206907</v>
          </cell>
          <cell r="AN24">
            <v>0.25644998032220823</v>
          </cell>
          <cell r="AO24">
            <v>0.20705600456613293</v>
          </cell>
          <cell r="AP24">
            <v>0.15163126457443243</v>
          </cell>
          <cell r="AQ24">
            <v>0.23086348486830555</v>
          </cell>
          <cell r="AR24">
            <v>0.22174051509989146</v>
          </cell>
          <cell r="AS24">
            <v>0.20219132826936437</v>
          </cell>
          <cell r="AT24">
            <v>0.17204789730359105</v>
          </cell>
          <cell r="AU24">
            <v>7.6865797510837108E-2</v>
          </cell>
          <cell r="AV24">
            <v>0.2598664790773606</v>
          </cell>
          <cell r="AW24">
            <v>0.17336178740157449</v>
          </cell>
          <cell r="AX24">
            <v>0.25202092119219177</v>
          </cell>
          <cell r="AY24">
            <v>0.3212023499286778</v>
          </cell>
          <cell r="AZ24">
            <v>0.25625356339260308</v>
          </cell>
          <cell r="BA24">
            <v>0.27454651779192019</v>
          </cell>
          <cell r="BB24">
            <v>0.27418866987483148</v>
          </cell>
          <cell r="BC24">
            <v>0.34849910466536893</v>
          </cell>
          <cell r="BD24">
            <v>0.20705045711400261</v>
          </cell>
          <cell r="BE24">
            <v>0.26812624588260325</v>
          </cell>
          <cell r="BF24">
            <v>0.16184071450341331</v>
          </cell>
          <cell r="BG24">
            <v>0.18127801748284389</v>
          </cell>
        </row>
        <row r="26">
          <cell r="A26" t="str">
            <v>REPORTED SALES/TRx COPAXONE</v>
          </cell>
          <cell r="E26">
            <v>1094.9953328067782</v>
          </cell>
          <cell r="I26">
            <v>1231.5481586644544</v>
          </cell>
          <cell r="M26">
            <v>1298.6169729238361</v>
          </cell>
          <cell r="Q26">
            <v>1230.3629570723363</v>
          </cell>
          <cell r="U26">
            <v>1242.6309097214196</v>
          </cell>
          <cell r="Y26">
            <v>1400.2660505496044</v>
          </cell>
          <cell r="AC26">
            <v>1450.3359723238641</v>
          </cell>
          <cell r="AG26">
            <v>1497.0059880239521</v>
          </cell>
          <cell r="AK26">
            <v>1389.5440001019849</v>
          </cell>
          <cell r="AO26">
            <v>1489.1108767140286</v>
          </cell>
          <cell r="AS26">
            <v>1468.7093269012621</v>
          </cell>
          <cell r="AW26">
            <v>1646.5104414271302</v>
          </cell>
          <cell r="BA26">
            <v>1553.7041206935376</v>
          </cell>
          <cell r="BE26">
            <v>1618.4351554126474</v>
          </cell>
          <cell r="BI26">
            <v>1603.7999441184688</v>
          </cell>
        </row>
        <row r="27">
          <cell r="A27" t="str">
            <v>IMS SALES/REPORTED SALES</v>
          </cell>
          <cell r="E27">
            <v>1.0529239016393444</v>
          </cell>
          <cell r="I27">
            <v>1.0179243472222224</v>
          </cell>
          <cell r="M27">
            <v>1.0396671874999999</v>
          </cell>
          <cell r="Q27">
            <v>1.2365872317073172</v>
          </cell>
          <cell r="U27">
            <v>1.0812165813953489</v>
          </cell>
          <cell r="Y27">
            <v>1.03173516</v>
          </cell>
          <cell r="AC27">
            <v>1.0525968899082569</v>
          </cell>
          <cell r="AG27">
            <v>1.0229432327586208</v>
          </cell>
          <cell r="AK27">
            <v>1.1190960275229358</v>
          </cell>
          <cell r="AO27">
            <v>1.0378017666666666</v>
          </cell>
          <cell r="AS27">
            <v>1.1213909837398375</v>
          </cell>
          <cell r="AW27">
            <v>0.98051246478873255</v>
          </cell>
          <cell r="BA27">
            <v>1.1266018405797102</v>
          </cell>
          <cell r="BE27">
            <v>1.0458784039735098</v>
          </cell>
        </row>
        <row r="29">
          <cell r="A29" t="str">
            <v>PURINETHOL</v>
          </cell>
        </row>
        <row r="30">
          <cell r="A30" t="str">
            <v>TRx</v>
          </cell>
          <cell r="O30">
            <v>35079</v>
          </cell>
          <cell r="P30">
            <v>36626</v>
          </cell>
          <cell r="Q30">
            <v>71705</v>
          </cell>
          <cell r="R30">
            <v>39053</v>
          </cell>
          <cell r="S30">
            <v>34247</v>
          </cell>
          <cell r="T30">
            <v>36156</v>
          </cell>
          <cell r="U30">
            <v>109456</v>
          </cell>
          <cell r="V30">
            <v>37177</v>
          </cell>
          <cell r="W30">
            <v>37363</v>
          </cell>
          <cell r="X30">
            <v>35774</v>
          </cell>
          <cell r="Y30">
            <v>110314</v>
          </cell>
          <cell r="Z30">
            <v>39353</v>
          </cell>
          <cell r="AA30">
            <v>38912</v>
          </cell>
          <cell r="AB30">
            <v>36875</v>
          </cell>
          <cell r="AC30">
            <v>115140</v>
          </cell>
          <cell r="AD30">
            <v>39035</v>
          </cell>
          <cell r="AE30">
            <v>38373</v>
          </cell>
          <cell r="AF30">
            <v>40733</v>
          </cell>
          <cell r="AG30">
            <v>118141</v>
          </cell>
          <cell r="AH30">
            <v>40040</v>
          </cell>
          <cell r="AI30">
            <v>36729</v>
          </cell>
          <cell r="AJ30">
            <v>40050</v>
          </cell>
          <cell r="AK30">
            <v>116819</v>
          </cell>
          <cell r="AL30">
            <v>39240</v>
          </cell>
          <cell r="AM30">
            <v>40149</v>
          </cell>
          <cell r="AN30">
            <v>40171</v>
          </cell>
          <cell r="AO30">
            <v>119560</v>
          </cell>
          <cell r="AP30">
            <v>41724</v>
          </cell>
          <cell r="AQ30">
            <v>40367</v>
          </cell>
          <cell r="AR30">
            <v>41243</v>
          </cell>
          <cell r="AS30">
            <v>123334</v>
          </cell>
          <cell r="AT30">
            <v>43392</v>
          </cell>
          <cell r="AU30">
            <v>38796</v>
          </cell>
          <cell r="AV30">
            <v>43514</v>
          </cell>
          <cell r="AW30">
            <v>125702</v>
          </cell>
          <cell r="AX30">
            <v>41682</v>
          </cell>
          <cell r="AY30">
            <v>37024</v>
          </cell>
          <cell r="AZ30">
            <v>26947</v>
          </cell>
          <cell r="BA30">
            <v>105653</v>
          </cell>
          <cell r="BB30">
            <v>20382</v>
          </cell>
          <cell r="BC30">
            <v>17280</v>
          </cell>
          <cell r="BD30">
            <v>15365</v>
          </cell>
          <cell r="BE30">
            <v>53027</v>
          </cell>
          <cell r="BF30">
            <v>13568</v>
          </cell>
          <cell r="BG30">
            <v>12445</v>
          </cell>
          <cell r="BH30">
            <v>10707</v>
          </cell>
          <cell r="BI30">
            <v>36720</v>
          </cell>
        </row>
        <row r="31">
          <cell r="A31" t="str">
            <v xml:space="preserve">  % Change</v>
          </cell>
          <cell r="AE31">
            <v>9.3902334730180392E-2</v>
          </cell>
          <cell r="AF31">
            <v>0.1121334571069732</v>
          </cell>
          <cell r="AG31">
            <v>0.64759779652743887</v>
          </cell>
          <cell r="AH31">
            <v>2.527334647786339E-2</v>
          </cell>
          <cell r="AI31">
            <v>7.2473501328583545E-2</v>
          </cell>
          <cell r="AJ31">
            <v>0.10769996681048788</v>
          </cell>
          <cell r="AK31">
            <v>6.7269039614091586E-2</v>
          </cell>
          <cell r="AL31">
            <v>5.5491298383409049E-2</v>
          </cell>
          <cell r="AM31">
            <v>7.4565746861868787E-2</v>
          </cell>
          <cell r="AN31">
            <v>0.12291049365460949</v>
          </cell>
          <cell r="AO31">
            <v>8.3815290896894323E-2</v>
          </cell>
          <cell r="AP31">
            <v>6.0249536248824676E-2</v>
          </cell>
          <cell r="AQ31">
            <v>3.7392064144736947E-2</v>
          </cell>
          <cell r="AR31">
            <v>0.11845423728813564</v>
          </cell>
          <cell r="AS31">
            <v>7.1165537606392215E-2</v>
          </cell>
          <cell r="AT31">
            <v>0.11161777891635705</v>
          </cell>
          <cell r="AU31">
            <v>1.102337581111712E-2</v>
          </cell>
          <cell r="AV31">
            <v>6.8273881128323444E-2</v>
          </cell>
          <cell r="AW31">
            <v>6.3999796852913127E-2</v>
          </cell>
          <cell r="AX31">
            <v>4.1008991008991025E-2</v>
          </cell>
          <cell r="AY31">
            <v>8.0318004846307023E-3</v>
          </cell>
          <cell r="AZ31">
            <v>-0.32716604244694136</v>
          </cell>
          <cell r="BA31">
            <v>-9.5583766339379705E-2</v>
          </cell>
          <cell r="BB31">
            <v>-0.48058103975535171</v>
          </cell>
          <cell r="BC31">
            <v>-0.56960322797579011</v>
          </cell>
          <cell r="BD31">
            <v>-0.61751014413382788</v>
          </cell>
          <cell r="BE31">
            <v>-0.55648210103713613</v>
          </cell>
          <cell r="BF31">
            <v>-0.67481545393538489</v>
          </cell>
          <cell r="BG31">
            <v>-0.69170361929298685</v>
          </cell>
          <cell r="BH31">
            <v>-0.74039230899789055</v>
          </cell>
          <cell r="BI31">
            <v>-0.70227187961146154</v>
          </cell>
        </row>
        <row r="32">
          <cell r="A32" t="str">
            <v>Market TRx</v>
          </cell>
        </row>
        <row r="33">
          <cell r="A33" t="str">
            <v>Market NRx</v>
          </cell>
        </row>
        <row r="34">
          <cell r="A34" t="str">
            <v>NRx</v>
          </cell>
          <cell r="O34">
            <v>11868</v>
          </cell>
          <cell r="P34">
            <v>12883</v>
          </cell>
          <cell r="Q34">
            <v>24751</v>
          </cell>
          <cell r="R34">
            <v>14859</v>
          </cell>
          <cell r="S34">
            <v>12529</v>
          </cell>
          <cell r="T34">
            <v>12318</v>
          </cell>
          <cell r="U34">
            <v>39706</v>
          </cell>
          <cell r="V34">
            <v>12716</v>
          </cell>
          <cell r="W34">
            <v>12633</v>
          </cell>
          <cell r="X34">
            <v>12214</v>
          </cell>
          <cell r="Y34">
            <v>37563</v>
          </cell>
          <cell r="Z34">
            <v>13288</v>
          </cell>
          <cell r="AA34">
            <v>13065</v>
          </cell>
          <cell r="AB34">
            <v>12655</v>
          </cell>
          <cell r="AC34">
            <v>39008</v>
          </cell>
          <cell r="AD34">
            <v>13276</v>
          </cell>
          <cell r="AE34">
            <v>12847</v>
          </cell>
          <cell r="AF34">
            <v>13384</v>
          </cell>
          <cell r="AG34">
            <v>39507</v>
          </cell>
          <cell r="AH34">
            <v>13962</v>
          </cell>
          <cell r="AI34">
            <v>12938</v>
          </cell>
          <cell r="AJ34">
            <v>13736</v>
          </cell>
          <cell r="AK34">
            <v>40636</v>
          </cell>
          <cell r="AL34">
            <v>13109</v>
          </cell>
          <cell r="AM34">
            <v>13479</v>
          </cell>
          <cell r="AN34">
            <v>13728</v>
          </cell>
          <cell r="AO34">
            <v>40316</v>
          </cell>
          <cell r="AP34">
            <v>13839</v>
          </cell>
          <cell r="AQ34">
            <v>13519</v>
          </cell>
          <cell r="AR34">
            <v>15097</v>
          </cell>
          <cell r="AS34">
            <v>42455</v>
          </cell>
          <cell r="AT34">
            <v>15839</v>
          </cell>
          <cell r="AU34">
            <v>13685</v>
          </cell>
          <cell r="AV34">
            <v>15033</v>
          </cell>
          <cell r="AW34">
            <v>44557</v>
          </cell>
          <cell r="AX34">
            <v>14331</v>
          </cell>
          <cell r="AY34">
            <v>13155</v>
          </cell>
          <cell r="AZ34">
            <v>9304</v>
          </cell>
          <cell r="BA34">
            <v>36790</v>
          </cell>
          <cell r="BB34">
            <v>6214</v>
          </cell>
          <cell r="BC34">
            <v>5070</v>
          </cell>
          <cell r="BD34">
            <v>4940</v>
          </cell>
          <cell r="BE34">
            <v>16224</v>
          </cell>
          <cell r="BF34">
            <v>4174</v>
          </cell>
          <cell r="BG34">
            <v>3654</v>
          </cell>
          <cell r="BH34">
            <v>3385</v>
          </cell>
          <cell r="BI34">
            <v>11213</v>
          </cell>
        </row>
        <row r="35">
          <cell r="A35" t="str">
            <v xml:space="preserve">  % Change</v>
          </cell>
          <cell r="AE35">
            <v>8.2490731378496829E-2</v>
          </cell>
          <cell r="AF35">
            <v>3.8888457657378028E-2</v>
          </cell>
          <cell r="AG35">
            <v>0.59617793220475934</v>
          </cell>
          <cell r="AH35">
            <v>-6.0367454068241511E-2</v>
          </cell>
          <cell r="AI35">
            <v>3.2644265304493603E-2</v>
          </cell>
          <cell r="AJ35">
            <v>0.11511609027439529</v>
          </cell>
          <cell r="AK35">
            <v>2.3422152823250997E-2</v>
          </cell>
          <cell r="AL35">
            <v>3.0905945265806922E-2</v>
          </cell>
          <cell r="AM35">
            <v>6.6967466160056999E-2</v>
          </cell>
          <cell r="AN35">
            <v>0.12395611593253641</v>
          </cell>
          <cell r="AO35">
            <v>7.3290205787610141E-2</v>
          </cell>
          <cell r="AP35">
            <v>4.1465984346779061E-2</v>
          </cell>
          <cell r="AQ35">
            <v>3.4749330271718337E-2</v>
          </cell>
          <cell r="AR35">
            <v>0.19296720663769262</v>
          </cell>
          <cell r="AS35">
            <v>8.8366488925348596E-2</v>
          </cell>
          <cell r="AT35">
            <v>0.19305513708948485</v>
          </cell>
          <cell r="AU35">
            <v>6.5229236397602586E-2</v>
          </cell>
          <cell r="AV35">
            <v>0.12320681410639578</v>
          </cell>
          <cell r="AW35">
            <v>0.12782544865466883</v>
          </cell>
          <cell r="AX35">
            <v>2.6428878384185728E-2</v>
          </cell>
          <cell r="AY35">
            <v>1.6772298655124418E-2</v>
          </cell>
          <cell r="AZ35">
            <v>-0.32265579499126384</v>
          </cell>
          <cell r="BA35">
            <v>-9.4645142238409252E-2</v>
          </cell>
          <cell r="BB35">
            <v>-0.52597452132122968</v>
          </cell>
          <cell r="BC35">
            <v>-0.62385933674604943</v>
          </cell>
          <cell r="BD35">
            <v>-0.64015151515151514</v>
          </cell>
          <cell r="BE35">
            <v>-0.59757912491318588</v>
          </cell>
          <cell r="BF35">
            <v>-0.69838861189392298</v>
          </cell>
          <cell r="BG35">
            <v>-0.72971373622309343</v>
          </cell>
          <cell r="BH35">
            <v>-0.77578326819897991</v>
          </cell>
          <cell r="BI35">
            <v>-0.73588505476386756</v>
          </cell>
        </row>
        <row r="36">
          <cell r="A36">
            <v>30230</v>
          </cell>
          <cell r="O36">
            <v>36026</v>
          </cell>
          <cell r="P36">
            <v>37676</v>
          </cell>
          <cell r="Q36">
            <v>73702</v>
          </cell>
          <cell r="R36">
            <v>40083</v>
          </cell>
          <cell r="S36">
            <v>35223</v>
          </cell>
          <cell r="T36">
            <v>37022</v>
          </cell>
          <cell r="U36">
            <v>112328</v>
          </cell>
          <cell r="V36">
            <v>37747</v>
          </cell>
          <cell r="W36">
            <v>37862</v>
          </cell>
          <cell r="X36">
            <v>36226</v>
          </cell>
          <cell r="Y36">
            <v>111835</v>
          </cell>
          <cell r="Z36">
            <v>39889</v>
          </cell>
          <cell r="AA36">
            <v>39431</v>
          </cell>
          <cell r="AB36">
            <v>37446</v>
          </cell>
          <cell r="AC36">
            <v>116766</v>
          </cell>
          <cell r="AD36">
            <v>39645</v>
          </cell>
          <cell r="AE36">
            <v>38961</v>
          </cell>
          <cell r="AF36">
            <v>41298</v>
          </cell>
          <cell r="AG36">
            <v>119904</v>
          </cell>
          <cell r="AH36">
            <v>40649</v>
          </cell>
          <cell r="AI36">
            <v>37216</v>
          </cell>
          <cell r="AJ36">
            <v>40618</v>
          </cell>
          <cell r="AK36">
            <v>118483</v>
          </cell>
          <cell r="AL36">
            <v>39800</v>
          </cell>
          <cell r="AM36">
            <v>40694</v>
          </cell>
          <cell r="AN36">
            <v>40702</v>
          </cell>
          <cell r="AO36">
            <v>121196</v>
          </cell>
          <cell r="AP36">
            <v>42261</v>
          </cell>
          <cell r="AQ36">
            <v>40932</v>
          </cell>
          <cell r="AR36">
            <v>41766</v>
          </cell>
          <cell r="AS36">
            <v>124959</v>
          </cell>
          <cell r="AT36">
            <v>44009</v>
          </cell>
          <cell r="AU36">
            <v>39315</v>
          </cell>
          <cell r="AV36">
            <v>44028</v>
          </cell>
          <cell r="AW36">
            <v>127352</v>
          </cell>
          <cell r="AX36">
            <v>42249</v>
          </cell>
          <cell r="AY36">
            <v>39475</v>
          </cell>
          <cell r="AZ36">
            <v>43691</v>
          </cell>
          <cell r="BA36">
            <v>125415</v>
          </cell>
          <cell r="BB36">
            <v>41419</v>
          </cell>
          <cell r="BC36">
            <v>41020</v>
          </cell>
          <cell r="BD36">
            <v>43555</v>
          </cell>
          <cell r="BE36">
            <v>125994</v>
          </cell>
          <cell r="BF36">
            <v>42565</v>
          </cell>
          <cell r="BG36">
            <v>43280</v>
          </cell>
          <cell r="BH36">
            <v>41560</v>
          </cell>
          <cell r="BI36">
            <v>127405</v>
          </cell>
        </row>
        <row r="37">
          <cell r="A37">
            <v>30230</v>
          </cell>
          <cell r="O37">
            <v>12440</v>
          </cell>
          <cell r="P37">
            <v>13522</v>
          </cell>
          <cell r="Q37">
            <v>25962</v>
          </cell>
          <cell r="R37">
            <v>15534</v>
          </cell>
          <cell r="S37">
            <v>13165</v>
          </cell>
          <cell r="T37">
            <v>12915</v>
          </cell>
          <cell r="U37">
            <v>41614</v>
          </cell>
          <cell r="V37">
            <v>13095</v>
          </cell>
          <cell r="W37">
            <v>12980</v>
          </cell>
          <cell r="X37">
            <v>12543</v>
          </cell>
          <cell r="Y37">
            <v>38618</v>
          </cell>
          <cell r="Z37">
            <v>13688</v>
          </cell>
          <cell r="AA37">
            <v>13452</v>
          </cell>
          <cell r="AB37">
            <v>13064</v>
          </cell>
          <cell r="AC37">
            <v>40204</v>
          </cell>
          <cell r="AD37">
            <v>13687</v>
          </cell>
          <cell r="AE37">
            <v>13254</v>
          </cell>
          <cell r="AF37">
            <v>13742</v>
          </cell>
          <cell r="AG37">
            <v>40683</v>
          </cell>
          <cell r="AH37">
            <v>14332</v>
          </cell>
          <cell r="AI37">
            <v>13267</v>
          </cell>
          <cell r="AJ37">
            <v>14076</v>
          </cell>
          <cell r="AK37">
            <v>41675</v>
          </cell>
          <cell r="AL37">
            <v>13470</v>
          </cell>
          <cell r="AM37">
            <v>13816</v>
          </cell>
          <cell r="AN37">
            <v>14065</v>
          </cell>
          <cell r="AO37">
            <v>41351</v>
          </cell>
          <cell r="AP37">
            <v>14167</v>
          </cell>
          <cell r="AQ37">
            <v>13871</v>
          </cell>
          <cell r="AR37">
            <v>15432</v>
          </cell>
          <cell r="AS37">
            <v>43470</v>
          </cell>
          <cell r="AT37">
            <v>16226</v>
          </cell>
          <cell r="AU37">
            <v>14014</v>
          </cell>
          <cell r="AV37">
            <v>15322</v>
          </cell>
          <cell r="AW37">
            <v>45562</v>
          </cell>
          <cell r="AX37">
            <v>14708</v>
          </cell>
          <cell r="AY37">
            <v>15175</v>
          </cell>
          <cell r="AZ37">
            <v>20539</v>
          </cell>
          <cell r="BA37">
            <v>50422</v>
          </cell>
          <cell r="BB37">
            <v>17321</v>
          </cell>
          <cell r="BC37">
            <v>15996</v>
          </cell>
          <cell r="BD37">
            <v>16561</v>
          </cell>
          <cell r="BE37">
            <v>49878</v>
          </cell>
          <cell r="BF37">
            <v>15555</v>
          </cell>
          <cell r="BG37">
            <v>15171</v>
          </cell>
          <cell r="BH37">
            <v>14991</v>
          </cell>
          <cell r="BI37">
            <v>45717</v>
          </cell>
        </row>
        <row r="38">
          <cell r="A38" t="str">
            <v>TRx Market Growth</v>
          </cell>
          <cell r="AE38">
            <v>8.1468939099539117E-2</v>
          </cell>
          <cell r="AF38">
            <v>9.613547085677876E-2</v>
          </cell>
          <cell r="AG38">
            <v>0.6268757971289789</v>
          </cell>
          <cell r="AH38">
            <v>1.4120699548437088E-2</v>
          </cell>
          <cell r="AI38">
            <v>5.6582346762058977E-2</v>
          </cell>
          <cell r="AJ38">
            <v>9.7131435362757257E-2</v>
          </cell>
          <cell r="AK38">
            <v>5.479488640410235E-2</v>
          </cell>
          <cell r="AL38">
            <v>5.4388428219461105E-2</v>
          </cell>
          <cell r="AM38">
            <v>7.4797950451640061E-2</v>
          </cell>
          <cell r="AN38">
            <v>0.12355766576492022</v>
          </cell>
          <cell r="AO38">
            <v>8.3703670586131373E-2</v>
          </cell>
          <cell r="AP38">
            <v>5.9465015417784262E-2</v>
          </cell>
          <cell r="AQ38">
            <v>3.8066495904237829E-2</v>
          </cell>
          <cell r="AR38">
            <v>0.11536612722320139</v>
          </cell>
          <cell r="AS38">
            <v>7.0165972971584223E-2</v>
          </cell>
          <cell r="AT38">
            <v>0.11007693277840835</v>
          </cell>
          <cell r="AU38">
            <v>9.0860090860089837E-3</v>
          </cell>
          <cell r="AV38">
            <v>6.6104896120877443E-2</v>
          </cell>
          <cell r="AW38">
            <v>6.2116359754470274E-2</v>
          </cell>
          <cell r="AX38">
            <v>3.9361361903121894E-2</v>
          </cell>
          <cell r="AY38">
            <v>6.0699699054170164E-2</v>
          </cell>
          <cell r="AZ38">
            <v>7.5656113053326202E-2</v>
          </cell>
          <cell r="BA38">
            <v>5.8506283601866826E-2</v>
          </cell>
          <cell r="BB38">
            <v>4.0678391959799054E-2</v>
          </cell>
          <cell r="BC38">
            <v>8.0110089939549045E-3</v>
          </cell>
          <cell r="BD38">
            <v>7.0094835634612496E-2</v>
          </cell>
          <cell r="BE38">
            <v>3.9588765305785589E-2</v>
          </cell>
          <cell r="BF38">
            <v>7.193393436028428E-3</v>
          </cell>
          <cell r="BG38">
            <v>5.7363432033616713E-2</v>
          </cell>
          <cell r="BH38">
            <v>-4.9322415361777727E-3</v>
          </cell>
          <cell r="BI38">
            <v>1.9574420409894433E-2</v>
          </cell>
        </row>
        <row r="39">
          <cell r="A39" t="str">
            <v>NRx Market Growth</v>
          </cell>
          <cell r="AE39">
            <v>6.5434083601286108E-2</v>
          </cell>
          <cell r="AF39">
            <v>1.626978257654188E-2</v>
          </cell>
          <cell r="AG39">
            <v>0.56702103073723142</v>
          </cell>
          <cell r="AH39">
            <v>-7.7378653276683362E-2</v>
          </cell>
          <cell r="AI39">
            <v>7.7478161792632338E-3</v>
          </cell>
          <cell r="AJ39">
            <v>8.9895470383275278E-2</v>
          </cell>
          <cell r="AK39">
            <v>1.4658528379871694E-3</v>
          </cell>
          <cell r="AL39">
            <v>2.8636884306987298E-2</v>
          </cell>
          <cell r="AM39">
            <v>6.4406779661017044E-2</v>
          </cell>
          <cell r="AN39">
            <v>0.12134258151957278</v>
          </cell>
          <cell r="AO39">
            <v>7.077010720389465E-2</v>
          </cell>
          <cell r="AP39">
            <v>3.4994155464640464E-2</v>
          </cell>
          <cell r="AQ39">
            <v>3.1147784716027305E-2</v>
          </cell>
          <cell r="AR39">
            <v>0.18126148193508884</v>
          </cell>
          <cell r="AS39">
            <v>8.1235697940503337E-2</v>
          </cell>
          <cell r="AT39">
            <v>0.18550449331482421</v>
          </cell>
          <cell r="AU39">
            <v>5.7341180021125648E-2</v>
          </cell>
          <cell r="AV39">
            <v>0.11497598602823467</v>
          </cell>
          <cell r="AW39">
            <v>0.11992724233709406</v>
          </cell>
          <cell r="AX39">
            <v>2.6234998604521387E-2</v>
          </cell>
          <cell r="AY39">
            <v>0.14381548202306482</v>
          </cell>
          <cell r="AZ39">
            <v>0.45915032679738554</v>
          </cell>
          <cell r="BA39">
            <v>0.20988602279544089</v>
          </cell>
          <cell r="BB39">
            <v>0.28589458054936889</v>
          </cell>
          <cell r="BC39">
            <v>0.15778807180081067</v>
          </cell>
          <cell r="BD39">
            <v>0.17746178457163175</v>
          </cell>
          <cell r="BE39">
            <v>0.20621024884525152</v>
          </cell>
          <cell r="BF39">
            <v>9.7974165313757355E-2</v>
          </cell>
          <cell r="BG39">
            <v>9.3720712277413298E-2</v>
          </cell>
          <cell r="BH39">
            <v>-2.8576982892690506E-2</v>
          </cell>
          <cell r="BI39">
            <v>5.1690821256038744E-2</v>
          </cell>
        </row>
        <row r="40">
          <cell r="A40" t="str">
            <v>TRx Market Share</v>
          </cell>
          <cell r="O40">
            <v>0.97371342919002946</v>
          </cell>
          <cell r="P40">
            <v>0.97213079944792435</v>
          </cell>
          <cell r="Q40">
            <v>0.97290439879514801</v>
          </cell>
          <cell r="R40">
            <v>0.97430332060973479</v>
          </cell>
          <cell r="S40">
            <v>0.97229083269454619</v>
          </cell>
          <cell r="T40">
            <v>0.97660850305223923</v>
          </cell>
          <cell r="U40">
            <v>0.97443202051135958</v>
          </cell>
          <cell r="V40">
            <v>0.98489946220891722</v>
          </cell>
          <cell r="W40">
            <v>0.98682055887169196</v>
          </cell>
          <cell r="X40">
            <v>0.98752277369844865</v>
          </cell>
          <cell r="Y40">
            <v>0.98639960656324044</v>
          </cell>
          <cell r="Z40">
            <v>0.98656271152448038</v>
          </cell>
          <cell r="AA40">
            <v>0.98683776723897443</v>
          </cell>
          <cell r="AB40">
            <v>0.9847513753137852</v>
          </cell>
          <cell r="AC40">
            <v>0.98607471352962339</v>
          </cell>
          <cell r="AD40">
            <v>0.98461344431832509</v>
          </cell>
          <cell r="AE40">
            <v>0.98490798490798492</v>
          </cell>
          <cell r="AF40">
            <v>0.9863189500702213</v>
          </cell>
          <cell r="AG40">
            <v>0.98529657058980513</v>
          </cell>
          <cell r="AH40">
            <v>0.98501808162562421</v>
          </cell>
          <cell r="AI40">
            <v>0.98691423043852111</v>
          </cell>
          <cell r="AJ40">
            <v>0.98601605199665177</v>
          </cell>
          <cell r="AK40">
            <v>0.98595579112615317</v>
          </cell>
          <cell r="AL40">
            <v>0.98592964824120599</v>
          </cell>
          <cell r="AM40">
            <v>0.98660736226470735</v>
          </cell>
          <cell r="AN40">
            <v>0.98695395803646013</v>
          </cell>
          <cell r="AO40">
            <v>0.98650120466021984</v>
          </cell>
          <cell r="AP40">
            <v>0.98729324909491023</v>
          </cell>
          <cell r="AQ40">
            <v>0.98619661878237075</v>
          </cell>
          <cell r="AR40">
            <v>0.9874778527989273</v>
          </cell>
          <cell r="AS40">
            <v>0.98699573460094914</v>
          </cell>
          <cell r="AT40">
            <v>0.98598014042582194</v>
          </cell>
          <cell r="AU40">
            <v>0.98679893170545596</v>
          </cell>
          <cell r="AV40">
            <v>0.98832561097483418</v>
          </cell>
          <cell r="AW40">
            <v>0.98704378415729632</v>
          </cell>
          <cell r="AX40">
            <v>0.98657956401334945</v>
          </cell>
          <cell r="AY40">
            <v>0.93791006966434454</v>
          </cell>
          <cell r="AZ40">
            <v>0.61676317777116574</v>
          </cell>
          <cell r="BA40">
            <v>0.84242714188892875</v>
          </cell>
          <cell r="BB40">
            <v>0.49209300079673579</v>
          </cell>
          <cell r="BC40">
            <v>0.42125792296440762</v>
          </cell>
          <cell r="BD40">
            <v>0.3527723567902652</v>
          </cell>
          <cell r="BE40">
            <v>0.42086924774195594</v>
          </cell>
          <cell r="BF40">
            <v>0.31875954422647718</v>
          </cell>
          <cell r="BG40">
            <v>0.28754621072088726</v>
          </cell>
          <cell r="BH40">
            <v>0.25762752646775744</v>
          </cell>
          <cell r="BI40">
            <v>0.28821474824378951</v>
          </cell>
        </row>
        <row r="41">
          <cell r="A41" t="str">
            <v>NRx Market Share</v>
          </cell>
          <cell r="O41">
            <v>0.95401929260450158</v>
          </cell>
          <cell r="P41">
            <v>0.95274367697086226</v>
          </cell>
          <cell r="Q41">
            <v>0.95335490332023731</v>
          </cell>
          <cell r="R41">
            <v>0.95654692931633833</v>
          </cell>
          <cell r="S41">
            <v>0.95169008735282945</v>
          </cell>
          <cell r="T41">
            <v>0.95377468060394888</v>
          </cell>
          <cell r="U41">
            <v>0.95415004565771133</v>
          </cell>
          <cell r="V41">
            <v>0.97105765559373802</v>
          </cell>
          <cell r="W41">
            <v>0.97326656394453004</v>
          </cell>
          <cell r="X41">
            <v>0.97377023040739852</v>
          </cell>
          <cell r="Y41">
            <v>0.97268113315034443</v>
          </cell>
          <cell r="Z41">
            <v>0.97077732320280541</v>
          </cell>
          <cell r="AA41">
            <v>0.97123104371097235</v>
          </cell>
          <cell r="AB41">
            <v>0.96869259032455601</v>
          </cell>
          <cell r="AC41">
            <v>0.97025171624713957</v>
          </cell>
          <cell r="AD41">
            <v>0.96997150580843139</v>
          </cell>
          <cell r="AE41">
            <v>0.96929228912026555</v>
          </cell>
          <cell r="AF41">
            <v>0.9739484791151215</v>
          </cell>
          <cell r="AG41">
            <v>0.97109357716982525</v>
          </cell>
          <cell r="AH41">
            <v>0.97418364499023169</v>
          </cell>
          <cell r="AI41">
            <v>0.97520162809979649</v>
          </cell>
          <cell r="AJ41">
            <v>0.97584541062801933</v>
          </cell>
          <cell r="AK41">
            <v>0.9750689862027595</v>
          </cell>
          <cell r="AL41">
            <v>0.97319970304380099</v>
          </cell>
          <cell r="AM41">
            <v>0.97560799073537929</v>
          </cell>
          <cell r="AN41">
            <v>0.97603981514397442</v>
          </cell>
          <cell r="AO41">
            <v>0.97497037556528254</v>
          </cell>
          <cell r="AP41">
            <v>0.97684760358579803</v>
          </cell>
          <cell r="AQ41">
            <v>0.97462331482950038</v>
          </cell>
          <cell r="AR41">
            <v>0.97829186106791088</v>
          </cell>
          <cell r="AS41">
            <v>0.97665056360708535</v>
          </cell>
          <cell r="AT41">
            <v>0.97614938986811295</v>
          </cell>
          <cell r="AU41">
            <v>0.97652347652347649</v>
          </cell>
          <cell r="AV41">
            <v>0.98113823260670929</v>
          </cell>
          <cell r="AW41">
            <v>0.97794214476976427</v>
          </cell>
          <cell r="AX41">
            <v>0.97436769105248844</v>
          </cell>
          <cell r="AY41">
            <v>0.86688632619439865</v>
          </cell>
          <cell r="AZ41">
            <v>0.45299186912702666</v>
          </cell>
          <cell r="BA41">
            <v>0.72964182301376379</v>
          </cell>
          <cell r="BB41">
            <v>0.35875526817158365</v>
          </cell>
          <cell r="BC41">
            <v>0.31695423855963989</v>
          </cell>
          <cell r="BD41">
            <v>0.29829116599239175</v>
          </cell>
          <cell r="BE41">
            <v>0.32527366774930833</v>
          </cell>
          <cell r="BF41">
            <v>0.26833815493410479</v>
          </cell>
          <cell r="BG41">
            <v>0.24085426141981411</v>
          </cell>
          <cell r="BH41">
            <v>0.22580214795543993</v>
          </cell>
          <cell r="BI41">
            <v>0.24526981210490628</v>
          </cell>
        </row>
        <row r="42">
          <cell r="A42" t="str">
            <v>Price Change (YoY)</v>
          </cell>
          <cell r="Q42">
            <v>0</v>
          </cell>
          <cell r="U42">
            <v>0</v>
          </cell>
          <cell r="Y42">
            <v>0</v>
          </cell>
          <cell r="AC42">
            <v>0</v>
          </cell>
          <cell r="AG42">
            <v>0</v>
          </cell>
          <cell r="AK42">
            <v>0</v>
          </cell>
          <cell r="AO42">
            <v>0</v>
          </cell>
          <cell r="AS42">
            <v>0</v>
          </cell>
          <cell r="AW42">
            <v>0</v>
          </cell>
          <cell r="BA42">
            <v>0</v>
          </cell>
          <cell r="BE42">
            <v>0</v>
          </cell>
          <cell r="BI42">
            <v>0</v>
          </cell>
        </row>
        <row r="43">
          <cell r="A43" t="str">
            <v>Sales (IMS)</v>
          </cell>
          <cell r="N43">
            <v>5.8940919999999997</v>
          </cell>
          <cell r="O43">
            <v>4.9581499999999998</v>
          </cell>
          <cell r="P43">
            <v>6.6437739999999996</v>
          </cell>
          <cell r="Q43">
            <v>17.496016000000001</v>
          </cell>
          <cell r="R43">
            <v>5.9084580000000004</v>
          </cell>
          <cell r="S43">
            <v>7.558135</v>
          </cell>
          <cell r="T43">
            <v>7.566611</v>
          </cell>
          <cell r="U43">
            <v>21.033203999999998</v>
          </cell>
          <cell r="V43">
            <v>5.8956689999999998</v>
          </cell>
          <cell r="W43">
            <v>6.0374679999999996</v>
          </cell>
          <cell r="X43">
            <v>7.6387070000000001</v>
          </cell>
          <cell r="Y43">
            <v>19.571843999999999</v>
          </cell>
          <cell r="Z43">
            <v>6.4103469999999998</v>
          </cell>
          <cell r="AA43">
            <v>6.3784409999999996</v>
          </cell>
          <cell r="AB43">
            <v>8.1181889999999992</v>
          </cell>
          <cell r="AC43">
            <v>20.906976999999998</v>
          </cell>
          <cell r="AD43">
            <v>6.4740609999999998</v>
          </cell>
          <cell r="AE43">
            <v>6.34741</v>
          </cell>
          <cell r="AF43">
            <v>8.1678300000000004</v>
          </cell>
          <cell r="AG43">
            <v>20.989300999999998</v>
          </cell>
          <cell r="AH43">
            <v>6.8976899999999999</v>
          </cell>
          <cell r="AI43">
            <v>7.0300390000000004</v>
          </cell>
          <cell r="AJ43">
            <v>8.9380120000000005</v>
          </cell>
          <cell r="AK43">
            <v>22.865741</v>
          </cell>
          <cell r="AL43">
            <v>7.0629369999999998</v>
          </cell>
          <cell r="AM43">
            <v>7.0588150000000001</v>
          </cell>
          <cell r="AN43">
            <v>8.9056549999999994</v>
          </cell>
          <cell r="AO43">
            <v>23.027407</v>
          </cell>
          <cell r="AP43">
            <v>7.2067990000000002</v>
          </cell>
          <cell r="AQ43">
            <v>6.5790819999999997</v>
          </cell>
          <cell r="AR43">
            <v>7.8850049999999996</v>
          </cell>
          <cell r="AS43">
            <v>21.670885999999999</v>
          </cell>
          <cell r="AT43">
            <v>8.8245989999999992</v>
          </cell>
          <cell r="AU43">
            <v>7.0726810000000002</v>
          </cell>
          <cell r="AV43">
            <v>10.805436</v>
          </cell>
          <cell r="AW43">
            <v>26.702715999999999</v>
          </cell>
          <cell r="AX43">
            <v>8.070703</v>
          </cell>
          <cell r="AY43">
            <v>6.9836919999999996</v>
          </cell>
          <cell r="AZ43">
            <v>5.8404790000000002</v>
          </cell>
          <cell r="BA43">
            <v>20.894874000000002</v>
          </cell>
          <cell r="BB43">
            <v>3.4391349999999998</v>
          </cell>
          <cell r="BC43">
            <v>2.968343</v>
          </cell>
          <cell r="BD43">
            <v>3.4391929999999999</v>
          </cell>
          <cell r="BE43">
            <v>9.8466709999999988</v>
          </cell>
          <cell r="BF43">
            <v>2.49071</v>
          </cell>
          <cell r="BG43">
            <v>2.3349329999999999</v>
          </cell>
        </row>
        <row r="44">
          <cell r="A44" t="str">
            <v xml:space="preserve">  % Change</v>
          </cell>
          <cell r="AD44">
            <v>9.8398362292275054E-2</v>
          </cell>
          <cell r="AE44">
            <v>0.28019725099079307</v>
          </cell>
          <cell r="AF44">
            <v>0.22939612334796466</v>
          </cell>
          <cell r="AG44">
            <v>0.19966174013558269</v>
          </cell>
          <cell r="AH44">
            <v>0.16742642496570159</v>
          </cell>
          <cell r="AI44">
            <v>-6.9871204999646053E-2</v>
          </cell>
          <cell r="AJ44">
            <v>0.18124375628666534</v>
          </cell>
          <cell r="AK44">
            <v>8.712590815930854E-2</v>
          </cell>
          <cell r="AL44">
            <v>0.19798737005079481</v>
          </cell>
          <cell r="AM44">
            <v>0.16916810159490714</v>
          </cell>
          <cell r="AN44">
            <v>0.16585896016171309</v>
          </cell>
          <cell r="AO44">
            <v>0.17655786547246155</v>
          </cell>
          <cell r="AP44">
            <v>0.12424475617310593</v>
          </cell>
          <cell r="AQ44">
            <v>3.1456119136321847E-2</v>
          </cell>
          <cell r="AR44">
            <v>-2.8723647601700319E-2</v>
          </cell>
          <cell r="AS44">
            <v>3.6538472300419178E-2</v>
          </cell>
          <cell r="AT44">
            <v>0.36307010391159422</v>
          </cell>
          <cell r="AU44">
            <v>0.11426251022070422</v>
          </cell>
          <cell r="AV44">
            <v>0.32292616276293695</v>
          </cell>
          <cell r="AW44">
            <v>0.27220606346061738</v>
          </cell>
          <cell r="AX44">
            <v>0.17005881679228851</v>
          </cell>
          <cell r="AY44">
            <v>-6.5927088028957526E-3</v>
          </cell>
          <cell r="AZ44">
            <v>-0.34655726575439816</v>
          </cell>
          <cell r="BA44">
            <v>-8.6193008133871429E-2</v>
          </cell>
          <cell r="BB44">
            <v>-0.51307296100758082</v>
          </cell>
          <cell r="BC44">
            <v>-0.57948423354344891</v>
          </cell>
          <cell r="BD44">
            <v>-0.61381919690354048</v>
          </cell>
          <cell r="BE44">
            <v>-0.57239340929701732</v>
          </cell>
          <cell r="BF44">
            <v>-0.65439441283154975</v>
          </cell>
          <cell r="BG44">
            <v>-0.64509744672585012</v>
          </cell>
        </row>
        <row r="46">
          <cell r="A46" t="str">
            <v>GENERICS</v>
          </cell>
        </row>
        <row r="47">
          <cell r="A47" t="str">
            <v>AMOX TR/POT CLAVUL</v>
          </cell>
        </row>
        <row r="48">
          <cell r="A48" t="str">
            <v>TRx</v>
          </cell>
          <cell r="AD48">
            <v>8</v>
          </cell>
          <cell r="AE48">
            <v>285347</v>
          </cell>
          <cell r="AF48">
            <v>490226</v>
          </cell>
          <cell r="AG48">
            <v>775581</v>
          </cell>
          <cell r="AH48">
            <v>554711</v>
          </cell>
          <cell r="AI48">
            <v>516266</v>
          </cell>
          <cell r="AJ48">
            <v>459436</v>
          </cell>
          <cell r="AK48">
            <v>1530413</v>
          </cell>
          <cell r="AL48">
            <v>392968</v>
          </cell>
          <cell r="AM48">
            <v>350849</v>
          </cell>
          <cell r="AN48">
            <v>309828</v>
          </cell>
          <cell r="AO48">
            <v>1053645</v>
          </cell>
          <cell r="AP48">
            <v>295329</v>
          </cell>
          <cell r="AQ48">
            <v>337917</v>
          </cell>
          <cell r="AR48">
            <v>409583</v>
          </cell>
          <cell r="AS48">
            <v>1042829</v>
          </cell>
          <cell r="AT48">
            <v>436269</v>
          </cell>
          <cell r="AU48">
            <v>430606</v>
          </cell>
          <cell r="AV48">
            <v>600733</v>
          </cell>
          <cell r="AW48">
            <v>1467608</v>
          </cell>
          <cell r="AX48">
            <v>487301</v>
          </cell>
          <cell r="AY48">
            <v>427579</v>
          </cell>
          <cell r="AZ48">
            <v>444027</v>
          </cell>
          <cell r="BA48">
            <v>1358907</v>
          </cell>
          <cell r="BB48">
            <v>371779</v>
          </cell>
          <cell r="BC48">
            <v>332951</v>
          </cell>
          <cell r="BD48">
            <v>328184</v>
          </cell>
          <cell r="BE48">
            <v>1032914</v>
          </cell>
          <cell r="BF48">
            <v>301218</v>
          </cell>
          <cell r="BG48">
            <v>306862</v>
          </cell>
          <cell r="BH48">
            <v>336614</v>
          </cell>
          <cell r="BI48">
            <v>944694</v>
          </cell>
        </row>
        <row r="49">
          <cell r="A49" t="str">
            <v xml:space="preserve">  % Change</v>
          </cell>
          <cell r="AO49">
            <v>0</v>
          </cell>
          <cell r="AS49">
            <v>0</v>
          </cell>
          <cell r="AT49">
            <v>0</v>
          </cell>
          <cell r="AU49">
            <v>0.50906089778410135</v>
          </cell>
          <cell r="AV49">
            <v>0.225420520331439</v>
          </cell>
          <cell r="AW49">
            <v>0.89226915048202571</v>
          </cell>
          <cell r="AX49">
            <v>-0.12152273886762655</v>
          </cell>
          <cell r="AY49">
            <v>-0.17178547492959051</v>
          </cell>
          <cell r="AZ49">
            <v>-3.3538947753332327E-2</v>
          </cell>
          <cell r="BA49">
            <v>-0.11206517456399023</v>
          </cell>
          <cell r="BB49">
            <v>-5.3920421001201091E-2</v>
          </cell>
          <cell r="BC49">
            <v>-5.1013398926603726E-2</v>
          </cell>
          <cell r="BD49">
            <v>5.9245775075203122E-2</v>
          </cell>
          <cell r="BE49">
            <v>-1.9675507405245596E-2</v>
          </cell>
          <cell r="BF49">
            <v>1.9940473167213479E-2</v>
          </cell>
          <cell r="BG49">
            <v>-9.190126569542223E-2</v>
          </cell>
          <cell r="BH49">
            <v>-0.17815436675838592</v>
          </cell>
          <cell r="BI49">
            <v>-9.4104594329463387E-2</v>
          </cell>
        </row>
        <row r="50">
          <cell r="A50" t="str">
            <v>NRx</v>
          </cell>
          <cell r="AD50">
            <v>8</v>
          </cell>
          <cell r="AE50">
            <v>278727</v>
          </cell>
          <cell r="AF50">
            <v>473860</v>
          </cell>
          <cell r="AG50">
            <v>752595</v>
          </cell>
          <cell r="AH50">
            <v>534698</v>
          </cell>
          <cell r="AI50">
            <v>496197</v>
          </cell>
          <cell r="AJ50">
            <v>440018</v>
          </cell>
          <cell r="AK50">
            <v>1470913</v>
          </cell>
          <cell r="AL50">
            <v>376106</v>
          </cell>
          <cell r="AM50">
            <v>335826</v>
          </cell>
          <cell r="AN50">
            <v>296370</v>
          </cell>
          <cell r="AO50">
            <v>1008302</v>
          </cell>
          <cell r="AP50">
            <v>282284</v>
          </cell>
          <cell r="AQ50">
            <v>323776</v>
          </cell>
          <cell r="AR50">
            <v>393685</v>
          </cell>
          <cell r="AS50">
            <v>999745</v>
          </cell>
          <cell r="AT50">
            <v>419116</v>
          </cell>
          <cell r="AU50">
            <v>413120</v>
          </cell>
          <cell r="AV50">
            <v>577768</v>
          </cell>
          <cell r="AW50">
            <v>1410004</v>
          </cell>
          <cell r="AX50">
            <v>467981</v>
          </cell>
          <cell r="AY50">
            <v>410803</v>
          </cell>
          <cell r="AZ50">
            <v>427088</v>
          </cell>
          <cell r="BA50">
            <v>1305872</v>
          </cell>
          <cell r="BB50">
            <v>357207</v>
          </cell>
          <cell r="BC50">
            <v>320028</v>
          </cell>
          <cell r="BD50">
            <v>315675</v>
          </cell>
          <cell r="BE50">
            <v>992910</v>
          </cell>
          <cell r="BF50">
            <v>289010</v>
          </cell>
          <cell r="BG50">
            <v>294977</v>
          </cell>
          <cell r="BH50">
            <v>324458</v>
          </cell>
          <cell r="BI50">
            <v>908445</v>
          </cell>
        </row>
        <row r="51">
          <cell r="A51" t="str">
            <v xml:space="preserve">  % Change</v>
          </cell>
          <cell r="AO51">
            <v>0</v>
          </cell>
          <cell r="AS51">
            <v>0</v>
          </cell>
          <cell r="AT51">
            <v>0</v>
          </cell>
          <cell r="AU51">
            <v>0.48216713845447345</v>
          </cell>
          <cell r="AV51">
            <v>0.21927995610517881</v>
          </cell>
          <cell r="AW51">
            <v>0.87352294394727581</v>
          </cell>
          <cell r="AX51">
            <v>-0.12477510669574232</v>
          </cell>
          <cell r="AY51">
            <v>-0.17209696955040032</v>
          </cell>
          <cell r="AZ51">
            <v>-2.9385161516119807E-2</v>
          </cell>
          <cell r="BA51">
            <v>-0.11220310106716036</v>
          </cell>
          <cell r="BB51">
            <v>-5.0249131893668308E-2</v>
          </cell>
          <cell r="BC51">
            <v>-4.7042218291615256E-2</v>
          </cell>
          <cell r="BD51">
            <v>6.5138171879745022E-2</v>
          </cell>
          <cell r="BE51">
            <v>-1.526526774716308E-2</v>
          </cell>
          <cell r="BF51">
            <v>2.3827067775715305E-2</v>
          </cell>
          <cell r="BG51">
            <v>-8.8947296896619843E-2</v>
          </cell>
          <cell r="BH51">
            <v>-0.17584363132961633</v>
          </cell>
          <cell r="BI51">
            <v>-9.1323287438296763E-2</v>
          </cell>
        </row>
        <row r="52">
          <cell r="A52" t="str">
            <v>Sales (IMS)</v>
          </cell>
          <cell r="AE52">
            <v>25.312479</v>
          </cell>
          <cell r="AF52">
            <v>35.449841999999997</v>
          </cell>
          <cell r="AG52">
            <v>60.762321</v>
          </cell>
          <cell r="AH52">
            <v>30.874783999999998</v>
          </cell>
          <cell r="AI52">
            <v>30.280443000000002</v>
          </cell>
          <cell r="AJ52">
            <v>26.98554</v>
          </cell>
          <cell r="AK52">
            <v>88.140766999999997</v>
          </cell>
          <cell r="AL52">
            <v>17.294383</v>
          </cell>
          <cell r="AM52">
            <v>15.096448000000001</v>
          </cell>
          <cell r="AN52">
            <v>19.366810999999998</v>
          </cell>
          <cell r="AO52">
            <v>51.757641999999997</v>
          </cell>
          <cell r="AP52">
            <v>17.360294</v>
          </cell>
          <cell r="AQ52">
            <v>16.509473</v>
          </cell>
          <cell r="AR52">
            <v>24.998024999999998</v>
          </cell>
          <cell r="AS52">
            <v>58.867791999999994</v>
          </cell>
          <cell r="AT52">
            <v>24.787353</v>
          </cell>
          <cell r="AU52">
            <v>19.658366000000001</v>
          </cell>
          <cell r="AV52">
            <v>31.408246999999999</v>
          </cell>
          <cell r="AW52">
            <v>75.853966</v>
          </cell>
          <cell r="AX52">
            <v>21.375858999999998</v>
          </cell>
          <cell r="AY52">
            <v>15.119602</v>
          </cell>
          <cell r="AZ52">
            <v>20.257863</v>
          </cell>
          <cell r="BA52">
            <v>56.753323999999999</v>
          </cell>
          <cell r="BB52">
            <v>13.987192</v>
          </cell>
          <cell r="BC52">
            <v>12.73204</v>
          </cell>
          <cell r="BD52">
            <v>15.612897999999999</v>
          </cell>
          <cell r="BE52">
            <v>42.332129999999999</v>
          </cell>
          <cell r="BF52">
            <v>8.9892190000000003</v>
          </cell>
          <cell r="BG52">
            <v>9.5553570000000008</v>
          </cell>
        </row>
        <row r="53">
          <cell r="A53" t="str">
            <v xml:space="preserve">  % Change</v>
          </cell>
          <cell r="AO53">
            <v>0</v>
          </cell>
          <cell r="AS53">
            <v>0</v>
          </cell>
          <cell r="AT53">
            <v>0</v>
          </cell>
          <cell r="AU53">
            <v>-0.22337255074858531</v>
          </cell>
          <cell r="AV53">
            <v>-0.1140088297149533</v>
          </cell>
          <cell r="AW53">
            <v>0.24837176644387893</v>
          </cell>
          <cell r="AX53">
            <v>-0.30765964225045273</v>
          </cell>
          <cell r="AY53">
            <v>-0.50068095106798804</v>
          </cell>
          <cell r="AZ53">
            <v>-0.24930673983177654</v>
          </cell>
          <cell r="BA53">
            <v>-0.35610585281155993</v>
          </cell>
          <cell r="BB53">
            <v>-0.19122919852069886</v>
          </cell>
          <cell r="BC53">
            <v>-0.15662015329698753</v>
          </cell>
          <cell r="BD53">
            <v>-0.19383227316051155</v>
          </cell>
          <cell r="BE53">
            <v>-0.18210860533406836</v>
          </cell>
          <cell r="BF53">
            <v>-0.48219661487299692</v>
          </cell>
          <cell r="BG53">
            <v>-0.42121974456725542</v>
          </cell>
        </row>
        <row r="55">
          <cell r="A55" t="str">
            <v>NIFEDIPINE ER</v>
          </cell>
        </row>
        <row r="56">
          <cell r="A56" t="str">
            <v>TRx</v>
          </cell>
          <cell r="N56">
            <v>289370</v>
          </cell>
          <cell r="O56">
            <v>279378</v>
          </cell>
          <cell r="P56">
            <v>287622</v>
          </cell>
          <cell r="Q56">
            <v>856370</v>
          </cell>
          <cell r="R56">
            <v>304281</v>
          </cell>
          <cell r="S56">
            <v>280113</v>
          </cell>
          <cell r="T56">
            <v>302177</v>
          </cell>
          <cell r="U56">
            <v>886571</v>
          </cell>
          <cell r="V56">
            <v>304948</v>
          </cell>
          <cell r="W56">
            <v>305878</v>
          </cell>
          <cell r="X56">
            <v>286853</v>
          </cell>
          <cell r="Y56">
            <v>897679</v>
          </cell>
          <cell r="Z56">
            <v>307690</v>
          </cell>
          <cell r="AA56">
            <v>300539</v>
          </cell>
          <cell r="AB56">
            <v>289780</v>
          </cell>
          <cell r="AC56">
            <v>898009</v>
          </cell>
          <cell r="AD56">
            <v>310957</v>
          </cell>
          <cell r="AE56">
            <v>283169</v>
          </cell>
          <cell r="AF56">
            <v>289457</v>
          </cell>
          <cell r="AG56">
            <v>883583</v>
          </cell>
          <cell r="AH56">
            <v>282227</v>
          </cell>
          <cell r="AI56">
            <v>254148</v>
          </cell>
          <cell r="AJ56">
            <v>264651</v>
          </cell>
          <cell r="AK56">
            <v>801026</v>
          </cell>
          <cell r="AL56">
            <v>250151</v>
          </cell>
          <cell r="AM56">
            <v>251456</v>
          </cell>
          <cell r="AN56">
            <v>240494</v>
          </cell>
          <cell r="AO56">
            <v>742101</v>
          </cell>
          <cell r="AP56">
            <v>242436</v>
          </cell>
          <cell r="AQ56">
            <v>225008</v>
          </cell>
          <cell r="AR56">
            <v>219504</v>
          </cell>
          <cell r="AS56">
            <v>686948</v>
          </cell>
          <cell r="AT56">
            <v>223652</v>
          </cell>
          <cell r="AU56">
            <v>204067</v>
          </cell>
          <cell r="AV56">
            <v>221137</v>
          </cell>
          <cell r="AW56">
            <v>648856</v>
          </cell>
          <cell r="AX56">
            <v>204478</v>
          </cell>
          <cell r="AY56">
            <v>177375</v>
          </cell>
          <cell r="AZ56">
            <v>174648</v>
          </cell>
          <cell r="BA56">
            <v>556501</v>
          </cell>
          <cell r="BB56">
            <v>146659</v>
          </cell>
          <cell r="BC56">
            <v>132423</v>
          </cell>
          <cell r="BD56">
            <v>130137</v>
          </cell>
          <cell r="BE56">
            <v>409219</v>
          </cell>
          <cell r="BF56">
            <v>125724</v>
          </cell>
          <cell r="BG56">
            <v>122394</v>
          </cell>
          <cell r="BH56">
            <v>115826</v>
          </cell>
          <cell r="BI56">
            <v>363944</v>
          </cell>
        </row>
        <row r="57">
          <cell r="A57" t="str">
            <v xml:space="preserve">  % Change</v>
          </cell>
          <cell r="AD57">
            <v>7.4599993088433569E-2</v>
          </cell>
          <cell r="AE57">
            <v>1.3569429232079822E-2</v>
          </cell>
          <cell r="AF57">
            <v>6.3799013983631969E-3</v>
          </cell>
          <cell r="AG57">
            <v>3.1777152399079744E-2</v>
          </cell>
          <cell r="AH57">
            <v>-7.247905718727099E-2</v>
          </cell>
          <cell r="AI57">
            <v>-9.2694733910957394E-2</v>
          </cell>
          <cell r="AJ57">
            <v>-0.12418549393236411</v>
          </cell>
          <cell r="AK57">
            <v>-9.64897340427332E-2</v>
          </cell>
          <cell r="AL57">
            <v>-0.17969293125385311</v>
          </cell>
          <cell r="AM57">
            <v>-0.17792060887020311</v>
          </cell>
          <cell r="AN57">
            <v>-0.16161239380449222</v>
          </cell>
          <cell r="AO57">
            <v>-0.17331139527603967</v>
          </cell>
          <cell r="AP57">
            <v>-0.21207709057817936</v>
          </cell>
          <cell r="AQ57">
            <v>-0.25131846449212913</v>
          </cell>
          <cell r="AR57">
            <v>-0.24251501138794951</v>
          </cell>
          <cell r="AS57">
            <v>-0.23503216560190376</v>
          </cell>
          <cell r="AT57">
            <v>-0.28076229189244817</v>
          </cell>
          <cell r="AU57">
            <v>-0.27934554983066651</v>
          </cell>
          <cell r="AV57">
            <v>-0.23602814925878457</v>
          </cell>
          <cell r="AW57">
            <v>-0.26565359451234349</v>
          </cell>
          <cell r="AX57">
            <v>-0.27548391897302527</v>
          </cell>
          <cell r="AY57">
            <v>-0.3020798904575287</v>
          </cell>
          <cell r="AZ57">
            <v>-0.34008184363558047</v>
          </cell>
          <cell r="BA57">
            <v>-0.30526474796074032</v>
          </cell>
          <cell r="BB57">
            <v>-0.41371811425898752</v>
          </cell>
          <cell r="BC57">
            <v>-0.47337506362942228</v>
          </cell>
          <cell r="BD57">
            <v>-0.4588763129225677</v>
          </cell>
          <cell r="BE57">
            <v>-0.44856697403722678</v>
          </cell>
          <cell r="BF57">
            <v>-0.48141365143790527</v>
          </cell>
          <cell r="BG57">
            <v>-0.45604600725307542</v>
          </cell>
          <cell r="BH57">
            <v>-0.4723285224870617</v>
          </cell>
          <cell r="BI57">
            <v>-0.47020152908225954</v>
          </cell>
        </row>
        <row r="58">
          <cell r="A58" t="str">
            <v>NRx</v>
          </cell>
          <cell r="N58">
            <v>87073</v>
          </cell>
          <cell r="O58">
            <v>82383</v>
          </cell>
          <cell r="P58">
            <v>82467</v>
          </cell>
          <cell r="Q58">
            <v>251923</v>
          </cell>
          <cell r="R58">
            <v>97480</v>
          </cell>
          <cell r="S58">
            <v>88655</v>
          </cell>
          <cell r="T58">
            <v>92339</v>
          </cell>
          <cell r="U58">
            <v>278474</v>
          </cell>
          <cell r="V58">
            <v>90004</v>
          </cell>
          <cell r="W58">
            <v>87593</v>
          </cell>
          <cell r="X58">
            <v>80185</v>
          </cell>
          <cell r="Y58">
            <v>257782</v>
          </cell>
          <cell r="Z58">
            <v>85943</v>
          </cell>
          <cell r="AA58">
            <v>82517</v>
          </cell>
          <cell r="AB58">
            <v>80573</v>
          </cell>
          <cell r="AC58">
            <v>249033</v>
          </cell>
          <cell r="AD58">
            <v>93805</v>
          </cell>
          <cell r="AE58">
            <v>81835</v>
          </cell>
          <cell r="AF58">
            <v>81574</v>
          </cell>
          <cell r="AG58">
            <v>257214</v>
          </cell>
          <cell r="AH58">
            <v>86350</v>
          </cell>
          <cell r="AI58">
            <v>77322</v>
          </cell>
          <cell r="AJ58">
            <v>77628</v>
          </cell>
          <cell r="AK58">
            <v>241300</v>
          </cell>
          <cell r="AL58">
            <v>71421</v>
          </cell>
          <cell r="AM58">
            <v>70739</v>
          </cell>
          <cell r="AN58">
            <v>66975</v>
          </cell>
          <cell r="AO58">
            <v>209135</v>
          </cell>
          <cell r="AP58">
            <v>68338</v>
          </cell>
          <cell r="AQ58">
            <v>62996</v>
          </cell>
          <cell r="AR58">
            <v>62559</v>
          </cell>
          <cell r="AS58">
            <v>193893</v>
          </cell>
          <cell r="AT58">
            <v>65375</v>
          </cell>
          <cell r="AU58">
            <v>58208</v>
          </cell>
          <cell r="AV58">
            <v>63632</v>
          </cell>
          <cell r="AW58">
            <v>187215</v>
          </cell>
          <cell r="AX58">
            <v>61567</v>
          </cell>
          <cell r="AY58">
            <v>54487</v>
          </cell>
          <cell r="AZ58">
            <v>50427</v>
          </cell>
          <cell r="BA58">
            <v>166481</v>
          </cell>
          <cell r="BB58">
            <v>41779</v>
          </cell>
          <cell r="BC58">
            <v>37419</v>
          </cell>
          <cell r="BD58">
            <v>36716</v>
          </cell>
          <cell r="BE58">
            <v>115914</v>
          </cell>
          <cell r="BF58">
            <v>35505</v>
          </cell>
          <cell r="BG58">
            <v>33997</v>
          </cell>
          <cell r="BH58">
            <v>32408</v>
          </cell>
          <cell r="BI58">
            <v>101910</v>
          </cell>
        </row>
        <row r="59">
          <cell r="A59" t="str">
            <v xml:space="preserve">  % Change</v>
          </cell>
          <cell r="AD59">
            <v>7.7314437311221562E-2</v>
          </cell>
          <cell r="AE59">
            <v>-6.6518577861937045E-3</v>
          </cell>
          <cell r="AF59">
            <v>-1.0828573853783885E-2</v>
          </cell>
          <cell r="AG59">
            <v>2.1002449161053205E-2</v>
          </cell>
          <cell r="AH59">
            <v>-0.11417726713171927</v>
          </cell>
          <cell r="AI59">
            <v>-0.12783260955388864</v>
          </cell>
          <cell r="AJ59">
            <v>-0.15931513228430028</v>
          </cell>
          <cell r="AK59">
            <v>-0.1334918161120966</v>
          </cell>
          <cell r="AL59">
            <v>-0.2064686013954935</v>
          </cell>
          <cell r="AM59">
            <v>-0.19241263571289946</v>
          </cell>
          <cell r="AN59">
            <v>-0.16474402943193867</v>
          </cell>
          <cell r="AO59">
            <v>-0.18871371934425207</v>
          </cell>
          <cell r="AP59">
            <v>-0.2048450717335909</v>
          </cell>
          <cell r="AQ59">
            <v>-0.23656943417719989</v>
          </cell>
          <cell r="AR59">
            <v>-0.22357365370533555</v>
          </cell>
          <cell r="AS59">
            <v>-0.22141643878522121</v>
          </cell>
          <cell r="AT59">
            <v>-0.30307552902297319</v>
          </cell>
          <cell r="AU59">
            <v>-0.28871509745219037</v>
          </cell>
          <cell r="AV59">
            <v>-0.21994753230195896</v>
          </cell>
          <cell r="AW59">
            <v>-0.27214304042548232</v>
          </cell>
          <cell r="AX59">
            <v>-0.28700636942675162</v>
          </cell>
          <cell r="AY59">
            <v>-0.2953234525749463</v>
          </cell>
          <cell r="AZ59">
            <v>-0.35040191683413202</v>
          </cell>
          <cell r="BA59">
            <v>-0.31006630750103603</v>
          </cell>
          <cell r="BB59">
            <v>-0.41503199339129948</v>
          </cell>
          <cell r="BC59">
            <v>-0.4710272975303581</v>
          </cell>
          <cell r="BD59">
            <v>-0.45179544606196342</v>
          </cell>
          <cell r="BE59">
            <v>-0.44574557104262802</v>
          </cell>
          <cell r="BF59">
            <v>-0.48045011560186135</v>
          </cell>
          <cell r="BG59">
            <v>-0.46033081465489878</v>
          </cell>
          <cell r="BH59">
            <v>-0.4819610287888233</v>
          </cell>
          <cell r="BI59">
            <v>-0.47440082932338967</v>
          </cell>
        </row>
        <row r="60">
          <cell r="A60" t="str">
            <v>Sales (IMS)</v>
          </cell>
          <cell r="N60">
            <v>9.9769260000000006</v>
          </cell>
          <cell r="O60">
            <v>9.8372620000000008</v>
          </cell>
          <cell r="P60">
            <v>12.386609</v>
          </cell>
          <cell r="Q60">
            <v>32.200797000000001</v>
          </cell>
          <cell r="R60">
            <v>10.336589</v>
          </cell>
          <cell r="S60">
            <v>10.655465</v>
          </cell>
          <cell r="T60">
            <v>12.942428</v>
          </cell>
          <cell r="U60">
            <v>33.934482000000003</v>
          </cell>
          <cell r="V60">
            <v>9.9449290000000001</v>
          </cell>
          <cell r="W60">
            <v>10.009916</v>
          </cell>
          <cell r="X60">
            <v>12.794008</v>
          </cell>
          <cell r="Y60">
            <v>32.748852999999997</v>
          </cell>
          <cell r="Z60">
            <v>9.7862430000000007</v>
          </cell>
          <cell r="AA60">
            <v>9.7176860000000005</v>
          </cell>
          <cell r="AB60">
            <v>15.032571000000001</v>
          </cell>
          <cell r="AC60">
            <v>34.536500000000004</v>
          </cell>
          <cell r="AD60">
            <v>10.062435000000001</v>
          </cell>
          <cell r="AE60">
            <v>9.9516310000000008</v>
          </cell>
          <cell r="AF60">
            <v>13.024412999999999</v>
          </cell>
          <cell r="AG60">
            <v>33.038478999999995</v>
          </cell>
          <cell r="AH60">
            <v>10.451889</v>
          </cell>
          <cell r="AI60">
            <v>9.8807899999999993</v>
          </cell>
          <cell r="AJ60">
            <v>11.865675</v>
          </cell>
          <cell r="AK60">
            <v>32.198353999999995</v>
          </cell>
          <cell r="AL60">
            <v>8.5316179999999999</v>
          </cell>
          <cell r="AM60">
            <v>8.5761719999999997</v>
          </cell>
          <cell r="AN60">
            <v>10.928731000000001</v>
          </cell>
          <cell r="AO60">
            <v>28.036521</v>
          </cell>
          <cell r="AP60">
            <v>7.9854029999999998</v>
          </cell>
          <cell r="AQ60">
            <v>8.1510239999999996</v>
          </cell>
          <cell r="AR60">
            <v>9.5636580000000002</v>
          </cell>
          <cell r="AS60">
            <v>25.700084999999998</v>
          </cell>
          <cell r="AT60">
            <v>7.8068340000000003</v>
          </cell>
          <cell r="AU60">
            <v>7.9100339999999996</v>
          </cell>
          <cell r="AV60">
            <v>8.9814070000000008</v>
          </cell>
          <cell r="AW60">
            <v>24.698275000000002</v>
          </cell>
          <cell r="AX60">
            <v>7.3955089999999997</v>
          </cell>
          <cell r="AY60">
            <v>6.727887</v>
          </cell>
          <cell r="AZ60">
            <v>7.578087</v>
          </cell>
          <cell r="BA60">
            <v>21.701483</v>
          </cell>
          <cell r="BB60">
            <v>6.0495660000000004</v>
          </cell>
          <cell r="BC60">
            <v>5.9412669999999999</v>
          </cell>
          <cell r="BD60">
            <v>7.0940370000000001</v>
          </cell>
          <cell r="BE60">
            <v>19.084870000000002</v>
          </cell>
          <cell r="BF60">
            <v>5.6588770000000004</v>
          </cell>
          <cell r="BG60">
            <v>5.6078400000000004</v>
          </cell>
        </row>
        <row r="61">
          <cell r="A61" t="str">
            <v xml:space="preserve">  % Change</v>
          </cell>
          <cell r="AD61">
            <v>8.5706759777510744E-3</v>
          </cell>
          <cell r="AE61">
            <v>1.1626100839847497E-2</v>
          </cell>
          <cell r="AF61">
            <v>5.1491413025146704E-2</v>
          </cell>
          <cell r="AG61">
            <v>2.6014325049159348E-2</v>
          </cell>
          <cell r="AH61">
            <v>1.1154550113194883E-2</v>
          </cell>
          <cell r="AI61">
            <v>-7.2702129846046182E-2</v>
          </cell>
          <cell r="AJ61">
            <v>-8.3195595138717438E-2</v>
          </cell>
          <cell r="AK61">
            <v>-5.1161175821101579E-2</v>
          </cell>
          <cell r="AL61">
            <v>-0.14211373454752674</v>
          </cell>
          <cell r="AM61">
            <v>-0.14323237078113349</v>
          </cell>
          <cell r="AN61">
            <v>-0.14579301498013753</v>
          </cell>
          <cell r="AO61">
            <v>-0.14389303955164467</v>
          </cell>
          <cell r="AP61">
            <v>-0.18401750293754204</v>
          </cell>
          <cell r="AQ61">
            <v>-0.16121759851059203</v>
          </cell>
          <cell r="AR61">
            <v>-0.36380423548307206</v>
          </cell>
          <cell r="AS61">
            <v>-0.25585728142689634</v>
          </cell>
          <cell r="AT61">
            <v>-0.22416055358370024</v>
          </cell>
          <cell r="AU61">
            <v>-0.20515199970738474</v>
          </cell>
          <cell r="AV61">
            <v>-0.31041752131170897</v>
          </cell>
          <cell r="AW61">
            <v>-0.25243910290180105</v>
          </cell>
          <cell r="AX61">
            <v>-0.29242369489381292</v>
          </cell>
          <cell r="AY61">
            <v>-0.31909422222312178</v>
          </cell>
          <cell r="AZ61">
            <v>-0.36134379207251166</v>
          </cell>
          <cell r="BA61">
            <v>-0.32600644741032403</v>
          </cell>
          <cell r="BB61">
            <v>-0.29092394900943752</v>
          </cell>
          <cell r="BC61">
            <v>-0.30723555917488599</v>
          </cell>
          <cell r="BD61">
            <v>-0.35088190934519303</v>
          </cell>
          <cell r="BE61">
            <v>-0.31928537067776697</v>
          </cell>
          <cell r="BF61">
            <v>-0.29134734965786946</v>
          </cell>
          <cell r="BG61">
            <v>-0.31200791458840005</v>
          </cell>
        </row>
        <row r="63">
          <cell r="A63" t="str">
            <v>DILTIAZEM 24HR</v>
          </cell>
        </row>
        <row r="64">
          <cell r="A64" t="str">
            <v>TRx</v>
          </cell>
          <cell r="N64">
            <v>247261</v>
          </cell>
          <cell r="O64">
            <v>242357</v>
          </cell>
          <cell r="P64">
            <v>250071</v>
          </cell>
          <cell r="Q64">
            <v>739689</v>
          </cell>
          <cell r="R64">
            <v>253061</v>
          </cell>
          <cell r="S64">
            <v>231102</v>
          </cell>
          <cell r="T64">
            <v>246930</v>
          </cell>
          <cell r="U64">
            <v>731093</v>
          </cell>
          <cell r="V64">
            <v>251940</v>
          </cell>
          <cell r="W64">
            <v>255048</v>
          </cell>
          <cell r="X64">
            <v>234357</v>
          </cell>
          <cell r="Y64">
            <v>741345</v>
          </cell>
          <cell r="Z64">
            <v>248658</v>
          </cell>
          <cell r="AA64">
            <v>241734</v>
          </cell>
          <cell r="AB64">
            <v>229996</v>
          </cell>
          <cell r="AC64">
            <v>720388</v>
          </cell>
          <cell r="AD64">
            <v>242519</v>
          </cell>
          <cell r="AE64">
            <v>227490</v>
          </cell>
          <cell r="AF64">
            <v>244728</v>
          </cell>
          <cell r="AG64">
            <v>714737</v>
          </cell>
          <cell r="AH64">
            <v>245010</v>
          </cell>
          <cell r="AI64">
            <v>230672</v>
          </cell>
          <cell r="AJ64">
            <v>250473</v>
          </cell>
          <cell r="AK64">
            <v>726155</v>
          </cell>
          <cell r="AL64">
            <v>242119</v>
          </cell>
          <cell r="AM64">
            <v>244855</v>
          </cell>
          <cell r="AN64">
            <v>238245</v>
          </cell>
          <cell r="AO64">
            <v>725219</v>
          </cell>
          <cell r="AP64">
            <v>242305</v>
          </cell>
          <cell r="AQ64">
            <v>236004</v>
          </cell>
          <cell r="AR64">
            <v>237898</v>
          </cell>
          <cell r="AS64">
            <v>716207</v>
          </cell>
          <cell r="AT64">
            <v>242283</v>
          </cell>
          <cell r="AU64">
            <v>222967</v>
          </cell>
          <cell r="AV64">
            <v>245646</v>
          </cell>
          <cell r="AW64">
            <v>710896</v>
          </cell>
          <cell r="AX64">
            <v>237243</v>
          </cell>
          <cell r="AY64">
            <v>222486</v>
          </cell>
          <cell r="AZ64">
            <v>245503</v>
          </cell>
          <cell r="BA64">
            <v>705232</v>
          </cell>
          <cell r="BB64">
            <v>229400</v>
          </cell>
          <cell r="BC64">
            <v>225767</v>
          </cell>
          <cell r="BD64">
            <v>232982</v>
          </cell>
          <cell r="BE64">
            <v>688149</v>
          </cell>
          <cell r="BF64">
            <v>228582</v>
          </cell>
          <cell r="BG64">
            <v>229740</v>
          </cell>
          <cell r="BH64">
            <v>217489</v>
          </cell>
          <cell r="BI64">
            <v>675811</v>
          </cell>
        </row>
        <row r="65">
          <cell r="A65" t="str">
            <v xml:space="preserve">  % Change</v>
          </cell>
          <cell r="AD65">
            <v>-1.9178115432680443E-2</v>
          </cell>
          <cell r="AE65">
            <v>-6.1343390122835295E-2</v>
          </cell>
          <cell r="AF65">
            <v>-2.1365932075290583E-2</v>
          </cell>
          <cell r="AG65">
            <v>-3.3733095936265056E-2</v>
          </cell>
          <cell r="AH65">
            <v>-3.1814463706379081E-2</v>
          </cell>
          <cell r="AI65">
            <v>-1.8606502756358667E-3</v>
          </cell>
          <cell r="AJ65">
            <v>1.4348195844976264E-2</v>
          </cell>
          <cell r="AK65">
            <v>-6.754270660504158E-3</v>
          </cell>
          <cell r="AL65">
            <v>-3.8981503532587114E-2</v>
          </cell>
          <cell r="AM65">
            <v>-3.9965026191148278E-2</v>
          </cell>
          <cell r="AN65">
            <v>1.6590074117692311E-2</v>
          </cell>
          <cell r="AO65">
            <v>-2.1752355515987865E-2</v>
          </cell>
          <cell r="AP65">
            <v>-2.5549147825527418E-2</v>
          </cell>
          <cell r="AQ65">
            <v>-2.3703740475067625E-2</v>
          </cell>
          <cell r="AR65">
            <v>3.4357119254248003E-2</v>
          </cell>
          <cell r="AS65">
            <v>-5.8038168320405648E-3</v>
          </cell>
          <cell r="AT65">
            <v>-9.731196318638613E-4</v>
          </cell>
          <cell r="AU65">
            <v>-1.9882192623851602E-2</v>
          </cell>
          <cell r="AV65">
            <v>3.7511032656663001E-3</v>
          </cell>
          <cell r="AW65">
            <v>-5.3740047038280947E-3</v>
          </cell>
          <cell r="AX65">
            <v>-3.1700746908289501E-2</v>
          </cell>
          <cell r="AY65">
            <v>-3.5487618783380692E-2</v>
          </cell>
          <cell r="AZ65">
            <v>-1.9842458069332825E-2</v>
          </cell>
          <cell r="BA65">
            <v>-2.881340760581419E-2</v>
          </cell>
          <cell r="BB65">
            <v>-5.2532019378900507E-2</v>
          </cell>
          <cell r="BC65">
            <v>-7.7956341508239602E-2</v>
          </cell>
          <cell r="BD65">
            <v>-2.2090704946588602E-2</v>
          </cell>
          <cell r="BE65">
            <v>-5.1115594048142698E-2</v>
          </cell>
          <cell r="BF65">
            <v>-5.6635232454963824E-2</v>
          </cell>
          <cell r="BG65">
            <v>-2.6541923018253977E-2</v>
          </cell>
          <cell r="BH65">
            <v>-8.5788867497835208E-2</v>
          </cell>
          <cell r="BI65">
            <v>-5.6402688049683958E-2</v>
          </cell>
        </row>
        <row r="66">
          <cell r="A66" t="str">
            <v>NRx</v>
          </cell>
          <cell r="N66">
            <v>73115</v>
          </cell>
          <cell r="O66">
            <v>69249</v>
          </cell>
          <cell r="P66">
            <v>69588</v>
          </cell>
          <cell r="Q66">
            <v>211952</v>
          </cell>
          <cell r="R66">
            <v>76011</v>
          </cell>
          <cell r="S66">
            <v>68283</v>
          </cell>
          <cell r="T66">
            <v>71431</v>
          </cell>
          <cell r="U66">
            <v>215725</v>
          </cell>
          <cell r="V66">
            <v>71983</v>
          </cell>
          <cell r="W66">
            <v>72783</v>
          </cell>
          <cell r="X66">
            <v>64794</v>
          </cell>
          <cell r="Y66">
            <v>209560</v>
          </cell>
          <cell r="Z66">
            <v>68105</v>
          </cell>
          <cell r="AA66">
            <v>65836</v>
          </cell>
          <cell r="AB66">
            <v>61977</v>
          </cell>
          <cell r="AC66">
            <v>195918</v>
          </cell>
          <cell r="AD66">
            <v>66696</v>
          </cell>
          <cell r="AE66">
            <v>61959</v>
          </cell>
          <cell r="AF66">
            <v>67137</v>
          </cell>
          <cell r="AG66">
            <v>195792</v>
          </cell>
          <cell r="AH66">
            <v>70906</v>
          </cell>
          <cell r="AI66">
            <v>69818</v>
          </cell>
          <cell r="AJ66">
            <v>73340</v>
          </cell>
          <cell r="AK66">
            <v>214064</v>
          </cell>
          <cell r="AL66">
            <v>67947</v>
          </cell>
          <cell r="AM66">
            <v>68184</v>
          </cell>
          <cell r="AN66">
            <v>65960</v>
          </cell>
          <cell r="AO66">
            <v>202091</v>
          </cell>
          <cell r="AP66">
            <v>66197</v>
          </cell>
          <cell r="AQ66">
            <v>63575</v>
          </cell>
          <cell r="AR66">
            <v>65149</v>
          </cell>
          <cell r="AS66">
            <v>194921</v>
          </cell>
          <cell r="AT66">
            <v>67756</v>
          </cell>
          <cell r="AU66">
            <v>59321</v>
          </cell>
          <cell r="AV66">
            <v>65979</v>
          </cell>
          <cell r="AW66">
            <v>193056</v>
          </cell>
          <cell r="AX66">
            <v>66156</v>
          </cell>
          <cell r="AY66">
            <v>62084</v>
          </cell>
          <cell r="AZ66">
            <v>68253</v>
          </cell>
          <cell r="BA66">
            <v>196493</v>
          </cell>
          <cell r="BB66">
            <v>63191</v>
          </cell>
          <cell r="BC66">
            <v>60318</v>
          </cell>
          <cell r="BD66">
            <v>62719</v>
          </cell>
          <cell r="BE66">
            <v>186228</v>
          </cell>
          <cell r="BF66">
            <v>59983</v>
          </cell>
          <cell r="BG66">
            <v>60441</v>
          </cell>
          <cell r="BH66">
            <v>58433</v>
          </cell>
          <cell r="BI66">
            <v>178857</v>
          </cell>
        </row>
        <row r="67">
          <cell r="A67" t="str">
            <v xml:space="preserve">  % Change</v>
          </cell>
          <cell r="AD67">
            <v>-8.7793202489229283E-2</v>
          </cell>
          <cell r="AE67">
            <v>-0.10527227830004771</v>
          </cell>
          <cell r="AF67">
            <v>-3.5221589929298136E-2</v>
          </cell>
          <cell r="AG67">
            <v>-7.6243677813844668E-2</v>
          </cell>
          <cell r="AH67">
            <v>-6.71613319124863E-2</v>
          </cell>
          <cell r="AI67">
            <v>2.2479973053322277E-2</v>
          </cell>
          <cell r="AJ67">
            <v>2.6725091346894159E-2</v>
          </cell>
          <cell r="AK67">
            <v>-7.6996175686637747E-3</v>
          </cell>
          <cell r="AL67">
            <v>-5.6068794020810442E-2</v>
          </cell>
          <cell r="AM67">
            <v>-6.3187832323482129E-2</v>
          </cell>
          <cell r="AN67">
            <v>1.7995493409883601E-2</v>
          </cell>
          <cell r="AO67">
            <v>-3.5641343767894629E-2</v>
          </cell>
          <cell r="AP67">
            <v>-2.8015564202334642E-2</v>
          </cell>
          <cell r="AQ67">
            <v>-3.4342912692144067E-2</v>
          </cell>
          <cell r="AR67">
            <v>5.1180276554205539E-2</v>
          </cell>
          <cell r="AS67">
            <v>-5.0888637082860955E-3</v>
          </cell>
          <cell r="AT67">
            <v>1.5893007076886123E-2</v>
          </cell>
          <cell r="AU67">
            <v>-4.2576542552333008E-2</v>
          </cell>
          <cell r="AV67">
            <v>-1.7248313150721617E-2</v>
          </cell>
          <cell r="AW67">
            <v>-1.3974013238538863E-2</v>
          </cell>
          <cell r="AX67">
            <v>-6.6990099568442707E-2</v>
          </cell>
          <cell r="AY67">
            <v>-0.11077372597324475</v>
          </cell>
          <cell r="AZ67">
            <v>-6.9361876193073324E-2</v>
          </cell>
          <cell r="BA67">
            <v>-8.2082928469990324E-2</v>
          </cell>
          <cell r="BB67">
            <v>-6.9995731967562924E-2</v>
          </cell>
          <cell r="BC67">
            <v>-0.11536430834213307</v>
          </cell>
          <cell r="BD67">
            <v>-4.9135839902971545E-2</v>
          </cell>
          <cell r="BE67">
            <v>-7.8494341657965983E-2</v>
          </cell>
          <cell r="BF67">
            <v>-9.3871323473873391E-2</v>
          </cell>
          <cell r="BG67">
            <v>-4.9296106960283081E-2</v>
          </cell>
          <cell r="BH67">
            <v>-0.10308677032648239</v>
          </cell>
          <cell r="BI67">
            <v>-8.2412874959599036E-2</v>
          </cell>
        </row>
        <row r="68">
          <cell r="A68" t="str">
            <v>Sales (IMS)</v>
          </cell>
          <cell r="N68">
            <v>6.9557070000000003</v>
          </cell>
          <cell r="O68">
            <v>6.5927800000000003</v>
          </cell>
          <cell r="P68">
            <v>8.8421330000000005</v>
          </cell>
          <cell r="Q68">
            <v>22.390620000000002</v>
          </cell>
          <cell r="R68">
            <v>7.1225480000000001</v>
          </cell>
          <cell r="S68">
            <v>7.1370209999999998</v>
          </cell>
          <cell r="T68">
            <v>8.8617460000000001</v>
          </cell>
          <cell r="U68">
            <v>23.121314999999999</v>
          </cell>
          <cell r="V68">
            <v>6.3414659999999996</v>
          </cell>
          <cell r="W68">
            <v>6.8952439999999999</v>
          </cell>
          <cell r="X68">
            <v>9.2504539999999995</v>
          </cell>
          <cell r="Y68">
            <v>22.487164</v>
          </cell>
          <cell r="Z68">
            <v>6.9179690000000003</v>
          </cell>
          <cell r="AA68">
            <v>7.0646930000000001</v>
          </cell>
          <cell r="AB68">
            <v>8.3405179999999994</v>
          </cell>
          <cell r="AC68">
            <v>22.323180000000001</v>
          </cell>
          <cell r="AD68">
            <v>6.8908399999999999</v>
          </cell>
          <cell r="AE68">
            <v>7.4181020000000002</v>
          </cell>
          <cell r="AF68">
            <v>10.148465</v>
          </cell>
          <cell r="AG68">
            <v>24.457407</v>
          </cell>
          <cell r="AH68">
            <v>8.0369949999999992</v>
          </cell>
          <cell r="AI68">
            <v>9.4283599999999996</v>
          </cell>
          <cell r="AJ68">
            <v>9.503012</v>
          </cell>
          <cell r="AK68">
            <v>26.968367000000001</v>
          </cell>
          <cell r="AL68">
            <v>6.7676379999999998</v>
          </cell>
          <cell r="AM68">
            <v>7.2211319999999999</v>
          </cell>
          <cell r="AN68">
            <v>9.4827910000000006</v>
          </cell>
          <cell r="AO68">
            <v>23.471561000000001</v>
          </cell>
          <cell r="AP68">
            <v>7.1404230000000002</v>
          </cell>
          <cell r="AQ68">
            <v>7.4480599999999999</v>
          </cell>
          <cell r="AR68">
            <v>8.2398109999999996</v>
          </cell>
          <cell r="AS68">
            <v>22.828294</v>
          </cell>
          <cell r="AT68">
            <v>6.7663019999999996</v>
          </cell>
          <cell r="AU68">
            <v>6.1845600000000003</v>
          </cell>
          <cell r="AV68">
            <v>8.4037349999999993</v>
          </cell>
          <cell r="AW68">
            <v>21.354596999999998</v>
          </cell>
          <cell r="AX68">
            <v>6.8392660000000003</v>
          </cell>
          <cell r="AY68">
            <v>6.6197619999999997</v>
          </cell>
          <cell r="AZ68">
            <v>8.2625259999999994</v>
          </cell>
          <cell r="BA68">
            <v>21.721553999999998</v>
          </cell>
          <cell r="BB68">
            <v>6.3793449999999998</v>
          </cell>
          <cell r="BC68">
            <v>6.6006850000000004</v>
          </cell>
          <cell r="BD68">
            <v>8.4090240000000005</v>
          </cell>
          <cell r="BE68">
            <v>21.389054000000002</v>
          </cell>
          <cell r="BF68">
            <v>6.1622760000000003</v>
          </cell>
          <cell r="BG68">
            <v>6.7037069999999996</v>
          </cell>
        </row>
        <row r="69">
          <cell r="A69" t="str">
            <v xml:space="preserve">  % Change</v>
          </cell>
          <cell r="AD69">
            <v>-9.3257234670753864E-3</v>
          </cell>
          <cell r="AE69">
            <v>0.12518573348420547</v>
          </cell>
          <cell r="AF69">
            <v>0.14773946512679692</v>
          </cell>
          <cell r="AG69">
            <v>9.230592989385733E-2</v>
          </cell>
          <cell r="AH69">
            <v>0.12838762195775999</v>
          </cell>
          <cell r="AI69">
            <v>0.32104977693073899</v>
          </cell>
          <cell r="AJ69">
            <v>7.2363392044863417E-2</v>
          </cell>
          <cell r="AK69">
            <v>0.16638551916272926</v>
          </cell>
          <cell r="AL69">
            <v>6.72040187552847E-2</v>
          </cell>
          <cell r="AM69">
            <v>4.7262721957337606E-2</v>
          </cell>
          <cell r="AN69">
            <v>2.5116280779300171E-2</v>
          </cell>
          <cell r="AO69">
            <v>4.3775951471692887E-2</v>
          </cell>
          <cell r="AP69">
            <v>3.2155969476012292E-2</v>
          </cell>
          <cell r="AQ69">
            <v>5.42652030314692E-2</v>
          </cell>
          <cell r="AR69">
            <v>-1.2074429909509243E-2</v>
          </cell>
          <cell r="AS69">
            <v>2.2627331769039971E-2</v>
          </cell>
          <cell r="AT69">
            <v>-1.8072978040413079E-2</v>
          </cell>
          <cell r="AU69">
            <v>-0.16628808824683183</v>
          </cell>
          <cell r="AV69">
            <v>-0.17192058109280572</v>
          </cell>
          <cell r="AW69">
            <v>-0.12686586112746956</v>
          </cell>
          <cell r="AX69">
            <v>-0.14902696841294527</v>
          </cell>
          <cell r="AY69">
            <v>-0.29788828597974626</v>
          </cell>
          <cell r="AZ69">
            <v>-0.13053608687435103</v>
          </cell>
          <cell r="BA69">
            <v>-0.19455434583784781</v>
          </cell>
          <cell r="BB69">
            <v>-5.7374965977790238E-2</v>
          </cell>
          <cell r="BC69">
            <v>-8.5921016261716221E-2</v>
          </cell>
          <cell r="BD69">
            <v>-0.11323322426909965</v>
          </cell>
          <cell r="BE69">
            <v>-8.8724691127275213E-2</v>
          </cell>
          <cell r="BF69">
            <v>-0.13698726251932136</v>
          </cell>
          <cell r="BG69">
            <v>-9.9939178792866956E-2</v>
          </cell>
        </row>
        <row r="71">
          <cell r="A71" t="str">
            <v>CEPHALEXIN</v>
          </cell>
        </row>
        <row r="72">
          <cell r="A72" t="str">
            <v>TRx</v>
          </cell>
          <cell r="N72">
            <v>1765210</v>
          </cell>
          <cell r="O72">
            <v>1635152</v>
          </cell>
          <cell r="P72">
            <v>1593261</v>
          </cell>
          <cell r="Q72">
            <v>4993623</v>
          </cell>
          <cell r="R72">
            <v>1691309</v>
          </cell>
          <cell r="S72">
            <v>1558405</v>
          </cell>
          <cell r="T72">
            <v>1621782</v>
          </cell>
          <cell r="U72">
            <v>4871496</v>
          </cell>
          <cell r="V72">
            <v>1635284</v>
          </cell>
          <cell r="W72">
            <v>1660403</v>
          </cell>
          <cell r="X72">
            <v>1539301</v>
          </cell>
          <cell r="Y72">
            <v>4834988</v>
          </cell>
          <cell r="Z72">
            <v>1665546</v>
          </cell>
          <cell r="AA72">
            <v>1696830</v>
          </cell>
          <cell r="AB72">
            <v>1685103</v>
          </cell>
          <cell r="AC72">
            <v>5047479</v>
          </cell>
          <cell r="AD72">
            <v>1741963</v>
          </cell>
          <cell r="AE72">
            <v>1629414</v>
          </cell>
          <cell r="AF72">
            <v>1638927</v>
          </cell>
          <cell r="AG72">
            <v>5010304</v>
          </cell>
          <cell r="AH72">
            <v>1610847</v>
          </cell>
          <cell r="AI72">
            <v>1457493</v>
          </cell>
          <cell r="AJ72">
            <v>1540431</v>
          </cell>
          <cell r="AK72">
            <v>4608771</v>
          </cell>
          <cell r="AL72">
            <v>1495331</v>
          </cell>
          <cell r="AM72">
            <v>1532992</v>
          </cell>
          <cell r="AN72">
            <v>1499027</v>
          </cell>
          <cell r="AO72">
            <v>4527350</v>
          </cell>
          <cell r="AP72">
            <v>1571470</v>
          </cell>
          <cell r="AQ72">
            <v>1516573</v>
          </cell>
          <cell r="AR72">
            <v>1517345</v>
          </cell>
          <cell r="AS72">
            <v>4605388</v>
          </cell>
          <cell r="AT72">
            <v>1504568</v>
          </cell>
          <cell r="AU72">
            <v>1346283</v>
          </cell>
          <cell r="AV72">
            <v>1540197</v>
          </cell>
          <cell r="AW72">
            <v>4391048</v>
          </cell>
          <cell r="AX72">
            <v>1375032</v>
          </cell>
          <cell r="AY72">
            <v>1305818</v>
          </cell>
          <cell r="AZ72">
            <v>1457903</v>
          </cell>
          <cell r="BA72">
            <v>4138753</v>
          </cell>
          <cell r="BB72">
            <v>1391701</v>
          </cell>
          <cell r="BC72">
            <v>1407812</v>
          </cell>
          <cell r="BD72">
            <v>1484741</v>
          </cell>
          <cell r="BE72">
            <v>4284254</v>
          </cell>
          <cell r="BF72">
            <v>1470908</v>
          </cell>
          <cell r="BG72">
            <v>1482202</v>
          </cell>
          <cell r="BH72">
            <v>1454410</v>
          </cell>
          <cell r="BI72">
            <v>4407520</v>
          </cell>
        </row>
        <row r="73">
          <cell r="A73" t="str">
            <v xml:space="preserve">  % Change</v>
          </cell>
          <cell r="AD73">
            <v>-1.3169537902006034E-2</v>
          </cell>
          <cell r="AE73">
            <v>-3.5091538890573704E-3</v>
          </cell>
          <cell r="AF73">
            <v>2.8661970637579248E-2</v>
          </cell>
          <cell r="AG73">
            <v>3.3404604232238899E-3</v>
          </cell>
          <cell r="AH73">
            <v>-4.7573802303423007E-2</v>
          </cell>
          <cell r="AI73">
            <v>-6.4753385673172237E-2</v>
          </cell>
          <cell r="AJ73">
            <v>-5.0161489028735073E-2</v>
          </cell>
          <cell r="AK73">
            <v>-5.393107168721889E-2</v>
          </cell>
          <cell r="AL73">
            <v>-8.5583299292355308E-2</v>
          </cell>
          <cell r="AM73">
            <v>-7.6734985422213797E-2</v>
          </cell>
          <cell r="AN73">
            <v>-2.6163823709592915E-2</v>
          </cell>
          <cell r="AO73">
            <v>-6.3627458847881346E-2</v>
          </cell>
          <cell r="AP73">
            <v>-5.648357955889538E-2</v>
          </cell>
          <cell r="AQ73">
            <v>-0.10623162013872933</v>
          </cell>
          <cell r="AR73">
            <v>-9.9553558447169066E-2</v>
          </cell>
          <cell r="AS73">
            <v>-8.7586496149860138E-2</v>
          </cell>
          <cell r="AT73">
            <v>-0.13628016209299509</v>
          </cell>
          <cell r="AU73">
            <v>-0.17376246920672089</v>
          </cell>
          <cell r="AV73">
            <v>-6.0240633048329828E-2</v>
          </cell>
          <cell r="AW73">
            <v>-0.12359649234856807</v>
          </cell>
          <cell r="AX73">
            <v>-0.14639192921487887</v>
          </cell>
          <cell r="AY73">
            <v>-0.10406567990378002</v>
          </cell>
          <cell r="AZ73">
            <v>-5.3574616454745483E-2</v>
          </cell>
          <cell r="BA73">
            <v>-0.10198337040395367</v>
          </cell>
          <cell r="BB73">
            <v>-6.9302381880667174E-2</v>
          </cell>
          <cell r="BC73">
            <v>-8.1657308061620637E-2</v>
          </cell>
          <cell r="BD73">
            <v>-9.5301819113331465E-3</v>
          </cell>
          <cell r="BE73">
            <v>-5.3694987133753758E-2</v>
          </cell>
          <cell r="BF73">
            <v>-6.3992312929931794E-2</v>
          </cell>
          <cell r="BG73">
            <v>-2.2663597466129226E-2</v>
          </cell>
          <cell r="BH73">
            <v>-4.1477053669402797E-2</v>
          </cell>
          <cell r="BI73">
            <v>-4.2964458152060181E-2</v>
          </cell>
        </row>
        <row r="74">
          <cell r="A74" t="str">
            <v>NRx</v>
          </cell>
          <cell r="N74">
            <v>1657966</v>
          </cell>
          <cell r="O74">
            <v>1533636</v>
          </cell>
          <cell r="P74">
            <v>1486435</v>
          </cell>
          <cell r="Q74">
            <v>4678037</v>
          </cell>
          <cell r="R74">
            <v>1588316</v>
          </cell>
          <cell r="S74">
            <v>1463348</v>
          </cell>
          <cell r="T74">
            <v>1523159</v>
          </cell>
          <cell r="U74">
            <v>4574823</v>
          </cell>
          <cell r="V74">
            <v>1541579</v>
          </cell>
          <cell r="W74">
            <v>1566092</v>
          </cell>
          <cell r="X74">
            <v>1455231</v>
          </cell>
          <cell r="Y74">
            <v>4562902</v>
          </cell>
          <cell r="Z74">
            <v>1576489</v>
          </cell>
          <cell r="AA74">
            <v>1605119</v>
          </cell>
          <cell r="AB74">
            <v>1591007</v>
          </cell>
          <cell r="AC74">
            <v>4772615</v>
          </cell>
          <cell r="AD74">
            <v>1640016</v>
          </cell>
          <cell r="AE74">
            <v>1529959</v>
          </cell>
          <cell r="AF74">
            <v>1533285</v>
          </cell>
          <cell r="AG74">
            <v>4703260</v>
          </cell>
          <cell r="AH74">
            <v>1513299</v>
          </cell>
          <cell r="AI74">
            <v>1370436</v>
          </cell>
          <cell r="AJ74">
            <v>1450282</v>
          </cell>
          <cell r="AK74">
            <v>4334017</v>
          </cell>
          <cell r="AL74">
            <v>1410713</v>
          </cell>
          <cell r="AM74">
            <v>1448450</v>
          </cell>
          <cell r="AN74">
            <v>1418290</v>
          </cell>
          <cell r="AO74">
            <v>4277453</v>
          </cell>
          <cell r="AP74">
            <v>1489989</v>
          </cell>
          <cell r="AQ74">
            <v>1438210</v>
          </cell>
          <cell r="AR74">
            <v>1437280</v>
          </cell>
          <cell r="AS74">
            <v>4365479</v>
          </cell>
          <cell r="AT74">
            <v>1419990</v>
          </cell>
          <cell r="AU74">
            <v>1267130</v>
          </cell>
          <cell r="AV74">
            <v>1447468</v>
          </cell>
          <cell r="AW74">
            <v>4134588</v>
          </cell>
          <cell r="AX74">
            <v>1292970</v>
          </cell>
          <cell r="AY74">
            <v>1231056</v>
          </cell>
          <cell r="AZ74">
            <v>1378395</v>
          </cell>
          <cell r="BA74">
            <v>3902421</v>
          </cell>
          <cell r="BB74">
            <v>1318584</v>
          </cell>
          <cell r="BC74">
            <v>1341492</v>
          </cell>
          <cell r="BD74">
            <v>1416270</v>
          </cell>
          <cell r="BE74">
            <v>4076346</v>
          </cell>
          <cell r="BF74">
            <v>1403981</v>
          </cell>
          <cell r="BG74">
            <v>1413941</v>
          </cell>
          <cell r="BH74">
            <v>1386050</v>
          </cell>
          <cell r="BI74">
            <v>4203972</v>
          </cell>
        </row>
        <row r="75">
          <cell r="A75" t="str">
            <v xml:space="preserve">  % Change</v>
          </cell>
          <cell r="AD75">
            <v>-1.0826518758527026E-2</v>
          </cell>
          <cell r="AE75">
            <v>-2.3975702187480907E-3</v>
          </cell>
          <cell r="AF75">
            <v>3.1518364408803512E-2</v>
          </cell>
          <cell r="AG75">
            <v>5.391791471508256E-3</v>
          </cell>
          <cell r="AH75">
            <v>-4.7230525915497923E-2</v>
          </cell>
          <cell r="AI75">
            <v>-6.3492757703567437E-2</v>
          </cell>
          <cell r="AJ75">
            <v>-4.7845956988075478E-2</v>
          </cell>
          <cell r="AK75">
            <v>-5.2637227713509316E-2</v>
          </cell>
          <cell r="AL75">
            <v>-8.4890881362550963E-2</v>
          </cell>
          <cell r="AM75">
            <v>-7.5118192290108077E-2</v>
          </cell>
          <cell r="AN75">
            <v>-2.5384973244797604E-2</v>
          </cell>
          <cell r="AO75">
            <v>-6.2558652366410672E-2</v>
          </cell>
          <cell r="AP75">
            <v>-5.4868762167068708E-2</v>
          </cell>
          <cell r="AQ75">
            <v>-0.10398543659379766</v>
          </cell>
          <cell r="AR75">
            <v>-9.6622453578142697E-2</v>
          </cell>
          <cell r="AS75">
            <v>-8.5306692452670085E-2</v>
          </cell>
          <cell r="AT75">
            <v>-0.13416088623525624</v>
          </cell>
          <cell r="AU75">
            <v>-0.17178826360706401</v>
          </cell>
          <cell r="AV75">
            <v>-5.5969372947625495E-2</v>
          </cell>
          <cell r="AW75">
            <v>-0.12091017719624264</v>
          </cell>
          <cell r="AX75">
            <v>-0.14559515337021967</v>
          </cell>
          <cell r="AY75">
            <v>-0.10170485889162284</v>
          </cell>
          <cell r="AZ75">
            <v>-4.9567601335464451E-2</v>
          </cell>
          <cell r="BA75">
            <v>-9.9583365732067941E-2</v>
          </cell>
          <cell r="BB75">
            <v>-6.5306692431415847E-2</v>
          </cell>
          <cell r="BC75">
            <v>-7.3843073630432521E-2</v>
          </cell>
          <cell r="BD75">
            <v>-1.4242503296223452E-3</v>
          </cell>
          <cell r="BE75">
            <v>-4.7015595495730755E-2</v>
          </cell>
          <cell r="BF75">
            <v>-5.7723916082601967E-2</v>
          </cell>
          <cell r="BG75">
            <v>-1.6874448098678219E-2</v>
          </cell>
          <cell r="BH75">
            <v>-3.564371590782589E-2</v>
          </cell>
          <cell r="BI75">
            <v>-3.6996398333378755E-2</v>
          </cell>
        </row>
        <row r="76">
          <cell r="A76" t="str">
            <v>Sales (IMS)</v>
          </cell>
          <cell r="N76">
            <v>5.9666230000000002</v>
          </cell>
          <cell r="O76">
            <v>5.6366160000000001</v>
          </cell>
          <cell r="P76">
            <v>6.5973439999999997</v>
          </cell>
          <cell r="Q76">
            <v>18.200583000000002</v>
          </cell>
          <cell r="R76">
            <v>5.7079360000000001</v>
          </cell>
          <cell r="S76">
            <v>5.7262729999999999</v>
          </cell>
          <cell r="T76">
            <v>11.187533</v>
          </cell>
          <cell r="U76">
            <v>22.621741999999998</v>
          </cell>
          <cell r="V76">
            <v>7.9908720000000004</v>
          </cell>
          <cell r="W76">
            <v>8.0388090000000005</v>
          </cell>
          <cell r="X76">
            <v>10.253826999999999</v>
          </cell>
          <cell r="Y76">
            <v>26.283507999999998</v>
          </cell>
          <cell r="Z76">
            <v>7.9663500000000003</v>
          </cell>
          <cell r="AA76">
            <v>9.3011250000000008</v>
          </cell>
          <cell r="AB76">
            <v>10.886462</v>
          </cell>
          <cell r="AC76">
            <v>28.153936999999999</v>
          </cell>
          <cell r="AD76">
            <v>8.2985050000000005</v>
          </cell>
          <cell r="AE76">
            <v>7.7849120000000003</v>
          </cell>
          <cell r="AF76">
            <v>8.2141059999999992</v>
          </cell>
          <cell r="AG76">
            <v>24.297522999999998</v>
          </cell>
          <cell r="AH76">
            <v>6.5059550000000002</v>
          </cell>
          <cell r="AI76">
            <v>7.6665109999999999</v>
          </cell>
          <cell r="AJ76">
            <v>9.4733199999999993</v>
          </cell>
          <cell r="AK76">
            <v>23.645786000000001</v>
          </cell>
          <cell r="AL76">
            <v>7.3798659999999998</v>
          </cell>
          <cell r="AM76">
            <v>6.9114449999999996</v>
          </cell>
          <cell r="AN76">
            <v>8.8398099999999999</v>
          </cell>
          <cell r="AO76">
            <v>23.131121</v>
          </cell>
          <cell r="AP76">
            <v>6.4278000000000004</v>
          </cell>
          <cell r="AQ76">
            <v>6.6690240000000003</v>
          </cell>
          <cell r="AR76">
            <v>7.934717</v>
          </cell>
          <cell r="AS76">
            <v>21.031541000000001</v>
          </cell>
          <cell r="AT76">
            <v>6.4204160000000003</v>
          </cell>
          <cell r="AU76">
            <v>6.496111</v>
          </cell>
          <cell r="AV76">
            <v>8.0180589999999992</v>
          </cell>
          <cell r="AW76">
            <v>20.934585999999999</v>
          </cell>
          <cell r="AX76">
            <v>5.5787269999999998</v>
          </cell>
          <cell r="AY76">
            <v>5.9662110000000004</v>
          </cell>
          <cell r="AZ76">
            <v>7.4439710000000003</v>
          </cell>
          <cell r="BA76">
            <v>18.988909</v>
          </cell>
          <cell r="BB76">
            <v>5.904134</v>
          </cell>
          <cell r="BC76">
            <v>6.04887</v>
          </cell>
          <cell r="BD76">
            <v>7.2051439999999998</v>
          </cell>
          <cell r="BE76">
            <v>19.158148000000001</v>
          </cell>
          <cell r="BF76">
            <v>5.5241189999999998</v>
          </cell>
          <cell r="BG76">
            <v>5.7969710000000001</v>
          </cell>
        </row>
        <row r="77">
          <cell r="A77" t="str">
            <v xml:space="preserve">  % Change</v>
          </cell>
          <cell r="AD77">
            <v>0.39082107248941322</v>
          </cell>
          <cell r="AE77">
            <v>0.3811322254345515</v>
          </cell>
          <cell r="AF77">
            <v>0.24506255850839365</v>
          </cell>
          <cell r="AG77">
            <v>0.33498597270208297</v>
          </cell>
          <cell r="AH77">
            <v>0.13980868040566685</v>
          </cell>
          <cell r="AI77">
            <v>0.33883085909456279</v>
          </cell>
          <cell r="AJ77">
            <v>-0.15322529104495164</v>
          </cell>
          <cell r="AK77">
            <v>4.5268131870658035E-2</v>
          </cell>
          <cell r="AL77">
            <v>-7.646299427646952E-2</v>
          </cell>
          <cell r="AM77">
            <v>-0.14024017736955818</v>
          </cell>
          <cell r="AN77">
            <v>-0.13790139037844107</v>
          </cell>
          <cell r="AO77">
            <v>-0.11993783326030905</v>
          </cell>
          <cell r="AP77">
            <v>-0.19313110772185504</v>
          </cell>
          <cell r="AQ77">
            <v>-0.28298738055880335</v>
          </cell>
          <cell r="AR77">
            <v>-0.27113905325715548</v>
          </cell>
          <cell r="AS77">
            <v>-0.25298046237725114</v>
          </cell>
          <cell r="AT77">
            <v>-0.22631654737811213</v>
          </cell>
          <cell r="AU77">
            <v>-0.1655511327552579</v>
          </cell>
          <cell r="AV77">
            <v>-2.3867113475282697E-2</v>
          </cell>
          <cell r="AW77">
            <v>-0.13840657749351648</v>
          </cell>
          <cell r="AX77">
            <v>-0.14251989139180954</v>
          </cell>
          <cell r="AY77">
            <v>-0.2217827640239477</v>
          </cell>
          <cell r="AZ77">
            <v>-0.21421729657606825</v>
          </cell>
          <cell r="BA77">
            <v>-0.19694321009248761</v>
          </cell>
          <cell r="BB77">
            <v>-0.1999673164797301</v>
          </cell>
          <cell r="BC77">
            <v>-0.12480385794866333</v>
          </cell>
          <cell r="BD77">
            <v>-0.18492094287094407</v>
          </cell>
          <cell r="BE77">
            <v>-0.17175877468281797</v>
          </cell>
          <cell r="BF77">
            <v>-0.14058947073648842</v>
          </cell>
          <cell r="BG77">
            <v>-0.13076171265840397</v>
          </cell>
        </row>
        <row r="79">
          <cell r="A79" t="str">
            <v>MUPIROCIN</v>
          </cell>
        </row>
        <row r="80">
          <cell r="A80" t="str">
            <v>TRx</v>
          </cell>
          <cell r="AU80">
            <v>22888</v>
          </cell>
          <cell r="AV80">
            <v>82356</v>
          </cell>
          <cell r="AW80">
            <v>105244</v>
          </cell>
          <cell r="AX80">
            <v>92038</v>
          </cell>
          <cell r="AY80">
            <v>91710</v>
          </cell>
          <cell r="AZ80">
            <v>110111</v>
          </cell>
          <cell r="BA80">
            <v>293859</v>
          </cell>
          <cell r="BB80">
            <v>110384</v>
          </cell>
          <cell r="BC80">
            <v>109270</v>
          </cell>
          <cell r="BD80">
            <v>121618</v>
          </cell>
          <cell r="BE80">
            <v>341272</v>
          </cell>
          <cell r="BF80">
            <v>116963</v>
          </cell>
          <cell r="BG80">
            <v>125179</v>
          </cell>
          <cell r="BH80">
            <v>125903</v>
          </cell>
          <cell r="BI80">
            <v>368045</v>
          </cell>
        </row>
        <row r="81">
          <cell r="A81" t="str">
            <v xml:space="preserve">  % Change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</row>
        <row r="82">
          <cell r="A82" t="str">
            <v>NRx</v>
          </cell>
          <cell r="AU82">
            <v>21513</v>
          </cell>
          <cell r="AV82">
            <v>75197</v>
          </cell>
          <cell r="AW82">
            <v>96710</v>
          </cell>
          <cell r="AX82">
            <v>82908</v>
          </cell>
          <cell r="AY82">
            <v>81692</v>
          </cell>
          <cell r="AZ82">
            <v>97783</v>
          </cell>
          <cell r="BA82">
            <v>262383</v>
          </cell>
          <cell r="BB82">
            <v>96629</v>
          </cell>
          <cell r="BC82">
            <v>95605</v>
          </cell>
          <cell r="BD82">
            <v>106629</v>
          </cell>
          <cell r="BE82">
            <v>298863</v>
          </cell>
          <cell r="BF82">
            <v>102383</v>
          </cell>
          <cell r="BG82">
            <v>109719</v>
          </cell>
          <cell r="BH82">
            <v>110399</v>
          </cell>
          <cell r="BI82">
            <v>322501</v>
          </cell>
        </row>
        <row r="83">
          <cell r="A83" t="str">
            <v xml:space="preserve">  % Change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</row>
        <row r="84">
          <cell r="A84" t="str">
            <v>Sales (IMS)</v>
          </cell>
          <cell r="AU84">
            <v>1.5460119999999999</v>
          </cell>
          <cell r="AV84">
            <v>1.894884</v>
          </cell>
          <cell r="AW84">
            <v>3.440896</v>
          </cell>
          <cell r="AX84">
            <v>1.513455</v>
          </cell>
          <cell r="AY84">
            <v>1.768014</v>
          </cell>
          <cell r="AZ84">
            <v>2.2366980000000001</v>
          </cell>
          <cell r="BA84">
            <v>5.518167</v>
          </cell>
          <cell r="BB84">
            <v>1.860007</v>
          </cell>
          <cell r="BC84">
            <v>1.978278</v>
          </cell>
          <cell r="BD84">
            <v>2.2163020000000002</v>
          </cell>
          <cell r="BE84">
            <v>6.0545869999999997</v>
          </cell>
          <cell r="BF84">
            <v>1.7521990000000001</v>
          </cell>
          <cell r="BG84">
            <v>2.0782470000000002</v>
          </cell>
        </row>
        <row r="85">
          <cell r="A85" t="str">
            <v>y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7">
          <cell r="A87" t="str">
            <v>BUDEPRION SR</v>
          </cell>
        </row>
        <row r="88">
          <cell r="A88" t="str">
            <v>TRx</v>
          </cell>
          <cell r="AY88">
            <v>586</v>
          </cell>
          <cell r="AZ88">
            <v>45042</v>
          </cell>
          <cell r="BA88">
            <v>45628</v>
          </cell>
          <cell r="BB88">
            <v>277392</v>
          </cell>
          <cell r="BC88">
            <v>284107</v>
          </cell>
          <cell r="BD88">
            <v>297281</v>
          </cell>
          <cell r="BE88">
            <v>858780</v>
          </cell>
          <cell r="BF88">
            <v>294639</v>
          </cell>
          <cell r="BG88">
            <v>296537</v>
          </cell>
          <cell r="BH88">
            <v>285725</v>
          </cell>
          <cell r="BI88">
            <v>876901</v>
          </cell>
        </row>
        <row r="89">
          <cell r="A89" t="str">
            <v xml:space="preserve">  % Change</v>
          </cell>
        </row>
        <row r="90">
          <cell r="A90" t="str">
            <v>NRx</v>
          </cell>
          <cell r="AY90">
            <v>389</v>
          </cell>
          <cell r="AZ90">
            <v>33958</v>
          </cell>
          <cell r="BA90">
            <v>34347</v>
          </cell>
          <cell r="BB90">
            <v>192477</v>
          </cell>
          <cell r="BC90">
            <v>151136</v>
          </cell>
          <cell r="BD90">
            <v>145096</v>
          </cell>
          <cell r="BE90">
            <v>488709</v>
          </cell>
          <cell r="BF90">
            <v>137566</v>
          </cell>
          <cell r="BG90">
            <v>136503</v>
          </cell>
          <cell r="BH90">
            <v>132395</v>
          </cell>
          <cell r="BI90">
            <v>406464</v>
          </cell>
        </row>
        <row r="91">
          <cell r="A91" t="str">
            <v xml:space="preserve">  % Change</v>
          </cell>
        </row>
        <row r="92">
          <cell r="A92" t="str">
            <v>Sales (IMS)</v>
          </cell>
          <cell r="AZ92">
            <v>18.271754999999999</v>
          </cell>
          <cell r="BA92">
            <v>18.271754999999999</v>
          </cell>
          <cell r="BB92">
            <v>10.729727</v>
          </cell>
          <cell r="BC92">
            <v>11.390700000000001</v>
          </cell>
          <cell r="BD92">
            <v>14.352249</v>
          </cell>
          <cell r="BE92">
            <v>36.472676</v>
          </cell>
          <cell r="BF92">
            <v>11.387007000000001</v>
          </cell>
          <cell r="BG92">
            <v>11.785391000000001</v>
          </cell>
        </row>
        <row r="94">
          <cell r="A94" t="str">
            <v>Product</v>
          </cell>
          <cell r="B94">
            <v>36892</v>
          </cell>
          <cell r="C94">
            <v>36923</v>
          </cell>
          <cell r="D94">
            <v>36951</v>
          </cell>
          <cell r="E94" t="str">
            <v>Q1:01</v>
          </cell>
          <cell r="F94">
            <v>36982</v>
          </cell>
          <cell r="G94">
            <v>37012</v>
          </cell>
          <cell r="H94">
            <v>37043</v>
          </cell>
          <cell r="I94" t="str">
            <v>Q2:01</v>
          </cell>
          <cell r="J94">
            <v>37073</v>
          </cell>
          <cell r="K94">
            <v>37104</v>
          </cell>
          <cell r="L94">
            <v>37135</v>
          </cell>
          <cell r="M94" t="str">
            <v>Q3:01</v>
          </cell>
          <cell r="N94">
            <v>37165</v>
          </cell>
          <cell r="O94">
            <v>37196</v>
          </cell>
          <cell r="P94">
            <v>37226</v>
          </cell>
          <cell r="Q94" t="str">
            <v>Q4:01</v>
          </cell>
          <cell r="R94">
            <v>37257</v>
          </cell>
          <cell r="S94">
            <v>37288</v>
          </cell>
          <cell r="T94">
            <v>37316</v>
          </cell>
          <cell r="U94" t="str">
            <v>Q1:02</v>
          </cell>
          <cell r="V94">
            <v>37347</v>
          </cell>
          <cell r="W94">
            <v>37377</v>
          </cell>
          <cell r="X94">
            <v>37408</v>
          </cell>
          <cell r="Y94" t="str">
            <v>Q2:02</v>
          </cell>
          <cell r="Z94">
            <v>37438</v>
          </cell>
          <cell r="AA94">
            <v>37469</v>
          </cell>
          <cell r="AB94">
            <v>37500</v>
          </cell>
          <cell r="AC94" t="str">
            <v>Q3:02</v>
          </cell>
          <cell r="AD94">
            <v>37530</v>
          </cell>
          <cell r="AE94">
            <v>37561</v>
          </cell>
          <cell r="AF94">
            <v>37591</v>
          </cell>
          <cell r="AG94" t="str">
            <v>Q4:02</v>
          </cell>
          <cell r="AH94">
            <v>37622</v>
          </cell>
          <cell r="AI94">
            <v>37653</v>
          </cell>
          <cell r="AJ94">
            <v>37681</v>
          </cell>
          <cell r="AK94" t="str">
            <v>Q1:03</v>
          </cell>
          <cell r="AL94" t="str">
            <v>Apr-03</v>
          </cell>
          <cell r="AM94">
            <v>37744</v>
          </cell>
          <cell r="AN94">
            <v>37775</v>
          </cell>
          <cell r="AO94" t="str">
            <v>Q2:03</v>
          </cell>
          <cell r="AP94">
            <v>37805</v>
          </cell>
          <cell r="AQ94">
            <v>37836</v>
          </cell>
          <cell r="AR94">
            <v>37867</v>
          </cell>
          <cell r="AS94" t="str">
            <v>Q3:03</v>
          </cell>
          <cell r="AT94">
            <v>37897</v>
          </cell>
          <cell r="AU94">
            <v>37928</v>
          </cell>
          <cell r="AV94">
            <v>37958</v>
          </cell>
          <cell r="AW94" t="str">
            <v>Q4:03</v>
          </cell>
          <cell r="AX94">
            <v>37987</v>
          </cell>
          <cell r="AY94">
            <v>38018</v>
          </cell>
          <cell r="AZ94">
            <v>38047</v>
          </cell>
          <cell r="BA94" t="str">
            <v>Q1:04</v>
          </cell>
          <cell r="BB94">
            <v>38078</v>
          </cell>
          <cell r="BC94">
            <v>38108</v>
          </cell>
          <cell r="BD94">
            <v>38139</v>
          </cell>
          <cell r="BE94" t="str">
            <v>Q2:04</v>
          </cell>
          <cell r="BF94">
            <v>38169</v>
          </cell>
          <cell r="BG94">
            <v>38200</v>
          </cell>
          <cell r="BH94">
            <v>38231</v>
          </cell>
          <cell r="BI94" t="str">
            <v>Q3:04E</v>
          </cell>
        </row>
        <row r="95">
          <cell r="A95" t="str">
            <v>GEMFIBROZIL</v>
          </cell>
        </row>
        <row r="96">
          <cell r="A96" t="str">
            <v>TRx</v>
          </cell>
          <cell r="N96">
            <v>440371</v>
          </cell>
          <cell r="O96">
            <v>423484</v>
          </cell>
          <cell r="P96">
            <v>438395</v>
          </cell>
          <cell r="Q96">
            <v>1302250</v>
          </cell>
          <cell r="R96">
            <v>452159</v>
          </cell>
          <cell r="S96">
            <v>419138</v>
          </cell>
          <cell r="T96">
            <v>460483</v>
          </cell>
          <cell r="U96">
            <v>1331780</v>
          </cell>
          <cell r="V96">
            <v>474615</v>
          </cell>
          <cell r="W96">
            <v>476821</v>
          </cell>
          <cell r="X96">
            <v>452589</v>
          </cell>
          <cell r="Y96">
            <v>1404025</v>
          </cell>
          <cell r="Z96">
            <v>485231</v>
          </cell>
          <cell r="AA96">
            <v>475944</v>
          </cell>
          <cell r="AB96">
            <v>457502</v>
          </cell>
          <cell r="AC96">
            <v>1418677</v>
          </cell>
          <cell r="AD96">
            <v>479978</v>
          </cell>
          <cell r="AE96">
            <v>457145</v>
          </cell>
          <cell r="AF96">
            <v>465980</v>
          </cell>
          <cell r="AG96">
            <v>1403103</v>
          </cell>
          <cell r="AH96">
            <v>455342</v>
          </cell>
          <cell r="AI96">
            <v>414542</v>
          </cell>
          <cell r="AJ96">
            <v>450493</v>
          </cell>
          <cell r="AK96">
            <v>1320377</v>
          </cell>
          <cell r="AL96">
            <v>440412</v>
          </cell>
          <cell r="AM96">
            <v>446602</v>
          </cell>
          <cell r="AN96">
            <v>428175</v>
          </cell>
          <cell r="AO96">
            <v>1315189</v>
          </cell>
          <cell r="AP96">
            <v>435677</v>
          </cell>
          <cell r="AQ96">
            <v>426071</v>
          </cell>
          <cell r="AR96">
            <v>431239</v>
          </cell>
          <cell r="AS96">
            <v>1292987</v>
          </cell>
          <cell r="AT96">
            <v>433473</v>
          </cell>
          <cell r="AU96">
            <v>389980</v>
          </cell>
          <cell r="AV96">
            <v>422457</v>
          </cell>
          <cell r="AW96">
            <v>1245910</v>
          </cell>
          <cell r="AX96">
            <v>403783</v>
          </cell>
          <cell r="AY96">
            <v>371473</v>
          </cell>
          <cell r="AZ96">
            <v>404977</v>
          </cell>
          <cell r="BA96">
            <v>1180233</v>
          </cell>
          <cell r="BB96">
            <v>377199</v>
          </cell>
          <cell r="BC96">
            <v>361378</v>
          </cell>
          <cell r="BD96">
            <v>376723</v>
          </cell>
          <cell r="BE96">
            <v>1115300</v>
          </cell>
          <cell r="BF96">
            <v>371337</v>
          </cell>
          <cell r="BG96">
            <v>372384</v>
          </cell>
          <cell r="BH96">
            <v>360186</v>
          </cell>
          <cell r="BI96">
            <v>1103907</v>
          </cell>
        </row>
        <row r="97">
          <cell r="A97" t="str">
            <v xml:space="preserve">  % Change</v>
          </cell>
          <cell r="AD97">
            <v>8.9940073256413289E-2</v>
          </cell>
          <cell r="AE97">
            <v>7.9485883764203624E-2</v>
          </cell>
          <cell r="AF97">
            <v>6.2922706691453945E-2</v>
          </cell>
          <cell r="AG97">
            <v>7.744519101555003E-2</v>
          </cell>
          <cell r="AH97">
            <v>7.0395590931509044E-3</v>
          </cell>
          <cell r="AI97">
            <v>-1.0965362243461563E-2</v>
          </cell>
          <cell r="AJ97">
            <v>-2.1694611961787902E-2</v>
          </cell>
          <cell r="AK97">
            <v>-8.5622249921157856E-3</v>
          </cell>
          <cell r="AL97">
            <v>-7.2064726146455538E-2</v>
          </cell>
          <cell r="AM97">
            <v>-6.3375983859771279E-2</v>
          </cell>
          <cell r="AN97">
            <v>-5.3942981380457722E-2</v>
          </cell>
          <cell r="AO97">
            <v>-6.3272377628603493E-2</v>
          </cell>
          <cell r="AP97">
            <v>-0.10212455510880381</v>
          </cell>
          <cell r="AQ97">
            <v>-0.10478753802968421</v>
          </cell>
          <cell r="AR97">
            <v>-5.7405213529121202E-2</v>
          </cell>
          <cell r="AS97">
            <v>-8.8596629112898895E-2</v>
          </cell>
          <cell r="AT97">
            <v>-9.6889857451799899E-2</v>
          </cell>
          <cell r="AU97">
            <v>-0.14692274879961498</v>
          </cell>
          <cell r="AV97">
            <v>-9.3401004334950022E-2</v>
          </cell>
          <cell r="AW97">
            <v>-0.11203240246795854</v>
          </cell>
          <cell r="AX97">
            <v>-0.11323137334135658</v>
          </cell>
          <cell r="AY97">
            <v>-0.10389538333872084</v>
          </cell>
          <cell r="AZ97">
            <v>-0.10103597614169368</v>
          </cell>
          <cell r="BA97">
            <v>-0.10613938291866643</v>
          </cell>
          <cell r="BB97">
            <v>-0.14353151140295906</v>
          </cell>
          <cell r="BC97">
            <v>-0.19082762728335301</v>
          </cell>
          <cell r="BD97">
            <v>-0.12016582005021315</v>
          </cell>
          <cell r="BE97">
            <v>-0.15198499987454273</v>
          </cell>
          <cell r="BF97">
            <v>-0.14767821115183954</v>
          </cell>
          <cell r="BG97">
            <v>-0.12600482079277864</v>
          </cell>
          <cell r="BH97">
            <v>-0.16476478240604397</v>
          </cell>
          <cell r="BI97">
            <v>-0.14623503561907425</v>
          </cell>
        </row>
        <row r="98">
          <cell r="A98" t="str">
            <v>NRx</v>
          </cell>
          <cell r="N98">
            <v>137900</v>
          </cell>
          <cell r="O98">
            <v>130039</v>
          </cell>
          <cell r="P98">
            <v>128704</v>
          </cell>
          <cell r="Q98">
            <v>396643</v>
          </cell>
          <cell r="R98">
            <v>148834</v>
          </cell>
          <cell r="S98">
            <v>137267</v>
          </cell>
          <cell r="T98">
            <v>145780</v>
          </cell>
          <cell r="U98">
            <v>431881</v>
          </cell>
          <cell r="V98">
            <v>147898</v>
          </cell>
          <cell r="W98">
            <v>143998</v>
          </cell>
          <cell r="X98">
            <v>134782</v>
          </cell>
          <cell r="Y98">
            <v>426678</v>
          </cell>
          <cell r="Z98">
            <v>145326</v>
          </cell>
          <cell r="AA98">
            <v>144167</v>
          </cell>
          <cell r="AB98">
            <v>136679</v>
          </cell>
          <cell r="AC98">
            <v>426172</v>
          </cell>
          <cell r="AD98">
            <v>146717</v>
          </cell>
          <cell r="AE98">
            <v>134438</v>
          </cell>
          <cell r="AF98">
            <v>133812</v>
          </cell>
          <cell r="AG98">
            <v>414967</v>
          </cell>
          <cell r="AH98">
            <v>144121</v>
          </cell>
          <cell r="AI98">
            <v>133029</v>
          </cell>
          <cell r="AJ98">
            <v>140177</v>
          </cell>
          <cell r="AK98">
            <v>417327</v>
          </cell>
          <cell r="AL98">
            <v>135070</v>
          </cell>
          <cell r="AM98">
            <v>134105</v>
          </cell>
          <cell r="AN98">
            <v>129298</v>
          </cell>
          <cell r="AO98">
            <v>398473</v>
          </cell>
          <cell r="AP98">
            <v>130274</v>
          </cell>
          <cell r="AQ98">
            <v>126077</v>
          </cell>
          <cell r="AR98">
            <v>129446</v>
          </cell>
          <cell r="AS98">
            <v>385797</v>
          </cell>
          <cell r="AT98">
            <v>130895</v>
          </cell>
          <cell r="AU98">
            <v>112212</v>
          </cell>
          <cell r="AV98">
            <v>120654</v>
          </cell>
          <cell r="AW98">
            <v>363761</v>
          </cell>
          <cell r="AX98">
            <v>122779</v>
          </cell>
          <cell r="AY98">
            <v>115821</v>
          </cell>
          <cell r="AZ98">
            <v>125317</v>
          </cell>
          <cell r="BA98">
            <v>363917</v>
          </cell>
          <cell r="BB98">
            <v>113705</v>
          </cell>
          <cell r="BC98">
            <v>106222</v>
          </cell>
          <cell r="BD98">
            <v>114616</v>
          </cell>
          <cell r="BE98">
            <v>334543</v>
          </cell>
          <cell r="BF98">
            <v>112162</v>
          </cell>
          <cell r="BG98">
            <v>113250</v>
          </cell>
          <cell r="BH98">
            <v>111687</v>
          </cell>
          <cell r="BI98">
            <v>337099</v>
          </cell>
        </row>
        <row r="99">
          <cell r="A99" t="str">
            <v xml:space="preserve">  % Change</v>
          </cell>
          <cell r="AD99">
            <v>6.3937635968092765E-2</v>
          </cell>
          <cell r="AE99">
            <v>3.3828313044548253E-2</v>
          </cell>
          <cell r="AF99">
            <v>3.9687966185977031E-2</v>
          </cell>
          <cell r="AG99">
            <v>4.6197714317408822E-2</v>
          </cell>
          <cell r="AH99">
            <v>-3.1666151551392852E-2</v>
          </cell>
          <cell r="AI99">
            <v>-3.0874135808315217E-2</v>
          </cell>
          <cell r="AJ99">
            <v>-3.8434627520921971E-2</v>
          </cell>
          <cell r="AK99">
            <v>-3.3699097668107636E-2</v>
          </cell>
          <cell r="AL99">
            <v>-8.6735452812073177E-2</v>
          </cell>
          <cell r="AM99">
            <v>-6.8702343088098417E-2</v>
          </cell>
          <cell r="AN99">
            <v>-4.0687925687406312E-2</v>
          </cell>
          <cell r="AO99">
            <v>-6.6103712870126841E-2</v>
          </cell>
          <cell r="AP99">
            <v>-0.10357403355215167</v>
          </cell>
          <cell r="AQ99">
            <v>-0.12547947866016496</v>
          </cell>
          <cell r="AR99">
            <v>-5.2919614571367957E-2</v>
          </cell>
          <cell r="AS99">
            <v>-9.4738743981303331E-2</v>
          </cell>
          <cell r="AT99">
            <v>-0.10784026390943113</v>
          </cell>
          <cell r="AU99">
            <v>-0.16532528005474645</v>
          </cell>
          <cell r="AV99">
            <v>-9.8331988162496664E-2</v>
          </cell>
          <cell r="AW99">
            <v>-0.12339776415955972</v>
          </cell>
          <cell r="AX99">
            <v>-0.14808390172147012</v>
          </cell>
          <cell r="AY99">
            <v>-0.12935525336580744</v>
          </cell>
          <cell r="AZ99">
            <v>-0.10600883169136166</v>
          </cell>
          <cell r="BA99">
            <v>-0.12798117543317356</v>
          </cell>
          <cell r="BB99">
            <v>-0.15817724143036949</v>
          </cell>
          <cell r="BC99">
            <v>-0.20791916781626341</v>
          </cell>
          <cell r="BD99">
            <v>-0.11355164039660315</v>
          </cell>
          <cell r="BE99">
            <v>-0.16043747004188491</v>
          </cell>
          <cell r="BF99">
            <v>-0.13903004436802435</v>
          </cell>
          <cell r="BG99">
            <v>-0.10173941321573321</v>
          </cell>
          <cell r="BH99">
            <v>-0.13719234275296266</v>
          </cell>
          <cell r="BI99">
            <v>-0.12622700539402842</v>
          </cell>
        </row>
        <row r="100">
          <cell r="A100" t="str">
            <v>Sales (IMS)</v>
          </cell>
          <cell r="N100">
            <v>5.0523360000000004</v>
          </cell>
          <cell r="O100">
            <v>4.8123420000000001</v>
          </cell>
          <cell r="P100">
            <v>6.1152660000000001</v>
          </cell>
          <cell r="Q100">
            <v>15.979944000000001</v>
          </cell>
          <cell r="R100">
            <v>5.3614990000000002</v>
          </cell>
          <cell r="S100">
            <v>5.5670380000000002</v>
          </cell>
          <cell r="T100">
            <v>7.7389849999999996</v>
          </cell>
          <cell r="U100">
            <v>18.667521999999998</v>
          </cell>
          <cell r="V100">
            <v>6.2285789999999999</v>
          </cell>
          <cell r="W100">
            <v>6.1456249999999999</v>
          </cell>
          <cell r="X100">
            <v>7.7611530000000002</v>
          </cell>
          <cell r="Y100">
            <v>20.135356999999999</v>
          </cell>
          <cell r="Z100">
            <v>5.8091390000000001</v>
          </cell>
          <cell r="AA100">
            <v>5.5924259999999997</v>
          </cell>
          <cell r="AB100">
            <v>8.8595939999999995</v>
          </cell>
          <cell r="AC100">
            <v>20.261158999999999</v>
          </cell>
          <cell r="AD100">
            <v>6.4079870000000003</v>
          </cell>
          <cell r="AE100">
            <v>6.04312</v>
          </cell>
          <cell r="AF100">
            <v>6.8589399999999996</v>
          </cell>
          <cell r="AG100">
            <v>19.310047000000001</v>
          </cell>
          <cell r="AH100">
            <v>6.1356799999999998</v>
          </cell>
          <cell r="AI100">
            <v>7.1206300000000002</v>
          </cell>
          <cell r="AJ100">
            <v>8.9261800000000004</v>
          </cell>
          <cell r="AK100">
            <v>22.182490000000001</v>
          </cell>
          <cell r="AL100">
            <v>6.3560540000000003</v>
          </cell>
          <cell r="AM100">
            <v>5.8547929999999999</v>
          </cell>
          <cell r="AN100">
            <v>7.8590119999999999</v>
          </cell>
          <cell r="AO100">
            <v>20.069859000000001</v>
          </cell>
          <cell r="AP100">
            <v>5.7565239999999998</v>
          </cell>
          <cell r="AQ100">
            <v>6.5134800000000004</v>
          </cell>
          <cell r="AR100">
            <v>7.4890249999999998</v>
          </cell>
          <cell r="AS100">
            <v>19.759028999999998</v>
          </cell>
          <cell r="AT100">
            <v>6.34131</v>
          </cell>
          <cell r="AU100">
            <v>6.4809289999999997</v>
          </cell>
          <cell r="AV100">
            <v>7.0798420000000002</v>
          </cell>
          <cell r="AW100">
            <v>19.902080999999999</v>
          </cell>
          <cell r="AX100">
            <v>6.0942759999999998</v>
          </cell>
          <cell r="AY100">
            <v>6.2707350000000002</v>
          </cell>
          <cell r="AZ100">
            <v>7.7394179999999997</v>
          </cell>
          <cell r="BA100">
            <v>20.104429</v>
          </cell>
          <cell r="BB100">
            <v>5.8281080000000003</v>
          </cell>
          <cell r="BC100">
            <v>5.3127110000000002</v>
          </cell>
          <cell r="BD100">
            <v>7.092943</v>
          </cell>
          <cell r="BE100">
            <v>18.233761999999999</v>
          </cell>
          <cell r="BF100">
            <v>4.6266850000000002</v>
          </cell>
          <cell r="BG100">
            <v>5.2662680000000002</v>
          </cell>
        </row>
        <row r="101">
          <cell r="A101" t="str">
            <v xml:space="preserve">  % Change</v>
          </cell>
          <cell r="AD101">
            <v>0.26832162389833125</v>
          </cell>
          <cell r="AE101">
            <v>0.25575447464041412</v>
          </cell>
          <cell r="AF101">
            <v>0.1216094279463884</v>
          </cell>
          <cell r="AG101">
            <v>0.20839265769642235</v>
          </cell>
          <cell r="AH101">
            <v>0.14439637123871507</v>
          </cell>
          <cell r="AI101">
            <v>0.27906976744186052</v>
          </cell>
          <cell r="AJ101">
            <v>0.15340448392134132</v>
          </cell>
          <cell r="AK101">
            <v>0.18829322927810144</v>
          </cell>
          <cell r="AL101">
            <v>2.046614484620024E-2</v>
          </cell>
          <cell r="AM101">
            <v>-4.7323421132919763E-2</v>
          </cell>
          <cell r="AN101">
            <v>1.2608822426255495E-2</v>
          </cell>
          <cell r="AO101">
            <v>-3.2528849625064193E-3</v>
          </cell>
          <cell r="AP101">
            <v>-9.0572802613262393E-3</v>
          </cell>
          <cell r="AQ101">
            <v>0.16469668083225431</v>
          </cell>
          <cell r="AR101">
            <v>-0.15469884963125846</v>
          </cell>
          <cell r="AS101">
            <v>-2.4782886309712149E-2</v>
          </cell>
          <cell r="AT101">
            <v>-1.0405295766049538E-2</v>
          </cell>
          <cell r="AU101">
            <v>7.2447510557460237E-2</v>
          </cell>
          <cell r="AV101">
            <v>3.2206434230362291E-2</v>
          </cell>
          <cell r="AW101">
            <v>3.0659376437561114E-2</v>
          </cell>
          <cell r="AX101">
            <v>-6.7480703035360801E-3</v>
          </cell>
          <cell r="AY101">
            <v>-0.11935671422332017</v>
          </cell>
          <cell r="AZ101">
            <v>-0.13295295411923136</v>
          </cell>
          <cell r="BA101">
            <v>-9.3680240586156094E-2</v>
          </cell>
          <cell r="BB101">
            <v>-8.3061912312261676E-2</v>
          </cell>
          <cell r="BC101">
            <v>-9.2587731111928195E-2</v>
          </cell>
          <cell r="BD101">
            <v>-9.7476502135382948E-2</v>
          </cell>
          <cell r="BE101">
            <v>-9.1485296433821639E-2</v>
          </cell>
          <cell r="BF101">
            <v>-0.19627104829233744</v>
          </cell>
          <cell r="BG101">
            <v>-0.19148166571479452</v>
          </cell>
        </row>
        <row r="103">
          <cell r="A103" t="str">
            <v>NIFEDICAL XL</v>
          </cell>
        </row>
        <row r="104">
          <cell r="A104" t="str">
            <v>TRx</v>
          </cell>
          <cell r="N104">
            <v>178153</v>
          </cell>
          <cell r="O104">
            <v>176304</v>
          </cell>
          <cell r="P104">
            <v>184504</v>
          </cell>
          <cell r="Q104">
            <v>538961</v>
          </cell>
          <cell r="R104">
            <v>196221</v>
          </cell>
          <cell r="S104">
            <v>180207</v>
          </cell>
          <cell r="T104">
            <v>195202</v>
          </cell>
          <cell r="U104">
            <v>571630</v>
          </cell>
          <cell r="V104">
            <v>197992</v>
          </cell>
          <cell r="W104">
            <v>197821</v>
          </cell>
          <cell r="X104">
            <v>186434</v>
          </cell>
          <cell r="Y104">
            <v>582247</v>
          </cell>
          <cell r="Z104">
            <v>199511</v>
          </cell>
          <cell r="AA104">
            <v>194892</v>
          </cell>
          <cell r="AB104">
            <v>186320</v>
          </cell>
          <cell r="AC104">
            <v>580723</v>
          </cell>
          <cell r="AD104">
            <v>197494</v>
          </cell>
          <cell r="AE104">
            <v>190385</v>
          </cell>
          <cell r="AF104">
            <v>203023</v>
          </cell>
          <cell r="AG104">
            <v>590902</v>
          </cell>
          <cell r="AH104">
            <v>201220</v>
          </cell>
          <cell r="AI104">
            <v>185826</v>
          </cell>
          <cell r="AJ104">
            <v>202998</v>
          </cell>
          <cell r="AK104">
            <v>590044</v>
          </cell>
          <cell r="AL104">
            <v>196461</v>
          </cell>
          <cell r="AM104">
            <v>201583</v>
          </cell>
          <cell r="AN104">
            <v>196287</v>
          </cell>
          <cell r="AO104">
            <v>594331</v>
          </cell>
          <cell r="AP104">
            <v>202174</v>
          </cell>
          <cell r="AQ104">
            <v>191710</v>
          </cell>
          <cell r="AR104">
            <v>189620</v>
          </cell>
          <cell r="AS104">
            <v>583504</v>
          </cell>
          <cell r="AT104">
            <v>195926</v>
          </cell>
          <cell r="AU104">
            <v>180682</v>
          </cell>
          <cell r="AV104">
            <v>197647</v>
          </cell>
          <cell r="AW104">
            <v>574255</v>
          </cell>
          <cell r="AX104">
            <v>194758</v>
          </cell>
          <cell r="AY104">
            <v>183522</v>
          </cell>
          <cell r="AZ104">
            <v>205252</v>
          </cell>
          <cell r="BA104">
            <v>583532</v>
          </cell>
          <cell r="BB104">
            <v>196149</v>
          </cell>
          <cell r="BC104">
            <v>192845</v>
          </cell>
          <cell r="BD104">
            <v>199543</v>
          </cell>
          <cell r="BE104">
            <v>588537</v>
          </cell>
          <cell r="BF104">
            <v>198930</v>
          </cell>
          <cell r="BG104">
            <v>201921</v>
          </cell>
          <cell r="BH104">
            <v>200231</v>
          </cell>
          <cell r="BI104">
            <v>601082</v>
          </cell>
        </row>
        <row r="105">
          <cell r="A105" t="str">
            <v xml:space="preserve">  % Change</v>
          </cell>
          <cell r="AD105">
            <v>0.10856398713465398</v>
          </cell>
          <cell r="AE105">
            <v>7.9867728469008137E-2</v>
          </cell>
          <cell r="AF105">
            <v>0.10037180765728659</v>
          </cell>
          <cell r="AG105">
            <v>9.6372464798009538E-2</v>
          </cell>
          <cell r="AH105">
            <v>2.547637612691811E-2</v>
          </cell>
          <cell r="AI105">
            <v>3.1180808736619658E-2</v>
          </cell>
          <cell r="AJ105">
            <v>3.9938115388161943E-2</v>
          </cell>
          <cell r="AK105">
            <v>3.2213144866434673E-2</v>
          </cell>
          <cell r="AL105">
            <v>-7.7326356620469605E-3</v>
          </cell>
          <cell r="AM105">
            <v>1.901719231021981E-2</v>
          </cell>
          <cell r="AN105">
            <v>5.284980207472878E-2</v>
          </cell>
          <cell r="AO105">
            <v>2.0754078595510261E-2</v>
          </cell>
          <cell r="AP105">
            <v>1.334763496749547E-2</v>
          </cell>
          <cell r="AQ105">
            <v>-1.6326991359316922E-2</v>
          </cell>
          <cell r="AR105">
            <v>1.7711464147702971E-2</v>
          </cell>
          <cell r="AS105">
            <v>4.7888580269768166E-3</v>
          </cell>
          <cell r="AT105">
            <v>-7.9394817057732991E-3</v>
          </cell>
          <cell r="AU105">
            <v>-5.0965149565354362E-2</v>
          </cell>
          <cell r="AV105">
            <v>-2.6479758451012914E-2</v>
          </cell>
          <cell r="AW105">
            <v>-2.817218422005674E-2</v>
          </cell>
          <cell r="AX105">
            <v>-3.2114103965808605E-2</v>
          </cell>
          <cell r="AY105">
            <v>-1.239869555390527E-2</v>
          </cell>
          <cell r="AZ105">
            <v>1.110355767051896E-2</v>
          </cell>
          <cell r="BA105">
            <v>-1.1036465077180702E-2</v>
          </cell>
          <cell r="BB105">
            <v>-1.5881014552506789E-3</v>
          </cell>
          <cell r="BC105">
            <v>-4.3346909213574536E-2</v>
          </cell>
          <cell r="BD105">
            <v>1.6587955391849762E-2</v>
          </cell>
          <cell r="BE105">
            <v>-9.7487763552632778E-3</v>
          </cell>
          <cell r="BF105">
            <v>-1.6045584496522824E-2</v>
          </cell>
          <cell r="BG105">
            <v>5.3262740597777913E-2</v>
          </cell>
          <cell r="BH105">
            <v>5.5959286995042712E-2</v>
          </cell>
          <cell r="BI105">
            <v>3.0124900600509985E-2</v>
          </cell>
        </row>
        <row r="106">
          <cell r="A106" t="str">
            <v>NRx</v>
          </cell>
          <cell r="N106">
            <v>67942</v>
          </cell>
          <cell r="O106">
            <v>63382</v>
          </cell>
          <cell r="P106">
            <v>62992</v>
          </cell>
          <cell r="Q106">
            <v>194316</v>
          </cell>
          <cell r="R106">
            <v>71767</v>
          </cell>
          <cell r="S106">
            <v>65457</v>
          </cell>
          <cell r="T106">
            <v>68375</v>
          </cell>
          <cell r="U106">
            <v>205599</v>
          </cell>
          <cell r="V106">
            <v>68168</v>
          </cell>
          <cell r="W106">
            <v>67163</v>
          </cell>
          <cell r="X106">
            <v>60713</v>
          </cell>
          <cell r="Y106">
            <v>196044</v>
          </cell>
          <cell r="Z106">
            <v>65747</v>
          </cell>
          <cell r="AA106">
            <v>63192</v>
          </cell>
          <cell r="AB106">
            <v>60475</v>
          </cell>
          <cell r="AC106">
            <v>189414</v>
          </cell>
          <cell r="AD106">
            <v>66247</v>
          </cell>
          <cell r="AE106">
            <v>62939</v>
          </cell>
          <cell r="AF106">
            <v>66139</v>
          </cell>
          <cell r="AG106">
            <v>195325</v>
          </cell>
          <cell r="AH106">
            <v>70026</v>
          </cell>
          <cell r="AI106">
            <v>65118</v>
          </cell>
          <cell r="AJ106">
            <v>68687</v>
          </cell>
          <cell r="AK106">
            <v>203831</v>
          </cell>
          <cell r="AL106">
            <v>65017</v>
          </cell>
          <cell r="AM106">
            <v>66391</v>
          </cell>
          <cell r="AN106">
            <v>64335</v>
          </cell>
          <cell r="AO106">
            <v>195743</v>
          </cell>
          <cell r="AP106">
            <v>65154</v>
          </cell>
          <cell r="AQ106">
            <v>60907</v>
          </cell>
          <cell r="AR106">
            <v>61809</v>
          </cell>
          <cell r="AS106">
            <v>187870</v>
          </cell>
          <cell r="AT106">
            <v>65564</v>
          </cell>
          <cell r="AU106">
            <v>58987</v>
          </cell>
          <cell r="AV106">
            <v>65637</v>
          </cell>
          <cell r="AW106">
            <v>190188</v>
          </cell>
          <cell r="AX106">
            <v>67872</v>
          </cell>
          <cell r="AY106">
            <v>64175</v>
          </cell>
          <cell r="AZ106">
            <v>71906</v>
          </cell>
          <cell r="BA106">
            <v>203953</v>
          </cell>
          <cell r="BB106">
            <v>66217</v>
          </cell>
          <cell r="BC106">
            <v>63288</v>
          </cell>
          <cell r="BD106">
            <v>66460</v>
          </cell>
          <cell r="BE106">
            <v>195965</v>
          </cell>
          <cell r="BF106">
            <v>65047</v>
          </cell>
          <cell r="BG106">
            <v>65893</v>
          </cell>
          <cell r="BH106">
            <v>67479</v>
          </cell>
          <cell r="BI106">
            <v>198419</v>
          </cell>
        </row>
        <row r="107">
          <cell r="A107" t="str">
            <v xml:space="preserve">  % Change</v>
          </cell>
          <cell r="AD107">
            <v>-2.4947749551087695E-2</v>
          </cell>
          <cell r="AE107">
            <v>-6.9893660660755863E-3</v>
          </cell>
          <cell r="AF107">
            <v>4.9958724917449793E-2</v>
          </cell>
          <cell r="AG107">
            <v>5.1925729224562289E-3</v>
          </cell>
          <cell r="AH107">
            <v>-2.4259060571014568E-2</v>
          </cell>
          <cell r="AI107">
            <v>-5.1789724551996041E-3</v>
          </cell>
          <cell r="AJ107">
            <v>4.563071297988941E-3</v>
          </cell>
          <cell r="AK107">
            <v>-8.5992636150954427E-3</v>
          </cell>
          <cell r="AL107">
            <v>-4.6224034737706865E-2</v>
          </cell>
          <cell r="AM107">
            <v>-1.1494424013221538E-2</v>
          </cell>
          <cell r="AN107">
            <v>5.965773392848317E-2</v>
          </cell>
          <cell r="AO107">
            <v>-1.5353696109037251E-3</v>
          </cell>
          <cell r="AP107">
            <v>-9.0194229394496839E-3</v>
          </cell>
          <cell r="AQ107">
            <v>-3.6159640460817877E-2</v>
          </cell>
          <cell r="AR107">
            <v>2.2058701942951675E-2</v>
          </cell>
          <cell r="AS107">
            <v>-8.1514565977172104E-3</v>
          </cell>
          <cell r="AT107">
            <v>-1.0309900825697715E-2</v>
          </cell>
          <cell r="AU107">
            <v>-6.2790956322788749E-2</v>
          </cell>
          <cell r="AV107">
            <v>-7.5900754471642795E-3</v>
          </cell>
          <cell r="AW107">
            <v>-2.6299756815563846E-2</v>
          </cell>
          <cell r="AX107">
            <v>-3.0760003427298455E-2</v>
          </cell>
          <cell r="AY107">
            <v>-1.4481402991492365E-2</v>
          </cell>
          <cell r="AZ107">
            <v>4.6864763346776028E-2</v>
          </cell>
          <cell r="BA107">
            <v>5.9853506090834507E-4</v>
          </cell>
          <cell r="BB107">
            <v>1.8456711321654273E-2</v>
          </cell>
          <cell r="BC107">
            <v>-4.673826271633208E-2</v>
          </cell>
          <cell r="BD107">
            <v>3.303023237739966E-2</v>
          </cell>
          <cell r="BE107">
            <v>1.1341401735949219E-3</v>
          </cell>
          <cell r="BF107">
            <v>-1.6422629462504723E-3</v>
          </cell>
          <cell r="BG107">
            <v>8.1862511698162832E-2</v>
          </cell>
          <cell r="BH107">
            <v>9.1734213464058634E-2</v>
          </cell>
          <cell r="BI107">
            <v>5.6150529621546763E-2</v>
          </cell>
        </row>
        <row r="108">
          <cell r="A108" t="str">
            <v>Sales (IMS)</v>
          </cell>
          <cell r="N108">
            <v>7.0239409999999998</v>
          </cell>
          <cell r="O108">
            <v>6.8525739999999997</v>
          </cell>
          <cell r="P108">
            <v>8.524616</v>
          </cell>
          <cell r="Q108">
            <v>22.401130999999999</v>
          </cell>
          <cell r="R108">
            <v>6.9744539999999997</v>
          </cell>
          <cell r="S108">
            <v>7.1119909999999997</v>
          </cell>
          <cell r="T108">
            <v>8.4899550000000001</v>
          </cell>
          <cell r="U108">
            <v>22.5764</v>
          </cell>
          <cell r="V108">
            <v>6.0838929999999998</v>
          </cell>
          <cell r="W108">
            <v>6.6255290000000002</v>
          </cell>
          <cell r="X108">
            <v>8.2748329999999992</v>
          </cell>
          <cell r="Y108">
            <v>20.984254999999997</v>
          </cell>
          <cell r="Z108">
            <v>6.3860849999999996</v>
          </cell>
          <cell r="AA108">
            <v>6.2996889999999999</v>
          </cell>
          <cell r="AB108">
            <v>8.3383620000000001</v>
          </cell>
          <cell r="AC108">
            <v>21.024135999999999</v>
          </cell>
          <cell r="AD108">
            <v>6.942869</v>
          </cell>
          <cell r="AE108">
            <v>6.6163020000000001</v>
          </cell>
          <cell r="AF108">
            <v>8.7415199999999995</v>
          </cell>
          <cell r="AG108">
            <v>22.300691</v>
          </cell>
          <cell r="AH108">
            <v>6.8958700000000004</v>
          </cell>
          <cell r="AI108">
            <v>7.3791510000000002</v>
          </cell>
          <cell r="AJ108">
            <v>8.9381269999999997</v>
          </cell>
          <cell r="AK108">
            <v>23.213148</v>
          </cell>
          <cell r="AL108">
            <v>6.3923019999999999</v>
          </cell>
          <cell r="AM108">
            <v>6.5138119999999997</v>
          </cell>
          <cell r="AN108">
            <v>8.402298</v>
          </cell>
          <cell r="AO108">
            <v>21.308411999999997</v>
          </cell>
          <cell r="AP108">
            <v>6.1188729999999998</v>
          </cell>
          <cell r="AQ108">
            <v>6.179354</v>
          </cell>
          <cell r="AR108">
            <v>7.4535030000000004</v>
          </cell>
          <cell r="AS108">
            <v>19.751730000000002</v>
          </cell>
          <cell r="AT108">
            <v>6.1482159999999997</v>
          </cell>
          <cell r="AU108">
            <v>6.405589</v>
          </cell>
          <cell r="AV108">
            <v>7.5108940000000004</v>
          </cell>
          <cell r="AW108">
            <v>20.064699000000001</v>
          </cell>
          <cell r="AX108">
            <v>6.2100090000000003</v>
          </cell>
          <cell r="AY108">
            <v>6.4214659999999997</v>
          </cell>
          <cell r="AZ108">
            <v>8.1779259999999994</v>
          </cell>
          <cell r="BA108">
            <v>20.809401000000001</v>
          </cell>
          <cell r="BB108">
            <v>6.7914000000000003</v>
          </cell>
          <cell r="BC108">
            <v>6.8720100000000004</v>
          </cell>
          <cell r="BD108">
            <v>8.2902190000000004</v>
          </cell>
          <cell r="BE108">
            <v>21.953628999999999</v>
          </cell>
          <cell r="BF108">
            <v>6.4576269999999996</v>
          </cell>
          <cell r="BG108">
            <v>6.5579609999999997</v>
          </cell>
        </row>
        <row r="109">
          <cell r="A109" t="str">
            <v xml:space="preserve">  % Change</v>
          </cell>
          <cell r="AD109">
            <v>-1.1542238182239872E-2</v>
          </cell>
          <cell r="AE109">
            <v>-3.4479306607998583E-2</v>
          </cell>
          <cell r="AF109">
            <v>2.5444430576110344E-2</v>
          </cell>
          <cell r="AG109">
            <v>-4.4837021845012259E-3</v>
          </cell>
          <cell r="AH109">
            <v>-1.1267405305132039E-2</v>
          </cell>
          <cell r="AI109">
            <v>3.7564726951988536E-2</v>
          </cell>
          <cell r="AJ109">
            <v>5.2788501234694252E-2</v>
          </cell>
          <cell r="AK109">
            <v>2.8204142378767338E-2</v>
          </cell>
          <cell r="AL109">
            <v>5.0692706134049415E-2</v>
          </cell>
          <cell r="AM109">
            <v>-1.6861597013612117E-2</v>
          </cell>
          <cell r="AN109">
            <v>1.5403936248622907E-2</v>
          </cell>
          <cell r="AO109">
            <v>1.5447629663287943E-2</v>
          </cell>
          <cell r="AP109">
            <v>-4.184285051013259E-2</v>
          </cell>
          <cell r="AQ109">
            <v>-1.9101736609537401E-2</v>
          </cell>
          <cell r="AR109">
            <v>-0.10611904352437562</v>
          </cell>
          <cell r="AS109">
            <v>-6.0521202868931034E-2</v>
          </cell>
          <cell r="AT109">
            <v>-0.11445599794551797</v>
          </cell>
          <cell r="AU109">
            <v>-3.1847548675982496E-2</v>
          </cell>
          <cell r="AV109">
            <v>-0.14077940678508993</v>
          </cell>
          <cell r="AW109">
            <v>-0.10026559266706125</v>
          </cell>
          <cell r="AX109">
            <v>-9.9459676589030876E-2</v>
          </cell>
          <cell r="AY109">
            <v>-0.12978254544459122</v>
          </cell>
          <cell r="AZ109">
            <v>-8.5051487856460328E-2</v>
          </cell>
          <cell r="BA109">
            <v>-0.1035510995751201</v>
          </cell>
          <cell r="BB109">
            <v>6.2434159086976804E-2</v>
          </cell>
          <cell r="BC109">
            <v>5.4990533960759258E-2</v>
          </cell>
          <cell r="BD109">
            <v>-1.333908890163138E-2</v>
          </cell>
          <cell r="BE109">
            <v>3.0279919498459318E-2</v>
          </cell>
          <cell r="BF109">
            <v>5.5362155743386099E-2</v>
          </cell>
          <cell r="BG109">
            <v>6.1269673172956285E-2</v>
          </cell>
        </row>
        <row r="111">
          <cell r="A111" t="str">
            <v>HYCD/IBUPROFEN</v>
          </cell>
        </row>
        <row r="112">
          <cell r="A112" t="str">
            <v>TRx</v>
          </cell>
          <cell r="AL112">
            <v>10150</v>
          </cell>
          <cell r="AM112">
            <v>108887</v>
          </cell>
          <cell r="AN112">
            <v>145305</v>
          </cell>
          <cell r="AO112">
            <v>264342</v>
          </cell>
          <cell r="AP112">
            <v>169282</v>
          </cell>
          <cell r="AQ112">
            <v>174106</v>
          </cell>
          <cell r="AR112">
            <v>174709</v>
          </cell>
          <cell r="AS112">
            <v>518097</v>
          </cell>
          <cell r="AT112">
            <v>180790</v>
          </cell>
          <cell r="AU112">
            <v>166518</v>
          </cell>
          <cell r="AV112">
            <v>185271</v>
          </cell>
          <cell r="AW112">
            <v>532579</v>
          </cell>
          <cell r="AX112">
            <v>183223</v>
          </cell>
          <cell r="AY112">
            <v>173393</v>
          </cell>
          <cell r="AZ112">
            <v>193911</v>
          </cell>
          <cell r="BA112">
            <v>550527</v>
          </cell>
          <cell r="BB112">
            <v>183391</v>
          </cell>
          <cell r="BC112">
            <v>178529</v>
          </cell>
          <cell r="BD112">
            <v>181236</v>
          </cell>
          <cell r="BE112">
            <v>543156</v>
          </cell>
          <cell r="BF112">
            <v>172049</v>
          </cell>
          <cell r="BG112">
            <v>169875</v>
          </cell>
          <cell r="BH112">
            <v>159026</v>
          </cell>
          <cell r="BI112">
            <v>500950</v>
          </cell>
        </row>
        <row r="113">
          <cell r="A113" t="str">
            <v xml:space="preserve">  % Change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0.63958048251857424</v>
          </cell>
          <cell r="BD113">
            <v>0.24727985960565713</v>
          </cell>
          <cell r="BE113">
            <v>1.0547472592323581</v>
          </cell>
          <cell r="BF113">
            <v>1.6345506314906499E-2</v>
          </cell>
          <cell r="BG113">
            <v>-2.4301287721273268E-2</v>
          </cell>
          <cell r="BH113">
            <v>-8.9766411575820326E-2</v>
          </cell>
          <cell r="BI113">
            <v>-3.3096119066506891E-2</v>
          </cell>
        </row>
        <row r="114">
          <cell r="A114" t="str">
            <v>NRx</v>
          </cell>
          <cell r="AL114">
            <v>9654</v>
          </cell>
          <cell r="AM114">
            <v>94680</v>
          </cell>
          <cell r="AN114">
            <v>121579</v>
          </cell>
          <cell r="AO114">
            <v>225913</v>
          </cell>
          <cell r="AP114">
            <v>139950</v>
          </cell>
          <cell r="AQ114">
            <v>142570</v>
          </cell>
          <cell r="AR114">
            <v>142288</v>
          </cell>
          <cell r="AS114">
            <v>424808</v>
          </cell>
          <cell r="AT114">
            <v>146312</v>
          </cell>
          <cell r="AU114">
            <v>133421</v>
          </cell>
          <cell r="AV114">
            <v>148146</v>
          </cell>
          <cell r="AW114">
            <v>427879</v>
          </cell>
          <cell r="AX114">
            <v>147626</v>
          </cell>
          <cell r="AY114">
            <v>138734</v>
          </cell>
          <cell r="AZ114">
            <v>155415</v>
          </cell>
          <cell r="BA114">
            <v>441775</v>
          </cell>
          <cell r="BB114">
            <v>146832</v>
          </cell>
          <cell r="BC114">
            <v>142798</v>
          </cell>
          <cell r="BD114">
            <v>146450</v>
          </cell>
          <cell r="BE114">
            <v>436080</v>
          </cell>
          <cell r="BF114">
            <v>138433</v>
          </cell>
          <cell r="BG114">
            <v>137815</v>
          </cell>
          <cell r="BH114">
            <v>128187</v>
          </cell>
          <cell r="BI114">
            <v>404435</v>
          </cell>
        </row>
        <row r="115">
          <cell r="A115" t="str">
            <v xml:space="preserve">  % Change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0.50821715251373045</v>
          </cell>
          <cell r="BD115">
            <v>0.20456657810970635</v>
          </cell>
          <cell r="BE115">
            <v>0.93030060244430368</v>
          </cell>
          <cell r="BF115">
            <v>-1.0839585566273624E-2</v>
          </cell>
          <cell r="BG115">
            <v>-3.3352037595567041E-2</v>
          </cell>
          <cell r="BH115">
            <v>-9.910182165748338E-2</v>
          </cell>
          <cell r="BI115">
            <v>-4.7958136381612393E-2</v>
          </cell>
        </row>
        <row r="116">
          <cell r="A116" t="str">
            <v>Sales (IMS)</v>
          </cell>
          <cell r="AL116">
            <v>2.4121600000000001</v>
          </cell>
          <cell r="AM116">
            <v>4.4109449999999999</v>
          </cell>
          <cell r="AN116">
            <v>5.5504189999999998</v>
          </cell>
          <cell r="AO116">
            <v>12.373524</v>
          </cell>
          <cell r="AP116">
            <v>4.9057870000000001</v>
          </cell>
          <cell r="AQ116">
            <v>5.1089130000000003</v>
          </cell>
          <cell r="AR116">
            <v>5.9790510000000001</v>
          </cell>
          <cell r="AS116">
            <v>15.993751000000001</v>
          </cell>
          <cell r="AT116">
            <v>5.0766159999999996</v>
          </cell>
          <cell r="AU116">
            <v>5.4440330000000001</v>
          </cell>
          <cell r="AV116">
            <v>6.3539490000000001</v>
          </cell>
          <cell r="AW116">
            <v>16.874597999999999</v>
          </cell>
          <cell r="AX116">
            <v>5.2228620000000001</v>
          </cell>
          <cell r="AY116">
            <v>5.4692930000000004</v>
          </cell>
          <cell r="AZ116">
            <v>6.746181</v>
          </cell>
          <cell r="BA116">
            <v>17.438336</v>
          </cell>
          <cell r="BB116">
            <v>5.0058939999999996</v>
          </cell>
          <cell r="BC116">
            <v>4.5362220000000004</v>
          </cell>
          <cell r="BD116">
            <v>5.1075629999999999</v>
          </cell>
          <cell r="BE116">
            <v>14.649678999999999</v>
          </cell>
          <cell r="BF116">
            <v>3.6293169999999999</v>
          </cell>
          <cell r="BG116">
            <v>3.6941519999999999</v>
          </cell>
        </row>
        <row r="117">
          <cell r="A117" t="str">
            <v xml:space="preserve">  % Change</v>
          </cell>
        </row>
        <row r="119">
          <cell r="A119" t="str">
            <v>OXYCODONE HCL ER 80MG</v>
          </cell>
        </row>
        <row r="120">
          <cell r="A120" t="str">
            <v>TRx</v>
          </cell>
          <cell r="BB120">
            <v>15757</v>
          </cell>
          <cell r="BC120">
            <v>30595</v>
          </cell>
          <cell r="BD120">
            <v>36207</v>
          </cell>
          <cell r="BE120">
            <v>82559</v>
          </cell>
          <cell r="BF120">
            <v>39107</v>
          </cell>
          <cell r="BG120">
            <v>39125</v>
          </cell>
          <cell r="BH120">
            <v>39394</v>
          </cell>
          <cell r="BI120">
            <v>117626</v>
          </cell>
        </row>
        <row r="121">
          <cell r="A121" t="str">
            <v xml:space="preserve">  % Change</v>
          </cell>
        </row>
        <row r="122">
          <cell r="A122" t="str">
            <v>NRx</v>
          </cell>
          <cell r="BB122">
            <v>15625</v>
          </cell>
          <cell r="BC122">
            <v>30334</v>
          </cell>
          <cell r="BD122">
            <v>35850</v>
          </cell>
          <cell r="BE122">
            <v>81809</v>
          </cell>
          <cell r="BF122">
            <v>38598</v>
          </cell>
          <cell r="BG122">
            <v>38604</v>
          </cell>
          <cell r="BH122">
            <v>38770</v>
          </cell>
          <cell r="BI122">
            <v>115972</v>
          </cell>
        </row>
        <row r="123">
          <cell r="A123" t="str">
            <v xml:space="preserve">  % Change</v>
          </cell>
        </row>
        <row r="124">
          <cell r="A124" t="str">
            <v>Sales (IMS)</v>
          </cell>
          <cell r="BB124">
            <v>22.394186000000001</v>
          </cell>
          <cell r="BC124">
            <v>22.569299999999998</v>
          </cell>
          <cell r="BD124">
            <v>26.277474000000002</v>
          </cell>
          <cell r="BE124">
            <v>71.240960000000001</v>
          </cell>
          <cell r="BF124">
            <v>22.152159000000001</v>
          </cell>
          <cell r="BG124">
            <v>20.664000000000001</v>
          </cell>
        </row>
        <row r="125">
          <cell r="A125" t="str">
            <v xml:space="preserve">  % Change</v>
          </cell>
        </row>
        <row r="127">
          <cell r="A127" t="str">
            <v>TORSEMIDE</v>
          </cell>
        </row>
        <row r="128">
          <cell r="A128" t="str">
            <v>TRx</v>
          </cell>
          <cell r="X128">
            <v>16230</v>
          </cell>
          <cell r="Y128">
            <v>16230</v>
          </cell>
          <cell r="Z128">
            <v>107050</v>
          </cell>
          <cell r="AA128">
            <v>150792</v>
          </cell>
          <cell r="AB128">
            <v>154721</v>
          </cell>
          <cell r="AC128">
            <v>412563</v>
          </cell>
          <cell r="AD128">
            <v>171265</v>
          </cell>
          <cell r="AE128">
            <v>168408</v>
          </cell>
          <cell r="AF128">
            <v>184324</v>
          </cell>
          <cell r="AG128">
            <v>523997</v>
          </cell>
          <cell r="AH128">
            <v>185790</v>
          </cell>
          <cell r="AI128">
            <v>172871</v>
          </cell>
          <cell r="AJ128">
            <v>192606</v>
          </cell>
          <cell r="AK128">
            <v>551267</v>
          </cell>
          <cell r="AL128">
            <v>193665</v>
          </cell>
          <cell r="AM128">
            <v>201521</v>
          </cell>
          <cell r="AN128">
            <v>197533</v>
          </cell>
          <cell r="AO128">
            <v>592719</v>
          </cell>
          <cell r="AP128">
            <v>196340</v>
          </cell>
          <cell r="AQ128">
            <v>184482</v>
          </cell>
          <cell r="AR128">
            <v>179426</v>
          </cell>
          <cell r="AS128">
            <v>560248</v>
          </cell>
          <cell r="AT128">
            <v>182048</v>
          </cell>
          <cell r="AU128">
            <v>167173</v>
          </cell>
          <cell r="AV128">
            <v>177246</v>
          </cell>
          <cell r="AW128">
            <v>526467</v>
          </cell>
          <cell r="AX128">
            <v>158632</v>
          </cell>
          <cell r="AY128">
            <v>145568</v>
          </cell>
          <cell r="AZ128">
            <v>160588</v>
          </cell>
          <cell r="BA128">
            <v>464788</v>
          </cell>
          <cell r="BB128">
            <v>152267</v>
          </cell>
          <cell r="BC128">
            <v>149521</v>
          </cell>
          <cell r="BD128">
            <v>154856</v>
          </cell>
          <cell r="BE128">
            <v>456644</v>
          </cell>
          <cell r="BF128">
            <v>154148</v>
          </cell>
          <cell r="BG128">
            <v>153296</v>
          </cell>
          <cell r="BH128">
            <v>145826</v>
          </cell>
          <cell r="BI128">
            <v>453270</v>
          </cell>
        </row>
        <row r="129">
          <cell r="A129" t="str">
            <v xml:space="preserve">  % Change</v>
          </cell>
          <cell r="AN129">
            <v>11.170856438693777</v>
          </cell>
          <cell r="AO129">
            <v>0</v>
          </cell>
          <cell r="AP129">
            <v>0.8340962167211583</v>
          </cell>
          <cell r="AQ129">
            <v>0.22342034060162352</v>
          </cell>
          <cell r="AR129">
            <v>0.15967451089380247</v>
          </cell>
          <cell r="AS129">
            <v>0.35796957070798885</v>
          </cell>
          <cell r="AT129">
            <v>6.2960908533559179E-2</v>
          </cell>
          <cell r="AU129">
            <v>-7.3333808370148468E-3</v>
          </cell>
          <cell r="AV129">
            <v>-3.8399774310453383E-2</v>
          </cell>
          <cell r="AW129">
            <v>4.7137674452335521E-3</v>
          </cell>
          <cell r="AX129">
            <v>-0.14617578987028368</v>
          </cell>
          <cell r="AY129">
            <v>-0.15793857847759307</v>
          </cell>
          <cell r="AZ129">
            <v>-0.16623573512766998</v>
          </cell>
          <cell r="BA129">
            <v>-0.15687316672320306</v>
          </cell>
          <cell r="BB129">
            <v>-0.21376087573903391</v>
          </cell>
          <cell r="BC129">
            <v>-0.25803762387046514</v>
          </cell>
          <cell r="BD129">
            <v>-0.21604997645962953</v>
          </cell>
          <cell r="BE129">
            <v>-0.22957759073017736</v>
          </cell>
          <cell r="BF129">
            <v>-0.21489253336049707</v>
          </cell>
          <cell r="BG129">
            <v>-0.16904630262030984</v>
          </cell>
          <cell r="BH129">
            <v>-0.18726383021412729</v>
          </cell>
          <cell r="BI129">
            <v>-0.19094758035727033</v>
          </cell>
        </row>
        <row r="130">
          <cell r="A130" t="str">
            <v>NRx</v>
          </cell>
          <cell r="X130">
            <v>12638</v>
          </cell>
          <cell r="Y130">
            <v>12638</v>
          </cell>
          <cell r="Z130">
            <v>68914</v>
          </cell>
          <cell r="AA130">
            <v>74965</v>
          </cell>
          <cell r="AB130">
            <v>65334</v>
          </cell>
          <cell r="AC130">
            <v>209213</v>
          </cell>
          <cell r="AD130">
            <v>67362</v>
          </cell>
          <cell r="AE130">
            <v>63668</v>
          </cell>
          <cell r="AF130">
            <v>66242</v>
          </cell>
          <cell r="AG130">
            <v>197272</v>
          </cell>
          <cell r="AH130">
            <v>69340</v>
          </cell>
          <cell r="AI130">
            <v>63653</v>
          </cell>
          <cell r="AJ130">
            <v>70246</v>
          </cell>
          <cell r="AK130">
            <v>203239</v>
          </cell>
          <cell r="AL130">
            <v>70429</v>
          </cell>
          <cell r="AM130">
            <v>71516</v>
          </cell>
          <cell r="AN130">
            <v>69351</v>
          </cell>
          <cell r="AO130">
            <v>211296</v>
          </cell>
          <cell r="AP130">
            <v>68996</v>
          </cell>
          <cell r="AQ130">
            <v>63522</v>
          </cell>
          <cell r="AR130">
            <v>61556</v>
          </cell>
          <cell r="AS130">
            <v>194074</v>
          </cell>
          <cell r="AT130">
            <v>62185</v>
          </cell>
          <cell r="AU130">
            <v>55540</v>
          </cell>
          <cell r="AV130">
            <v>58365</v>
          </cell>
          <cell r="AW130">
            <v>176090</v>
          </cell>
          <cell r="AX130">
            <v>54685</v>
          </cell>
          <cell r="AY130">
            <v>51416</v>
          </cell>
          <cell r="AZ130">
            <v>57763</v>
          </cell>
          <cell r="BA130">
            <v>163864</v>
          </cell>
          <cell r="BB130">
            <v>54557</v>
          </cell>
          <cell r="BC130">
            <v>53051</v>
          </cell>
          <cell r="BD130">
            <v>54761</v>
          </cell>
          <cell r="BE130">
            <v>162369</v>
          </cell>
          <cell r="BF130">
            <v>54412</v>
          </cell>
          <cell r="BG130">
            <v>53189</v>
          </cell>
          <cell r="BH130">
            <v>50569</v>
          </cell>
          <cell r="BI130">
            <v>158170</v>
          </cell>
        </row>
        <row r="131">
          <cell r="A131" t="str">
            <v xml:space="preserve">  % Change</v>
          </cell>
          <cell r="AN131">
            <v>4.4874980218388982</v>
          </cell>
          <cell r="AO131">
            <v>0</v>
          </cell>
          <cell r="AP131">
            <v>1.1898888469685787E-3</v>
          </cell>
          <cell r="AQ131">
            <v>-0.15264456746481692</v>
          </cell>
          <cell r="AR131">
            <v>-5.7825940551627042E-2</v>
          </cell>
          <cell r="AS131">
            <v>-7.2361660126282756E-2</v>
          </cell>
          <cell r="AT131">
            <v>-7.6853418841483334E-2</v>
          </cell>
          <cell r="AU131">
            <v>-0.12766224791103853</v>
          </cell>
          <cell r="AV131">
            <v>-0.11891247244950331</v>
          </cell>
          <cell r="AW131">
            <v>-0.10737458939940792</v>
          </cell>
          <cell r="AX131">
            <v>-0.21134987020478802</v>
          </cell>
          <cell r="AY131">
            <v>-0.19224545583083275</v>
          </cell>
          <cell r="AZ131">
            <v>-0.17770406855906384</v>
          </cell>
          <cell r="BA131">
            <v>-0.1937374224435271</v>
          </cell>
          <cell r="BB131">
            <v>-0.2253617117948572</v>
          </cell>
          <cell r="BC131">
            <v>-0.25819397058001003</v>
          </cell>
          <cell r="BD131">
            <v>-0.21037908609825384</v>
          </cell>
          <cell r="BE131">
            <v>-0.23155667878237163</v>
          </cell>
          <cell r="BF131">
            <v>-0.21137457243898194</v>
          </cell>
          <cell r="BG131">
            <v>-0.16266805201347567</v>
          </cell>
          <cell r="BH131">
            <v>-0.17848788095392809</v>
          </cell>
          <cell r="BI131">
            <v>-0.18500159732885391</v>
          </cell>
        </row>
        <row r="132">
          <cell r="A132" t="str">
            <v>Sales (IMS)</v>
          </cell>
          <cell r="X132">
            <v>3.0975540000000001</v>
          </cell>
          <cell r="Y132">
            <v>3.0975540000000001</v>
          </cell>
          <cell r="Z132">
            <v>4.9595690000000001</v>
          </cell>
          <cell r="AA132">
            <v>4.8431009999999999</v>
          </cell>
          <cell r="AB132">
            <v>6.3316280000000003</v>
          </cell>
          <cell r="AC132">
            <v>16.134298000000001</v>
          </cell>
          <cell r="AD132">
            <v>4.946008</v>
          </cell>
          <cell r="AE132">
            <v>4.9886710000000001</v>
          </cell>
          <cell r="AF132">
            <v>6.5352699999999997</v>
          </cell>
          <cell r="AG132">
            <v>16.469949</v>
          </cell>
          <cell r="AH132">
            <v>5.3214110000000003</v>
          </cell>
          <cell r="AI132">
            <v>5.5051899999999998</v>
          </cell>
          <cell r="AJ132">
            <v>7.0043629999999997</v>
          </cell>
          <cell r="AK132">
            <v>17.830964000000002</v>
          </cell>
          <cell r="AL132">
            <v>5.2511979999999996</v>
          </cell>
          <cell r="AM132">
            <v>5.388846</v>
          </cell>
          <cell r="AN132">
            <v>6.5205789999999997</v>
          </cell>
          <cell r="AO132">
            <v>17.160623000000001</v>
          </cell>
          <cell r="AP132">
            <v>4.7680759999999998</v>
          </cell>
          <cell r="AQ132">
            <v>4.88605</v>
          </cell>
          <cell r="AR132">
            <v>5.7195580000000001</v>
          </cell>
          <cell r="AS132">
            <v>15.373684000000001</v>
          </cell>
          <cell r="AT132">
            <v>4.5673690000000002</v>
          </cell>
          <cell r="AU132">
            <v>4.587459</v>
          </cell>
          <cell r="AV132">
            <v>4.6912880000000001</v>
          </cell>
          <cell r="AW132">
            <v>13.846116</v>
          </cell>
          <cell r="AX132">
            <v>3.6518190000000001</v>
          </cell>
          <cell r="AY132">
            <v>3.5943459999999998</v>
          </cell>
          <cell r="AZ132">
            <v>4.4951749999999997</v>
          </cell>
          <cell r="BA132">
            <v>11.741339999999999</v>
          </cell>
          <cell r="BB132">
            <v>3.4961479999999998</v>
          </cell>
          <cell r="BC132">
            <v>3.0275629999999998</v>
          </cell>
          <cell r="BD132">
            <v>3.6442929999999998</v>
          </cell>
          <cell r="BE132">
            <v>10.168004</v>
          </cell>
          <cell r="BF132">
            <v>2.7609309999999998</v>
          </cell>
          <cell r="BG132">
            <v>2.605712</v>
          </cell>
        </row>
        <row r="133">
          <cell r="A133" t="str">
            <v xml:space="preserve">  % Change</v>
          </cell>
          <cell r="AN133">
            <v>1.1050735515829584</v>
          </cell>
          <cell r="AO133">
            <v>0</v>
          </cell>
          <cell r="AP133">
            <v>-3.8610814770396407E-2</v>
          </cell>
          <cell r="AQ133">
            <v>8.8680785306769483E-3</v>
          </cell>
          <cell r="AR133">
            <v>-9.6668660887847535E-2</v>
          </cell>
          <cell r="AS133">
            <v>-4.7142677047368298E-2</v>
          </cell>
          <cell r="AT133">
            <v>-7.6554465742877831E-2</v>
          </cell>
          <cell r="AU133">
            <v>-8.0424626117857834E-2</v>
          </cell>
          <cell r="AV133">
            <v>-0.28215850301517764</v>
          </cell>
          <cell r="AW133">
            <v>-0.15931032937624756</v>
          </cell>
          <cell r="AX133">
            <v>-0.31374986822104134</v>
          </cell>
          <cell r="AY133">
            <v>-0.34709864691318559</v>
          </cell>
          <cell r="AZ133">
            <v>-0.35823214759143696</v>
          </cell>
          <cell r="BA133">
            <v>-0.34151961722316315</v>
          </cell>
          <cell r="BB133">
            <v>-0.33421897250874943</v>
          </cell>
          <cell r="BC133">
            <v>-0.43817971417257062</v>
          </cell>
          <cell r="BD133">
            <v>-0.44110898740740667</v>
          </cell>
          <cell r="BE133">
            <v>-0.40748048599401088</v>
          </cell>
          <cell r="BF133">
            <v>-0.42095490927577495</v>
          </cell>
          <cell r="BG133">
            <v>-0.46670377912628813</v>
          </cell>
        </row>
        <row r="135">
          <cell r="A135" t="str">
            <v>MINOCYCLINE</v>
          </cell>
        </row>
        <row r="136">
          <cell r="A136" t="str">
            <v>TRx</v>
          </cell>
          <cell r="N136">
            <v>137818</v>
          </cell>
          <cell r="O136">
            <v>150050</v>
          </cell>
          <cell r="P136">
            <v>159950</v>
          </cell>
          <cell r="Q136">
            <v>447818</v>
          </cell>
          <cell r="R136">
            <v>173297</v>
          </cell>
          <cell r="S136">
            <v>155998</v>
          </cell>
          <cell r="T136">
            <v>169553</v>
          </cell>
          <cell r="U136">
            <v>498848</v>
          </cell>
          <cell r="V136">
            <v>161805</v>
          </cell>
          <cell r="W136">
            <v>155789</v>
          </cell>
          <cell r="X136">
            <v>152076</v>
          </cell>
          <cell r="Y136">
            <v>469670</v>
          </cell>
          <cell r="Z136">
            <v>161911</v>
          </cell>
          <cell r="AA136">
            <v>168654</v>
          </cell>
          <cell r="AB136">
            <v>162258</v>
          </cell>
          <cell r="AC136">
            <v>492823</v>
          </cell>
          <cell r="AD136">
            <v>171883</v>
          </cell>
          <cell r="AE136">
            <v>164092</v>
          </cell>
          <cell r="AF136">
            <v>165618</v>
          </cell>
          <cell r="AG136">
            <v>501593</v>
          </cell>
          <cell r="AH136">
            <v>171065</v>
          </cell>
          <cell r="AI136">
            <v>151004</v>
          </cell>
          <cell r="AJ136">
            <v>170094</v>
          </cell>
          <cell r="AK136">
            <v>492163</v>
          </cell>
          <cell r="AL136">
            <v>163550</v>
          </cell>
          <cell r="AM136">
            <v>162421</v>
          </cell>
          <cell r="AN136">
            <v>155739</v>
          </cell>
          <cell r="AO136">
            <v>481710</v>
          </cell>
          <cell r="AP136">
            <v>156021</v>
          </cell>
          <cell r="AQ136">
            <v>198024</v>
          </cell>
          <cell r="AR136">
            <v>219166</v>
          </cell>
          <cell r="AS136">
            <v>573211</v>
          </cell>
          <cell r="AT136">
            <v>233327</v>
          </cell>
          <cell r="AU136">
            <v>216920</v>
          </cell>
          <cell r="AV136">
            <v>230446</v>
          </cell>
          <cell r="AW136">
            <v>680693</v>
          </cell>
          <cell r="AX136">
            <v>225910</v>
          </cell>
          <cell r="AY136">
            <v>207862</v>
          </cell>
          <cell r="AZ136">
            <v>232214</v>
          </cell>
          <cell r="BA136">
            <v>665986</v>
          </cell>
          <cell r="BB136">
            <v>212833</v>
          </cell>
          <cell r="BC136">
            <v>210246</v>
          </cell>
          <cell r="BD136">
            <v>212148</v>
          </cell>
          <cell r="BE136">
            <v>635227</v>
          </cell>
          <cell r="BF136">
            <v>205545</v>
          </cell>
          <cell r="BG136">
            <v>220171</v>
          </cell>
          <cell r="BH136">
            <v>207872</v>
          </cell>
          <cell r="BI136">
            <v>633588</v>
          </cell>
        </row>
        <row r="137">
          <cell r="A137" t="str">
            <v xml:space="preserve">  % Change</v>
          </cell>
          <cell r="AE137">
            <v>9.3582139286904287E-2</v>
          </cell>
          <cell r="AF137">
            <v>3.5436073773054133E-2</v>
          </cell>
          <cell r="AG137">
            <v>0.12008226556324231</v>
          </cell>
          <cell r="AH137">
            <v>-1.2879622844019223E-2</v>
          </cell>
          <cell r="AI137">
            <v>-3.2013230938858217E-2</v>
          </cell>
          <cell r="AJ137">
            <v>3.1907427176163239E-3</v>
          </cell>
          <cell r="AK137">
            <v>-1.3400875617422536E-2</v>
          </cell>
          <cell r="AL137">
            <v>1.0784586384845918E-2</v>
          </cell>
          <cell r="AM137">
            <v>4.2570399707296369E-2</v>
          </cell>
          <cell r="AN137">
            <v>2.4086640890081279E-2</v>
          </cell>
          <cell r="AO137">
            <v>2.5635020333425684E-2</v>
          </cell>
          <cell r="AP137">
            <v>-3.6378010141373984E-2</v>
          </cell>
          <cell r="AQ137">
            <v>0.17414351275392215</v>
          </cell>
          <cell r="AR137">
            <v>0.35072538796238084</v>
          </cell>
          <cell r="AS137">
            <v>0.16311738697260481</v>
          </cell>
          <cell r="AT137">
            <v>0.35747572476626543</v>
          </cell>
          <cell r="AU137">
            <v>0.3219413499744046</v>
          </cell>
          <cell r="AV137">
            <v>0.39143088311656937</v>
          </cell>
          <cell r="AW137">
            <v>0.35706239919616101</v>
          </cell>
          <cell r="AX137">
            <v>0.32060912518633278</v>
          </cell>
          <cell r="AY137">
            <v>0.37653307197160335</v>
          </cell>
          <cell r="AZ137">
            <v>0.36520982515550227</v>
          </cell>
          <cell r="BA137">
            <v>0.35318177107990656</v>
          </cell>
          <cell r="BB137">
            <v>0.30133292571079173</v>
          </cell>
          <cell r="BC137">
            <v>0.29445084071640992</v>
          </cell>
          <cell r="BD137">
            <v>0.36220214589794453</v>
          </cell>
          <cell r="BE137">
            <v>0.31869174399534983</v>
          </cell>
          <cell r="BF137">
            <v>0.31741880900648001</v>
          </cell>
          <cell r="BG137">
            <v>0.11183997899244535</v>
          </cell>
          <cell r="BH137">
            <v>-5.1531715685827151E-2</v>
          </cell>
          <cell r="BI137">
            <v>0.10533119566791282</v>
          </cell>
        </row>
        <row r="138">
          <cell r="A138" t="str">
            <v>NRx</v>
          </cell>
          <cell r="N138">
            <v>70061</v>
          </cell>
          <cell r="O138">
            <v>77077</v>
          </cell>
          <cell r="P138">
            <v>77496</v>
          </cell>
          <cell r="Q138">
            <v>224634</v>
          </cell>
          <cell r="R138">
            <v>87565</v>
          </cell>
          <cell r="S138">
            <v>76880</v>
          </cell>
          <cell r="T138">
            <v>81623</v>
          </cell>
          <cell r="U138">
            <v>246068</v>
          </cell>
          <cell r="V138">
            <v>77806</v>
          </cell>
          <cell r="W138">
            <v>74521</v>
          </cell>
          <cell r="X138">
            <v>74137</v>
          </cell>
          <cell r="Y138">
            <v>226464</v>
          </cell>
          <cell r="Z138">
            <v>77036</v>
          </cell>
          <cell r="AA138">
            <v>82139</v>
          </cell>
          <cell r="AB138">
            <v>77497</v>
          </cell>
          <cell r="AC138">
            <v>236672</v>
          </cell>
          <cell r="AD138">
            <v>82971</v>
          </cell>
          <cell r="AE138">
            <v>77586</v>
          </cell>
          <cell r="AF138">
            <v>75926</v>
          </cell>
          <cell r="AG138">
            <v>236483</v>
          </cell>
          <cell r="AH138">
            <v>83168</v>
          </cell>
          <cell r="AI138">
            <v>71293</v>
          </cell>
          <cell r="AJ138">
            <v>80014</v>
          </cell>
          <cell r="AK138">
            <v>234475</v>
          </cell>
          <cell r="AL138">
            <v>76422</v>
          </cell>
          <cell r="AM138">
            <v>75288</v>
          </cell>
          <cell r="AN138">
            <v>73774</v>
          </cell>
          <cell r="AO138">
            <v>225484</v>
          </cell>
          <cell r="AP138">
            <v>73649</v>
          </cell>
          <cell r="AQ138">
            <v>114964</v>
          </cell>
          <cell r="AR138">
            <v>127693</v>
          </cell>
          <cell r="AS138">
            <v>316306</v>
          </cell>
          <cell r="AT138">
            <v>126682</v>
          </cell>
          <cell r="AU138">
            <v>108479</v>
          </cell>
          <cell r="AV138">
            <v>112442</v>
          </cell>
          <cell r="AW138">
            <v>347603</v>
          </cell>
          <cell r="AX138">
            <v>111197</v>
          </cell>
          <cell r="AY138">
            <v>101273</v>
          </cell>
          <cell r="AZ138">
            <v>114011</v>
          </cell>
          <cell r="BA138">
            <v>326481</v>
          </cell>
          <cell r="BB138">
            <v>102034</v>
          </cell>
          <cell r="BC138">
            <v>100496</v>
          </cell>
          <cell r="BD138">
            <v>104668</v>
          </cell>
          <cell r="BE138">
            <v>307198</v>
          </cell>
          <cell r="BF138">
            <v>101672</v>
          </cell>
          <cell r="BG138">
            <v>112720</v>
          </cell>
          <cell r="BH138">
            <v>104548</v>
          </cell>
          <cell r="BI138">
            <v>318940</v>
          </cell>
        </row>
        <row r="139">
          <cell r="A139" t="str">
            <v xml:space="preserve">  % Change</v>
          </cell>
          <cell r="AE139">
            <v>6.6037858245651115E-3</v>
          </cell>
          <cell r="AF139">
            <v>-2.0259110147620496E-2</v>
          </cell>
          <cell r="AG139">
            <v>5.2748025677324062E-2</v>
          </cell>
          <cell r="AH139">
            <v>-5.0214126648775226E-2</v>
          </cell>
          <cell r="AI139">
            <v>-7.2671696149843923E-2</v>
          </cell>
          <cell r="AJ139">
            <v>-1.9712581012704788E-2</v>
          </cell>
          <cell r="AK139">
            <v>-4.7112993156363303E-2</v>
          </cell>
          <cell r="AL139">
            <v>-1.7787831272652488E-2</v>
          </cell>
          <cell r="AM139">
            <v>1.029240079977467E-2</v>
          </cell>
          <cell r="AN139">
            <v>-4.8963405586953668E-3</v>
          </cell>
          <cell r="AO139">
            <v>-4.3273986152324584E-3</v>
          </cell>
          <cell r="AP139">
            <v>-4.3966457240770529E-2</v>
          </cell>
          <cell r="AQ139">
            <v>0.39962746076772304</v>
          </cell>
          <cell r="AR139">
            <v>0.64771539543466194</v>
          </cell>
          <cell r="AS139">
            <v>0.33647410762574359</v>
          </cell>
          <cell r="AT139">
            <v>0.52682262477251096</v>
          </cell>
          <cell r="AU139">
            <v>0.39817750625112769</v>
          </cell>
          <cell r="AV139">
            <v>0.48094196981271242</v>
          </cell>
          <cell r="AW139">
            <v>0.46988578460185293</v>
          </cell>
          <cell r="AX139">
            <v>0.33701664101577533</v>
          </cell>
          <cell r="AY139">
            <v>0.42051814343624194</v>
          </cell>
          <cell r="AZ139">
            <v>0.42488814457469948</v>
          </cell>
          <cell r="BA139">
            <v>0.39239151295447283</v>
          </cell>
          <cell r="BB139">
            <v>0.33513909607181169</v>
          </cell>
          <cell r="BC139">
            <v>0.33482095420252889</v>
          </cell>
          <cell r="BD139">
            <v>0.4187654187111991</v>
          </cell>
          <cell r="BE139">
            <v>0.36239378403789191</v>
          </cell>
          <cell r="BF139">
            <v>0.38049396461594864</v>
          </cell>
          <cell r="BG139">
            <v>-1.9519153822066038E-2</v>
          </cell>
          <cell r="BH139">
            <v>-0.18125504138832982</v>
          </cell>
          <cell r="BI139">
            <v>8.3273791834488353E-3</v>
          </cell>
        </row>
        <row r="140">
          <cell r="A140" t="str">
            <v>Sales (IMS)</v>
          </cell>
          <cell r="N140">
            <v>1.8846449999999999</v>
          </cell>
          <cell r="O140">
            <v>2.2225190000000001</v>
          </cell>
          <cell r="P140">
            <v>2.541785</v>
          </cell>
          <cell r="Q140">
            <v>6.648949</v>
          </cell>
          <cell r="R140">
            <v>2.266492</v>
          </cell>
          <cell r="S140">
            <v>1.8679490000000001</v>
          </cell>
          <cell r="T140">
            <v>2.7856890000000001</v>
          </cell>
          <cell r="U140">
            <v>6.9201300000000003</v>
          </cell>
          <cell r="V140">
            <v>1.5826549999999999</v>
          </cell>
          <cell r="W140">
            <v>1.775814</v>
          </cell>
          <cell r="X140">
            <v>2.521223</v>
          </cell>
          <cell r="Y140">
            <v>5.8796920000000004</v>
          </cell>
          <cell r="Z140">
            <v>1.817601</v>
          </cell>
          <cell r="AA140">
            <v>1.9169529999999999</v>
          </cell>
          <cell r="AB140">
            <v>2.6578780000000002</v>
          </cell>
          <cell r="AC140">
            <v>6.3924320000000003</v>
          </cell>
          <cell r="AD140">
            <v>2.1399620000000001</v>
          </cell>
          <cell r="AE140">
            <v>2.425278</v>
          </cell>
          <cell r="AF140">
            <v>2.9326989999999999</v>
          </cell>
          <cell r="AG140">
            <v>7.4979390000000006</v>
          </cell>
          <cell r="AH140">
            <v>2.2657050000000001</v>
          </cell>
          <cell r="AI140">
            <v>2.3387319999999998</v>
          </cell>
          <cell r="AJ140">
            <v>3.2060369999999998</v>
          </cell>
          <cell r="AK140">
            <v>7.8104739999999993</v>
          </cell>
          <cell r="AL140">
            <v>2.8988529999999999</v>
          </cell>
          <cell r="AM140">
            <v>2.553172</v>
          </cell>
          <cell r="AN140">
            <v>3.0770979999999999</v>
          </cell>
          <cell r="AO140">
            <v>8.5291230000000002</v>
          </cell>
          <cell r="AP140">
            <v>2.0029159999999999</v>
          </cell>
          <cell r="AQ140">
            <v>4.7854359999999998</v>
          </cell>
          <cell r="AR140">
            <v>5.456499</v>
          </cell>
          <cell r="AS140">
            <v>12.244851000000001</v>
          </cell>
          <cell r="AT140">
            <v>4.5293950000000001</v>
          </cell>
          <cell r="AU140">
            <v>5.3288710000000004</v>
          </cell>
          <cell r="AV140">
            <v>5.8483520000000002</v>
          </cell>
          <cell r="AW140">
            <v>15.706618000000001</v>
          </cell>
          <cell r="AX140">
            <v>4.6502230000000004</v>
          </cell>
          <cell r="AY140">
            <v>4.771547</v>
          </cell>
          <cell r="AZ140">
            <v>6.0006570000000004</v>
          </cell>
          <cell r="BA140">
            <v>15.422427000000001</v>
          </cell>
          <cell r="BB140">
            <v>5.231344</v>
          </cell>
          <cell r="BC140">
            <v>3.9444300000000001</v>
          </cell>
          <cell r="BD140">
            <v>4.3440570000000003</v>
          </cell>
          <cell r="BE140">
            <v>13.519831</v>
          </cell>
          <cell r="BF140">
            <v>3.2391830000000001</v>
          </cell>
          <cell r="BG140">
            <v>3.7460680000000002</v>
          </cell>
        </row>
        <row r="141">
          <cell r="A141" t="str">
            <v xml:space="preserve">  % Change</v>
          </cell>
          <cell r="AE141">
            <v>9.1229366318128058E-2</v>
          </cell>
          <cell r="AF141">
            <v>0.1537950692131711</v>
          </cell>
          <cell r="AG141">
            <v>0.12768784961352542</v>
          </cell>
          <cell r="AH141">
            <v>-3.4723263969160811E-4</v>
          </cell>
          <cell r="AI141">
            <v>0.25203204156002101</v>
          </cell>
          <cell r="AJ141">
            <v>0.15089552351321323</v>
          </cell>
          <cell r="AK141">
            <v>0.12866001072234168</v>
          </cell>
          <cell r="AL141">
            <v>0.83163923912665738</v>
          </cell>
          <cell r="AM141">
            <v>0.43774742174574599</v>
          </cell>
          <cell r="AN141">
            <v>0.22047831548419161</v>
          </cell>
          <cell r="AO141">
            <v>0.45060710663075554</v>
          </cell>
          <cell r="AP141">
            <v>0.10195581978663082</v>
          </cell>
          <cell r="AQ141">
            <v>1.4963762804826199</v>
          </cell>
          <cell r="AR141">
            <v>1.0529531453287171</v>
          </cell>
          <cell r="AS141">
            <v>0.91552307478593442</v>
          </cell>
          <cell r="AT141">
            <v>1.1165773037091311</v>
          </cell>
          <cell r="AU141">
            <v>1.1972206897518554</v>
          </cell>
          <cell r="AV141">
            <v>0.99418760670631401</v>
          </cell>
          <cell r="AW141">
            <v>1.0947913820051083</v>
          </cell>
          <cell r="AX141">
            <v>1.0524397483344039</v>
          </cell>
          <cell r="AY141">
            <v>1.040228209132128</v>
          </cell>
          <cell r="AZ141">
            <v>0.87167428198738839</v>
          </cell>
          <cell r="BA141">
            <v>0.97458272058776485</v>
          </cell>
          <cell r="BB141">
            <v>0.80462548463133521</v>
          </cell>
          <cell r="BC141">
            <v>0.54491354284004379</v>
          </cell>
          <cell r="BD141">
            <v>0.41173826767948252</v>
          </cell>
          <cell r="BE141">
            <v>0.58513729957933536</v>
          </cell>
          <cell r="BF141">
            <v>0.61723357344991014</v>
          </cell>
          <cell r="BG141">
            <v>-0.2171940028035062</v>
          </cell>
        </row>
        <row r="143">
          <cell r="A143" t="str">
            <v>LISINOPRIL</v>
          </cell>
        </row>
        <row r="144">
          <cell r="A144" t="str">
            <v>Sales (IMS)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66</v>
          </cell>
          <cell r="Y144">
            <v>66</v>
          </cell>
          <cell r="Z144">
            <v>426179</v>
          </cell>
          <cell r="AA144">
            <v>570853</v>
          </cell>
          <cell r="AB144">
            <v>559765</v>
          </cell>
          <cell r="AC144">
            <v>1556797</v>
          </cell>
          <cell r="AD144">
            <v>621578</v>
          </cell>
          <cell r="AE144">
            <v>625430</v>
          </cell>
          <cell r="AF144">
            <v>664197</v>
          </cell>
          <cell r="AG144">
            <v>1911205</v>
          </cell>
          <cell r="AH144">
            <v>674497</v>
          </cell>
          <cell r="AI144">
            <v>679813</v>
          </cell>
          <cell r="AJ144">
            <v>828130</v>
          </cell>
          <cell r="AK144">
            <v>2182440</v>
          </cell>
          <cell r="AL144">
            <v>868543</v>
          </cell>
          <cell r="AM144">
            <v>894858</v>
          </cell>
          <cell r="AN144">
            <v>900965</v>
          </cell>
          <cell r="AO144">
            <v>2664366</v>
          </cell>
          <cell r="AP144">
            <v>1046284</v>
          </cell>
          <cell r="AQ144">
            <v>1095931</v>
          </cell>
          <cell r="AR144">
            <v>1123163</v>
          </cell>
          <cell r="AS144">
            <v>3265378</v>
          </cell>
          <cell r="AT144">
            <v>1198216</v>
          </cell>
          <cell r="AU144">
            <v>1144127</v>
          </cell>
          <cell r="AV144">
            <v>1253516</v>
          </cell>
          <cell r="AW144">
            <v>3595859</v>
          </cell>
          <cell r="AX144">
            <v>1245260</v>
          </cell>
          <cell r="AY144">
            <v>1192423</v>
          </cell>
          <cell r="AZ144">
            <v>1332373</v>
          </cell>
          <cell r="BA144">
            <v>3770056</v>
          </cell>
          <cell r="BB144">
            <v>1289212</v>
          </cell>
          <cell r="BC144">
            <v>1288409</v>
          </cell>
          <cell r="BD144">
            <v>1340027</v>
          </cell>
          <cell r="BE144">
            <v>3917648</v>
          </cell>
          <cell r="BF144">
            <v>1341892</v>
          </cell>
          <cell r="BG144">
            <v>1373413</v>
          </cell>
          <cell r="BH144">
            <v>1351651</v>
          </cell>
          <cell r="BI144">
            <v>4066956</v>
          </cell>
        </row>
        <row r="145">
          <cell r="A145" t="str">
            <v xml:space="preserve">  % Change</v>
          </cell>
          <cell r="AO145">
            <v>0</v>
          </cell>
          <cell r="AP145">
            <v>1.4550341523162804</v>
          </cell>
          <cell r="AQ145">
            <v>0.91981298162574254</v>
          </cell>
          <cell r="AR145">
            <v>1.0064902235759647</v>
          </cell>
          <cell r="AS145">
            <v>1.0974976185077439</v>
          </cell>
          <cell r="AT145">
            <v>0.92770014382748434</v>
          </cell>
          <cell r="AU145">
            <v>0.8293446109076954</v>
          </cell>
          <cell r="AV145">
            <v>0.88726537458013199</v>
          </cell>
          <cell r="AW145">
            <v>0.88146169563181354</v>
          </cell>
          <cell r="AX145">
            <v>0.84620539453844867</v>
          </cell>
          <cell r="AY145">
            <v>0.75404559783352187</v>
          </cell>
          <cell r="AZ145">
            <v>0.60889353120886813</v>
          </cell>
          <cell r="BA145">
            <v>0.7274500100804604</v>
          </cell>
          <cell r="BB145">
            <v>0.48433871437568432</v>
          </cell>
          <cell r="BC145">
            <v>0.43979156469518066</v>
          </cell>
          <cell r="BD145">
            <v>0.48732414688694892</v>
          </cell>
          <cell r="BE145">
            <v>0.47038657601846001</v>
          </cell>
          <cell r="BF145">
            <v>0.2825313203680837</v>
          </cell>
          <cell r="BG145">
            <v>0.25319294736621201</v>
          </cell>
          <cell r="BH145">
            <v>0.20343262732123479</v>
          </cell>
          <cell r="BI145">
            <v>0.24547785891863061</v>
          </cell>
        </row>
        <row r="146">
          <cell r="A146" t="str">
            <v>NRx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61</v>
          </cell>
          <cell r="Y146">
            <v>61</v>
          </cell>
          <cell r="Z146">
            <v>365812</v>
          </cell>
          <cell r="AA146">
            <v>311213</v>
          </cell>
          <cell r="AB146">
            <v>227697</v>
          </cell>
          <cell r="AC146">
            <v>904722</v>
          </cell>
          <cell r="AD146">
            <v>232790</v>
          </cell>
          <cell r="AE146">
            <v>221113</v>
          </cell>
          <cell r="AF146">
            <v>233459</v>
          </cell>
          <cell r="AG146">
            <v>687362</v>
          </cell>
          <cell r="AH146">
            <v>326607</v>
          </cell>
          <cell r="AI146">
            <v>329860</v>
          </cell>
          <cell r="AJ146">
            <v>323289</v>
          </cell>
          <cell r="AK146">
            <v>979756</v>
          </cell>
          <cell r="AL146">
            <v>305409</v>
          </cell>
          <cell r="AM146">
            <v>301341</v>
          </cell>
          <cell r="AN146">
            <v>297191</v>
          </cell>
          <cell r="AO146">
            <v>903941</v>
          </cell>
          <cell r="AP146">
            <v>328872</v>
          </cell>
          <cell r="AQ146">
            <v>326246</v>
          </cell>
          <cell r="AR146">
            <v>339075</v>
          </cell>
          <cell r="AS146">
            <v>994193</v>
          </cell>
          <cell r="AT146">
            <v>372802</v>
          </cell>
          <cell r="AU146">
            <v>345206</v>
          </cell>
          <cell r="AV146">
            <v>382715</v>
          </cell>
          <cell r="AW146">
            <v>1100723</v>
          </cell>
          <cell r="AX146">
            <v>399421</v>
          </cell>
          <cell r="AY146">
            <v>378165</v>
          </cell>
          <cell r="AZ146">
            <v>412115</v>
          </cell>
          <cell r="BA146">
            <v>1189701</v>
          </cell>
          <cell r="BB146">
            <v>391736</v>
          </cell>
          <cell r="BC146">
            <v>395194</v>
          </cell>
          <cell r="BD146">
            <v>413277</v>
          </cell>
          <cell r="BE146">
            <v>1200207</v>
          </cell>
          <cell r="BF146">
            <v>409018</v>
          </cell>
          <cell r="BG146">
            <v>422427</v>
          </cell>
          <cell r="BH146">
            <v>426225</v>
          </cell>
          <cell r="BI146">
            <v>1257670</v>
          </cell>
        </row>
        <row r="147">
          <cell r="A147" t="str">
            <v xml:space="preserve">  % Change</v>
          </cell>
          <cell r="AO147">
            <v>0</v>
          </cell>
          <cell r="AP147">
            <v>-0.10098083168403438</v>
          </cell>
          <cell r="AQ147">
            <v>4.8304537406856474E-2</v>
          </cell>
          <cell r="AR147">
            <v>0.48915005467792727</v>
          </cell>
          <cell r="AS147">
            <v>9.8893361717743211E-2</v>
          </cell>
          <cell r="AT147">
            <v>0.60145195240345384</v>
          </cell>
          <cell r="AU147">
            <v>0.56121982877533205</v>
          </cell>
          <cell r="AV147">
            <v>0.63932424965411494</v>
          </cell>
          <cell r="AW147">
            <v>0.60137307561372322</v>
          </cell>
          <cell r="AX147">
            <v>0.22294072080512661</v>
          </cell>
          <cell r="AY147">
            <v>0.14644091432729045</v>
          </cell>
          <cell r="AZ147">
            <v>0.27475726053159866</v>
          </cell>
          <cell r="BA147">
            <v>0.2142829439166487</v>
          </cell>
          <cell r="BB147">
            <v>0.2826603014318505</v>
          </cell>
          <cell r="BC147">
            <v>0.31145114670755047</v>
          </cell>
          <cell r="BD147">
            <v>0.39061075200796802</v>
          </cell>
          <cell r="BE147">
            <v>0.32774926682161776</v>
          </cell>
          <cell r="BF147">
            <v>0.24369967646987267</v>
          </cell>
          <cell r="BG147">
            <v>0.29481127737964608</v>
          </cell>
          <cell r="BH147">
            <v>0.25702278257022781</v>
          </cell>
          <cell r="BI147">
            <v>0.26501594760775826</v>
          </cell>
        </row>
        <row r="148">
          <cell r="A148" t="str">
            <v>Sales (IMS)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0.52118200000000003</v>
          </cell>
          <cell r="Y148">
            <v>0.52118200000000003</v>
          </cell>
          <cell r="Z148">
            <v>1.9452799999999999</v>
          </cell>
          <cell r="AA148">
            <v>1.9544699999999999</v>
          </cell>
          <cell r="AB148">
            <v>2.0326390000000001</v>
          </cell>
          <cell r="AC148">
            <v>5.9323890000000006</v>
          </cell>
          <cell r="AD148">
            <v>1.6775249999999999</v>
          </cell>
          <cell r="AE148">
            <v>2.192294</v>
          </cell>
          <cell r="AF148">
            <v>2.704987</v>
          </cell>
          <cell r="AG148">
            <v>6.5748059999999997</v>
          </cell>
          <cell r="AH148">
            <v>2.9486150000000002</v>
          </cell>
          <cell r="AI148">
            <v>3.4012229999999999</v>
          </cell>
          <cell r="AJ148">
            <v>4.7505800000000002</v>
          </cell>
          <cell r="AK148">
            <v>11.100418000000001</v>
          </cell>
          <cell r="AL148">
            <v>3.325736</v>
          </cell>
          <cell r="AM148">
            <v>3.2345600000000001</v>
          </cell>
          <cell r="AN148">
            <v>4.4505039999999996</v>
          </cell>
          <cell r="AO148">
            <v>11.0108</v>
          </cell>
          <cell r="AP148">
            <v>4.9088789999999998</v>
          </cell>
          <cell r="AQ148">
            <v>4.7374150000000004</v>
          </cell>
          <cell r="AR148">
            <v>5.9761790000000001</v>
          </cell>
          <cell r="AS148">
            <v>15.622473000000001</v>
          </cell>
          <cell r="AT148">
            <v>5.3517950000000001</v>
          </cell>
          <cell r="AU148">
            <v>5.4276369999999998</v>
          </cell>
          <cell r="AV148">
            <v>6.2380199999999997</v>
          </cell>
          <cell r="AW148">
            <v>17.017451999999999</v>
          </cell>
          <cell r="AX148">
            <v>5.1563569999999999</v>
          </cell>
          <cell r="AY148">
            <v>5.0736600000000003</v>
          </cell>
          <cell r="AZ148">
            <v>6.4231959999999999</v>
          </cell>
          <cell r="BA148">
            <v>16.653213000000001</v>
          </cell>
          <cell r="BB148">
            <v>5.049417</v>
          </cell>
          <cell r="BC148">
            <v>5.1971109999999996</v>
          </cell>
          <cell r="BD148">
            <v>6.4464740000000003</v>
          </cell>
          <cell r="BE148">
            <v>16.693002</v>
          </cell>
          <cell r="BF148">
            <v>5.1849189999999998</v>
          </cell>
          <cell r="BG148">
            <v>5.3544020000000003</v>
          </cell>
        </row>
        <row r="149">
          <cell r="A149" t="str">
            <v xml:space="preserve">  % Change</v>
          </cell>
          <cell r="AO149">
            <v>0</v>
          </cell>
          <cell r="AP149">
            <v>1.5234819666063499</v>
          </cell>
          <cell r="AQ149">
            <v>1.4238872942536855</v>
          </cell>
          <cell r="AR149">
            <v>1.940108400950685</v>
          </cell>
          <cell r="AS149">
            <v>1.6334201954726839</v>
          </cell>
          <cell r="AT149">
            <v>2.1902922460171981</v>
          </cell>
          <cell r="AU149">
            <v>1.4757797083785293</v>
          </cell>
          <cell r="AV149">
            <v>1.3061182918808849</v>
          </cell>
          <cell r="AW149">
            <v>1.5882819964573858</v>
          </cell>
          <cell r="AX149">
            <v>0.74873864509269583</v>
          </cell>
          <cell r="AY149">
            <v>0.49171636202624769</v>
          </cell>
          <cell r="AZ149">
            <v>0.35208669257227521</v>
          </cell>
          <cell r="BA149">
            <v>0.50023296420008689</v>
          </cell>
          <cell r="BB149">
            <v>0.51828557648592666</v>
          </cell>
          <cell r="BC149">
            <v>0.60674434853581305</v>
          </cell>
          <cell r="BD149">
            <v>0.44848178992761278</v>
          </cell>
          <cell r="BE149">
            <v>0.51605714389508495</v>
          </cell>
          <cell r="BF149">
            <v>5.6232797752806762E-2</v>
          </cell>
          <cell r="BG149">
            <v>0.13023705966228416</v>
          </cell>
        </row>
        <row r="151">
          <cell r="A151" t="str">
            <v>FOSINOPRIL</v>
          </cell>
        </row>
        <row r="152">
          <cell r="A152" t="str">
            <v>Sales (IMS)</v>
          </cell>
          <cell r="AC152">
            <v>0</v>
          </cell>
          <cell r="AG152">
            <v>0</v>
          </cell>
          <cell r="AK152">
            <v>0</v>
          </cell>
          <cell r="AU152">
            <v>16</v>
          </cell>
          <cell r="AV152">
            <v>98841</v>
          </cell>
          <cell r="AW152">
            <v>98857</v>
          </cell>
          <cell r="AX152">
            <v>170890</v>
          </cell>
          <cell r="AY152">
            <v>174620</v>
          </cell>
          <cell r="AZ152">
            <v>203638</v>
          </cell>
          <cell r="BA152">
            <v>549148</v>
          </cell>
          <cell r="BB152">
            <v>200064</v>
          </cell>
          <cell r="BC152">
            <v>201373</v>
          </cell>
          <cell r="BD152">
            <v>209255</v>
          </cell>
          <cell r="BE152">
            <v>610692</v>
          </cell>
          <cell r="BF152">
            <v>209086</v>
          </cell>
          <cell r="BG152">
            <v>208272</v>
          </cell>
          <cell r="BH152">
            <v>201228</v>
          </cell>
          <cell r="BI152">
            <v>618586</v>
          </cell>
        </row>
        <row r="153">
          <cell r="A153" t="str">
            <v xml:space="preserve">  % Change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0</v>
          </cell>
        </row>
        <row r="154">
          <cell r="A154" t="str">
            <v>NRx</v>
          </cell>
          <cell r="AC154">
            <v>0</v>
          </cell>
          <cell r="AG154">
            <v>0</v>
          </cell>
          <cell r="AK154">
            <v>0</v>
          </cell>
          <cell r="AU154">
            <v>14</v>
          </cell>
          <cell r="AV154">
            <v>61406</v>
          </cell>
          <cell r="AW154">
            <v>61420</v>
          </cell>
          <cell r="AX154">
            <v>83792</v>
          </cell>
          <cell r="AY154">
            <v>71447</v>
          </cell>
          <cell r="AZ154">
            <v>73535</v>
          </cell>
          <cell r="BA154">
            <v>228774</v>
          </cell>
          <cell r="BB154">
            <v>66635</v>
          </cell>
          <cell r="BC154">
            <v>63210</v>
          </cell>
          <cell r="BD154">
            <v>64406</v>
          </cell>
          <cell r="BE154">
            <v>194251</v>
          </cell>
          <cell r="BF154">
            <v>63500</v>
          </cell>
          <cell r="BG154">
            <v>62880</v>
          </cell>
          <cell r="BH154">
            <v>61029</v>
          </cell>
          <cell r="BI154">
            <v>187409</v>
          </cell>
        </row>
        <row r="155">
          <cell r="A155" t="str">
            <v xml:space="preserve">  % Change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</row>
        <row r="156">
          <cell r="A156" t="str">
            <v>Sales (IMS)</v>
          </cell>
          <cell r="AC156">
            <v>0</v>
          </cell>
          <cell r="AG156">
            <v>0</v>
          </cell>
          <cell r="AK156">
            <v>0</v>
          </cell>
          <cell r="AV156">
            <v>7.9078290000000004</v>
          </cell>
          <cell r="AW156">
            <v>7.9078290000000004</v>
          </cell>
          <cell r="AX156">
            <v>4.1179100000000002</v>
          </cell>
          <cell r="AY156">
            <v>4.0053999999999998</v>
          </cell>
          <cell r="AZ156">
            <v>5.5083270000000004</v>
          </cell>
          <cell r="BA156">
            <v>13.631637000000001</v>
          </cell>
          <cell r="BB156">
            <v>4.2578560000000003</v>
          </cell>
          <cell r="BC156">
            <v>3.8550740000000001</v>
          </cell>
          <cell r="BD156">
            <v>4.2870699999999999</v>
          </cell>
          <cell r="BE156">
            <v>12.4</v>
          </cell>
          <cell r="BF156">
            <v>3.0151750000000002</v>
          </cell>
          <cell r="BG156">
            <v>2.9741430000000002</v>
          </cell>
        </row>
        <row r="157">
          <cell r="A157" t="str">
            <v xml:space="preserve">  % Change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9">
          <cell r="A159" t="str">
            <v>METFORMIN HCL</v>
          </cell>
        </row>
        <row r="160">
          <cell r="A160" t="str">
            <v>TRx</v>
          </cell>
          <cell r="R160">
            <v>57</v>
          </cell>
          <cell r="S160">
            <v>139473</v>
          </cell>
          <cell r="T160">
            <v>225625</v>
          </cell>
          <cell r="U160">
            <v>365155</v>
          </cell>
          <cell r="V160">
            <v>247006</v>
          </cell>
          <cell r="W160">
            <v>262369</v>
          </cell>
          <cell r="X160">
            <v>258810</v>
          </cell>
          <cell r="Y160">
            <v>768185</v>
          </cell>
          <cell r="Z160">
            <v>288510</v>
          </cell>
          <cell r="AA160">
            <v>289261</v>
          </cell>
          <cell r="AB160">
            <v>278600</v>
          </cell>
          <cell r="AC160">
            <v>856371</v>
          </cell>
          <cell r="AD160">
            <v>301936</v>
          </cell>
          <cell r="AE160">
            <v>297052</v>
          </cell>
          <cell r="AF160">
            <v>319314</v>
          </cell>
          <cell r="AG160">
            <v>918302</v>
          </cell>
          <cell r="AH160">
            <v>317191</v>
          </cell>
          <cell r="AI160">
            <v>297658</v>
          </cell>
          <cell r="AJ160">
            <v>324158</v>
          </cell>
          <cell r="AK160">
            <v>939007</v>
          </cell>
          <cell r="AL160">
            <v>315544</v>
          </cell>
          <cell r="AM160">
            <v>359604</v>
          </cell>
          <cell r="AN160">
            <v>386782</v>
          </cell>
          <cell r="AO160">
            <v>1061930</v>
          </cell>
          <cell r="AP160">
            <v>405453</v>
          </cell>
          <cell r="AQ160">
            <v>412874</v>
          </cell>
          <cell r="AR160">
            <v>426464</v>
          </cell>
          <cell r="AS160">
            <v>1244791</v>
          </cell>
          <cell r="AT160">
            <v>448920</v>
          </cell>
          <cell r="AU160">
            <v>424502</v>
          </cell>
          <cell r="AV160">
            <v>468083</v>
          </cell>
          <cell r="AW160">
            <v>1341505</v>
          </cell>
          <cell r="AX160">
            <v>453465</v>
          </cell>
          <cell r="AY160">
            <v>420869</v>
          </cell>
          <cell r="AZ160">
            <v>474618</v>
          </cell>
          <cell r="BA160">
            <v>1348952</v>
          </cell>
          <cell r="BB160">
            <v>461196</v>
          </cell>
          <cell r="BC160">
            <v>457380</v>
          </cell>
          <cell r="BD160">
            <v>477147</v>
          </cell>
          <cell r="BE160">
            <v>1395723</v>
          </cell>
          <cell r="BF160">
            <v>473517</v>
          </cell>
          <cell r="BG160">
            <v>475782</v>
          </cell>
          <cell r="BH160">
            <v>464114</v>
          </cell>
          <cell r="BI160">
            <v>1413413</v>
          </cell>
        </row>
        <row r="161">
          <cell r="A161" t="str">
            <v xml:space="preserve">  % Change</v>
          </cell>
          <cell r="AI161">
            <v>1.1341621675879918</v>
          </cell>
          <cell r="AJ161">
            <v>0.4367113573407202</v>
          </cell>
          <cell r="AK161">
            <v>1.5715298982623818</v>
          </cell>
          <cell r="AL161">
            <v>0.27747504109211918</v>
          </cell>
          <cell r="AM161">
            <v>0.37060399666119093</v>
          </cell>
          <cell r="AN161">
            <v>0.49446311966307332</v>
          </cell>
          <cell r="AO161">
            <v>0.38238835697130247</v>
          </cell>
          <cell r="AP161">
            <v>0.40533430383695546</v>
          </cell>
          <cell r="AQ161">
            <v>0.42734070614427799</v>
          </cell>
          <cell r="AR161">
            <v>0.53073941134242641</v>
          </cell>
          <cell r="AS161">
            <v>0.45356510204105471</v>
          </cell>
          <cell r="AT161">
            <v>0.48680515076042608</v>
          </cell>
          <cell r="AU161">
            <v>0.42904945935391781</v>
          </cell>
          <cell r="AV161">
            <v>0.46590190220284744</v>
          </cell>
          <cell r="AW161">
            <v>0.46085383675522862</v>
          </cell>
          <cell r="AX161">
            <v>0.42962757455287193</v>
          </cell>
          <cell r="AY161">
            <v>0.41393478421544194</v>
          </cell>
          <cell r="AZ161">
            <v>0.46415636819082051</v>
          </cell>
          <cell r="BA161">
            <v>0.43657289029794244</v>
          </cell>
          <cell r="BB161">
            <v>0.46159014273762144</v>
          </cell>
          <cell r="BC161">
            <v>0.27189908899789761</v>
          </cell>
          <cell r="BD161">
            <v>0.23363289915249408</v>
          </cell>
          <cell r="BE161">
            <v>0.31432674470068656</v>
          </cell>
          <cell r="BF161">
            <v>0.16787149188685246</v>
          </cell>
          <cell r="BG161">
            <v>0.15236609716281491</v>
          </cell>
          <cell r="BH161">
            <v>8.8284122458167635E-2</v>
          </cell>
          <cell r="BI161">
            <v>0.13546209765334094</v>
          </cell>
        </row>
        <row r="162">
          <cell r="A162" t="str">
            <v>NRx</v>
          </cell>
          <cell r="R162">
            <v>56</v>
          </cell>
          <cell r="S162">
            <v>71830</v>
          </cell>
          <cell r="T162">
            <v>88490</v>
          </cell>
          <cell r="U162">
            <v>160376</v>
          </cell>
          <cell r="V162">
            <v>83777</v>
          </cell>
          <cell r="W162">
            <v>81792</v>
          </cell>
          <cell r="X162">
            <v>76904</v>
          </cell>
          <cell r="Y162">
            <v>242473</v>
          </cell>
          <cell r="Z162">
            <v>84783</v>
          </cell>
          <cell r="AA162">
            <v>85343</v>
          </cell>
          <cell r="AB162">
            <v>81656</v>
          </cell>
          <cell r="AC162">
            <v>251782</v>
          </cell>
          <cell r="AD162">
            <v>89166</v>
          </cell>
          <cell r="AE162">
            <v>84328</v>
          </cell>
          <cell r="AF162">
            <v>88013</v>
          </cell>
          <cell r="AG162">
            <v>261507</v>
          </cell>
          <cell r="AH162">
            <v>96362</v>
          </cell>
          <cell r="AI162">
            <v>90941</v>
          </cell>
          <cell r="AJ162">
            <v>98544</v>
          </cell>
          <cell r="AK162">
            <v>285847</v>
          </cell>
          <cell r="AL162">
            <v>94337</v>
          </cell>
          <cell r="AM162">
            <v>115124</v>
          </cell>
          <cell r="AN162">
            <v>129522</v>
          </cell>
          <cell r="AO162">
            <v>338983</v>
          </cell>
          <cell r="AP162">
            <v>119734</v>
          </cell>
          <cell r="AQ162">
            <v>114344</v>
          </cell>
          <cell r="AR162">
            <v>120500</v>
          </cell>
          <cell r="AS162">
            <v>354578</v>
          </cell>
          <cell r="AT162">
            <v>131261</v>
          </cell>
          <cell r="AU162">
            <v>117825</v>
          </cell>
          <cell r="AV162">
            <v>131632</v>
          </cell>
          <cell r="AW162">
            <v>380718</v>
          </cell>
          <cell r="AX162">
            <v>129544</v>
          </cell>
          <cell r="AY162">
            <v>122485</v>
          </cell>
          <cell r="AZ162">
            <v>139137</v>
          </cell>
          <cell r="BA162">
            <v>391166</v>
          </cell>
          <cell r="BB162">
            <v>134912</v>
          </cell>
          <cell r="BC162">
            <v>139156</v>
          </cell>
          <cell r="BD162">
            <v>145902</v>
          </cell>
          <cell r="BE162">
            <v>419970</v>
          </cell>
          <cell r="BF162">
            <v>141125</v>
          </cell>
          <cell r="BG162">
            <v>142439</v>
          </cell>
          <cell r="BH162">
            <v>139912</v>
          </cell>
          <cell r="BI162">
            <v>423476</v>
          </cell>
        </row>
        <row r="163">
          <cell r="A163" t="str">
            <v xml:space="preserve">  % Change</v>
          </cell>
          <cell r="AI163">
            <v>0.2660587498259781</v>
          </cell>
          <cell r="AJ163">
            <v>0.11361735789354732</v>
          </cell>
          <cell r="AK163">
            <v>0.78235521524417617</v>
          </cell>
          <cell r="AL163">
            <v>0.12604891557348674</v>
          </cell>
          <cell r="AM163">
            <v>0.40752151799687009</v>
          </cell>
          <cell r="AN163">
            <v>0.68420368251326336</v>
          </cell>
          <cell r="AO163">
            <v>0.39802369748384359</v>
          </cell>
          <cell r="AP163">
            <v>0.41224066145335736</v>
          </cell>
          <cell r="AQ163">
            <v>0.33981697385843002</v>
          </cell>
          <cell r="AR163">
            <v>0.47570294895659848</v>
          </cell>
          <cell r="AS163">
            <v>0.40827382418123626</v>
          </cell>
          <cell r="AT163">
            <v>0.47209698764102903</v>
          </cell>
          <cell r="AU163">
            <v>0.39722274926477574</v>
          </cell>
          <cell r="AV163">
            <v>0.49559724131662364</v>
          </cell>
          <cell r="AW163">
            <v>0.4558616021750852</v>
          </cell>
          <cell r="AX163">
            <v>0.34434735684190865</v>
          </cell>
          <cell r="AY163">
            <v>0.34686225134977633</v>
          </cell>
          <cell r="AZ163">
            <v>0.41192766682903059</v>
          </cell>
          <cell r="BA163">
            <v>0.36844535713161242</v>
          </cell>
          <cell r="BB163">
            <v>0.43010695697340395</v>
          </cell>
          <cell r="BC163">
            <v>0.20874882735137756</v>
          </cell>
          <cell r="BD163">
            <v>0.12646500208458789</v>
          </cell>
          <cell r="BE163">
            <v>0.23891168583675282</v>
          </cell>
          <cell r="BF163">
            <v>0.17865435047689049</v>
          </cell>
          <cell r="BG163">
            <v>0.24570593997061496</v>
          </cell>
          <cell r="BH163">
            <v>0.16109543568464724</v>
          </cell>
          <cell r="BI163">
            <v>0.19430985565940362</v>
          </cell>
        </row>
        <row r="164">
          <cell r="A164" t="str">
            <v>Sales (IMS)</v>
          </cell>
          <cell r="S164">
            <v>5.790591</v>
          </cell>
          <cell r="T164">
            <v>5.9046890000000003</v>
          </cell>
          <cell r="U164">
            <v>11.69528</v>
          </cell>
          <cell r="V164">
            <v>3.5494880000000002</v>
          </cell>
          <cell r="W164">
            <v>4.5804510000000001</v>
          </cell>
          <cell r="X164">
            <v>4.7953020000000004</v>
          </cell>
          <cell r="Y164">
            <v>12.925241</v>
          </cell>
          <cell r="Z164">
            <v>3.407829</v>
          </cell>
          <cell r="AA164">
            <v>2.9127610000000002</v>
          </cell>
          <cell r="AB164">
            <v>4.9622770000000003</v>
          </cell>
          <cell r="AC164">
            <v>11.282867</v>
          </cell>
          <cell r="AD164">
            <v>2.9873850000000002</v>
          </cell>
          <cell r="AE164">
            <v>4.256691</v>
          </cell>
          <cell r="AF164">
            <v>5.6400860000000002</v>
          </cell>
          <cell r="AG164">
            <v>12.884162</v>
          </cell>
          <cell r="AH164">
            <v>4.4180989999999998</v>
          </cell>
          <cell r="AI164">
            <v>3.483406</v>
          </cell>
          <cell r="AJ164">
            <v>3.8228710000000001</v>
          </cell>
          <cell r="AK164">
            <v>11.724375999999999</v>
          </cell>
          <cell r="AL164">
            <v>3.6433260000000001</v>
          </cell>
          <cell r="AM164">
            <v>4.5460929999999999</v>
          </cell>
          <cell r="AN164">
            <v>5.9100970000000004</v>
          </cell>
          <cell r="AO164">
            <v>14.099516000000001</v>
          </cell>
          <cell r="AP164">
            <v>4.4860360000000004</v>
          </cell>
          <cell r="AQ164">
            <v>4.3317399999999999</v>
          </cell>
          <cell r="AR164">
            <v>5.2822849999999999</v>
          </cell>
          <cell r="AS164">
            <v>14.100061</v>
          </cell>
          <cell r="AT164">
            <v>5.2822849999999999</v>
          </cell>
          <cell r="AU164">
            <v>4.9324899999999996</v>
          </cell>
          <cell r="AV164">
            <v>4.7320960000000003</v>
          </cell>
          <cell r="AW164">
            <v>14.946871</v>
          </cell>
          <cell r="AX164">
            <v>4.8058490000000003</v>
          </cell>
          <cell r="AY164">
            <v>4.6236300000000004</v>
          </cell>
          <cell r="AZ164">
            <v>5.8396330000000001</v>
          </cell>
          <cell r="BA164">
            <v>15.269112</v>
          </cell>
          <cell r="BB164">
            <v>4.6921929999999996</v>
          </cell>
          <cell r="BC164">
            <v>4.8137230000000004</v>
          </cell>
          <cell r="BD164">
            <v>6.1386969999999996</v>
          </cell>
          <cell r="BE164">
            <v>15.644613</v>
          </cell>
          <cell r="BF164">
            <v>4.7045839999999997</v>
          </cell>
          <cell r="BG164">
            <v>5.0033180000000002</v>
          </cell>
        </row>
        <row r="165">
          <cell r="A165" t="str">
            <v xml:space="preserve">  % Change</v>
          </cell>
          <cell r="AI165">
            <v>-0.39843687803196604</v>
          </cell>
          <cell r="AJ165">
            <v>-0.35257030471884299</v>
          </cell>
          <cell r="AK165">
            <v>2.4878412487772117E-3</v>
          </cell>
          <cell r="AL165">
            <v>2.6437052329800759E-2</v>
          </cell>
          <cell r="AM165">
            <v>-7.5010080885048458E-3</v>
          </cell>
          <cell r="AN165">
            <v>0.2324764947025233</v>
          </cell>
          <cell r="AO165">
            <v>9.0851304049185844E-2</v>
          </cell>
          <cell r="AP165">
            <v>0.31639116868833517</v>
          </cell>
          <cell r="AQ165">
            <v>0.48715943395287131</v>
          </cell>
          <cell r="AR165">
            <v>6.4488137199918416E-2</v>
          </cell>
          <cell r="AS165">
            <v>0.2496877788243006</v>
          </cell>
          <cell r="AT165">
            <v>0.76819693477740558</v>
          </cell>
          <cell r="AU165">
            <v>0.15876158264717821</v>
          </cell>
          <cell r="AV165">
            <v>-0.16098867995984456</v>
          </cell>
          <cell r="AW165">
            <v>0.16009648124573417</v>
          </cell>
          <cell r="AX165">
            <v>8.7763990802379066E-2</v>
          </cell>
          <cell r="AY165">
            <v>0.32733020497754217</v>
          </cell>
          <cell r="AZ165">
            <v>0.52755167516769452</v>
          </cell>
          <cell r="BA165">
            <v>0.3023389901518001</v>
          </cell>
          <cell r="BB165">
            <v>0.28788722173091275</v>
          </cell>
          <cell r="BC165">
            <v>5.8870331073297644E-2</v>
          </cell>
          <cell r="BD165">
            <v>3.8679568203364489E-2</v>
          </cell>
          <cell r="BE165">
            <v>0.10958510916261233</v>
          </cell>
          <cell r="BF165">
            <v>4.8717397720392741E-2</v>
          </cell>
          <cell r="BG165">
            <v>0.15503654420625446</v>
          </cell>
        </row>
        <row r="166">
          <cell r="A166" t="str">
            <v>Product</v>
          </cell>
          <cell r="B166">
            <v>36892</v>
          </cell>
          <cell r="C166">
            <v>36923</v>
          </cell>
          <cell r="D166">
            <v>36951</v>
          </cell>
          <cell r="E166" t="str">
            <v>Q1:01</v>
          </cell>
          <cell r="F166">
            <v>36982</v>
          </cell>
          <cell r="G166">
            <v>37012</v>
          </cell>
          <cell r="H166">
            <v>37043</v>
          </cell>
          <cell r="I166" t="str">
            <v>Q2:01</v>
          </cell>
          <cell r="J166">
            <v>37073</v>
          </cell>
          <cell r="K166">
            <v>37104</v>
          </cell>
          <cell r="L166">
            <v>37135</v>
          </cell>
          <cell r="M166" t="str">
            <v>Q3:01</v>
          </cell>
          <cell r="N166">
            <v>37165</v>
          </cell>
          <cell r="O166">
            <v>37196</v>
          </cell>
          <cell r="P166">
            <v>37226</v>
          </cell>
          <cell r="Q166" t="str">
            <v>Q4:01</v>
          </cell>
          <cell r="R166">
            <v>37257</v>
          </cell>
          <cell r="S166">
            <v>37288</v>
          </cell>
          <cell r="T166">
            <v>37316</v>
          </cell>
          <cell r="U166" t="str">
            <v>Q1:02</v>
          </cell>
          <cell r="V166">
            <v>37347</v>
          </cell>
          <cell r="W166">
            <v>37377</v>
          </cell>
          <cell r="X166">
            <v>37408</v>
          </cell>
          <cell r="Y166" t="str">
            <v>Q2:02</v>
          </cell>
          <cell r="Z166">
            <v>37438</v>
          </cell>
          <cell r="AA166">
            <v>37469</v>
          </cell>
          <cell r="AB166">
            <v>37500</v>
          </cell>
          <cell r="AC166" t="str">
            <v>Q3:02</v>
          </cell>
          <cell r="AD166">
            <v>37530</v>
          </cell>
          <cell r="AE166">
            <v>37561</v>
          </cell>
          <cell r="AF166">
            <v>37591</v>
          </cell>
          <cell r="AG166" t="str">
            <v>Q4:02</v>
          </cell>
          <cell r="AH166">
            <v>37622</v>
          </cell>
          <cell r="AI166">
            <v>37653</v>
          </cell>
          <cell r="AJ166">
            <v>37681</v>
          </cell>
          <cell r="AK166" t="str">
            <v>Q1:03</v>
          </cell>
          <cell r="AL166" t="str">
            <v>Apr-03</v>
          </cell>
          <cell r="AM166">
            <v>37744</v>
          </cell>
          <cell r="AN166">
            <v>37775</v>
          </cell>
          <cell r="AO166" t="str">
            <v>Q2:03</v>
          </cell>
          <cell r="AP166">
            <v>37805</v>
          </cell>
          <cell r="AQ166">
            <v>37836</v>
          </cell>
          <cell r="AR166">
            <v>37867</v>
          </cell>
          <cell r="AS166" t="str">
            <v>Q3:03</v>
          </cell>
          <cell r="AT166">
            <v>37897</v>
          </cell>
          <cell r="AU166">
            <v>37928</v>
          </cell>
          <cell r="AV166">
            <v>37958</v>
          </cell>
          <cell r="AW166" t="str">
            <v>Q4:03</v>
          </cell>
          <cell r="AX166">
            <v>37987</v>
          </cell>
          <cell r="AY166">
            <v>38018</v>
          </cell>
          <cell r="AZ166">
            <v>38047</v>
          </cell>
          <cell r="BA166" t="str">
            <v>Q1:04</v>
          </cell>
          <cell r="BB166">
            <v>38078</v>
          </cell>
          <cell r="BC166">
            <v>38108</v>
          </cell>
          <cell r="BD166">
            <v>38139</v>
          </cell>
          <cell r="BE166" t="str">
            <v>Q2:04</v>
          </cell>
          <cell r="BF166">
            <v>38169</v>
          </cell>
          <cell r="BG166">
            <v>38200</v>
          </cell>
          <cell r="BH166">
            <v>38231</v>
          </cell>
          <cell r="BI166" t="str">
            <v>Q3:04E</v>
          </cell>
        </row>
        <row r="167">
          <cell r="A167" t="str">
            <v>METFORMIN ER (Teva/Impax)</v>
          </cell>
        </row>
        <row r="168">
          <cell r="A168" t="str">
            <v>TRx</v>
          </cell>
          <cell r="BD168">
            <v>0</v>
          </cell>
          <cell r="BE168">
            <v>0</v>
          </cell>
          <cell r="BF168">
            <v>10780</v>
          </cell>
          <cell r="BG168">
            <v>26938</v>
          </cell>
          <cell r="BH168">
            <v>31655</v>
          </cell>
          <cell r="BI168">
            <v>69373</v>
          </cell>
        </row>
        <row r="169">
          <cell r="A169" t="str">
            <v xml:space="preserve">  % Change</v>
          </cell>
        </row>
        <row r="170">
          <cell r="A170" t="str">
            <v>NRx</v>
          </cell>
          <cell r="BD170">
            <v>0</v>
          </cell>
          <cell r="BE170">
            <v>0</v>
          </cell>
          <cell r="BF170">
            <v>5417</v>
          </cell>
          <cell r="BG170">
            <v>12520</v>
          </cell>
          <cell r="BH170">
            <v>13303</v>
          </cell>
          <cell r="BI170">
            <v>31240</v>
          </cell>
        </row>
        <row r="171">
          <cell r="A171" t="str">
            <v xml:space="preserve">  % Change</v>
          </cell>
        </row>
        <row r="172">
          <cell r="A172" t="str">
            <v>Sales (IMS)</v>
          </cell>
          <cell r="BD172">
            <v>1.244E-2</v>
          </cell>
          <cell r="BE172">
            <v>1.244E-2</v>
          </cell>
          <cell r="BF172">
            <v>0.739541</v>
          </cell>
          <cell r="BG172">
            <v>0.39633400000000002</v>
          </cell>
        </row>
        <row r="173">
          <cell r="A173" t="str">
            <v xml:space="preserve">  % Change</v>
          </cell>
        </row>
        <row r="175">
          <cell r="A175" t="str">
            <v>CARBOPLATIN</v>
          </cell>
        </row>
        <row r="176">
          <cell r="A176" t="str">
            <v>TRx</v>
          </cell>
          <cell r="BD176">
            <v>0</v>
          </cell>
          <cell r="BE176">
            <v>0</v>
          </cell>
          <cell r="BF176">
            <v>43</v>
          </cell>
          <cell r="BG176">
            <v>90</v>
          </cell>
          <cell r="BH176">
            <v>105</v>
          </cell>
          <cell r="BI176">
            <v>238</v>
          </cell>
        </row>
        <row r="177">
          <cell r="A177" t="str">
            <v xml:space="preserve">  % Change</v>
          </cell>
        </row>
        <row r="178">
          <cell r="A178" t="str">
            <v>NRx</v>
          </cell>
          <cell r="BD178">
            <v>0</v>
          </cell>
          <cell r="BE178">
            <v>0</v>
          </cell>
          <cell r="BF178">
            <v>39</v>
          </cell>
          <cell r="BG178">
            <v>79</v>
          </cell>
          <cell r="BH178">
            <v>89</v>
          </cell>
          <cell r="BI178">
            <v>207</v>
          </cell>
        </row>
        <row r="179">
          <cell r="A179" t="str">
            <v xml:space="preserve">  % Change</v>
          </cell>
        </row>
        <row r="180">
          <cell r="A180" t="str">
            <v>Sales (IMS)</v>
          </cell>
          <cell r="BD180">
            <v>1.6395599999999999</v>
          </cell>
          <cell r="BE180">
            <v>1.6395599999999999</v>
          </cell>
          <cell r="BF180">
            <v>14.456607</v>
          </cell>
          <cell r="BG180">
            <v>16.352387</v>
          </cell>
        </row>
        <row r="181">
          <cell r="A181" t="str">
            <v xml:space="preserve">  % Change</v>
          </cell>
        </row>
        <row r="183">
          <cell r="A183" t="str">
            <v>FLUCONAZOLE (TABS)</v>
          </cell>
        </row>
        <row r="184">
          <cell r="A184" t="str">
            <v>TRx</v>
          </cell>
          <cell r="BF184">
            <v>9</v>
          </cell>
          <cell r="BG184">
            <v>144369</v>
          </cell>
          <cell r="BH184">
            <v>204788</v>
          </cell>
          <cell r="BI184">
            <v>349166</v>
          </cell>
        </row>
        <row r="185">
          <cell r="A185" t="str">
            <v xml:space="preserve">  % Change</v>
          </cell>
        </row>
        <row r="186">
          <cell r="A186" t="str">
            <v>NRx</v>
          </cell>
          <cell r="BF186">
            <v>7</v>
          </cell>
          <cell r="BG186">
            <v>124858</v>
          </cell>
          <cell r="BH186">
            <v>171007</v>
          </cell>
          <cell r="BI186">
            <v>295872</v>
          </cell>
        </row>
        <row r="187">
          <cell r="A187" t="str">
            <v xml:space="preserve">  % Change</v>
          </cell>
        </row>
        <row r="188">
          <cell r="A188" t="str">
            <v>Sales (IMS)</v>
          </cell>
          <cell r="BF188">
            <v>4.3130000000000002E-2</v>
          </cell>
          <cell r="BG188">
            <v>16.24935</v>
          </cell>
        </row>
        <row r="189">
          <cell r="A189" t="str">
            <v xml:space="preserve">  % Change</v>
          </cell>
        </row>
        <row r="191">
          <cell r="A191" t="str">
            <v>FLUCONAZOLE (IV)</v>
          </cell>
        </row>
        <row r="192">
          <cell r="A192" t="str">
            <v>Sales (IMS)</v>
          </cell>
          <cell r="BF192">
            <v>4.313E-3</v>
          </cell>
          <cell r="BG192">
            <v>1.624935</v>
          </cell>
        </row>
        <row r="195">
          <cell r="A195" t="str">
            <v>TRx TEVA Products</v>
          </cell>
          <cell r="B195">
            <v>16461357</v>
          </cell>
          <cell r="C195">
            <v>14750449</v>
          </cell>
          <cell r="D195">
            <v>15771148</v>
          </cell>
          <cell r="E195">
            <v>46982954</v>
          </cell>
          <cell r="F195">
            <v>14468595</v>
          </cell>
          <cell r="G195">
            <v>14765314</v>
          </cell>
          <cell r="H195">
            <v>13791716</v>
          </cell>
          <cell r="I195">
            <v>43025625</v>
          </cell>
          <cell r="J195">
            <v>13730898</v>
          </cell>
          <cell r="K195">
            <v>14292752</v>
          </cell>
          <cell r="L195">
            <v>13598926</v>
          </cell>
          <cell r="M195">
            <v>41622576</v>
          </cell>
          <cell r="N195">
            <v>15676657</v>
          </cell>
          <cell r="O195">
            <v>14974278</v>
          </cell>
          <cell r="P195">
            <v>14960369</v>
          </cell>
          <cell r="Q195">
            <v>45611304</v>
          </cell>
          <cell r="R195">
            <v>16105554</v>
          </cell>
          <cell r="S195">
            <v>15053110</v>
          </cell>
          <cell r="T195">
            <v>15726330</v>
          </cell>
          <cell r="U195">
            <v>46884994</v>
          </cell>
          <cell r="V195">
            <v>15358459</v>
          </cell>
          <cell r="W195">
            <v>15146915</v>
          </cell>
          <cell r="X195">
            <v>13715154</v>
          </cell>
          <cell r="Y195">
            <v>44220528</v>
          </cell>
          <cell r="Z195">
            <v>15268618</v>
          </cell>
          <cell r="AA195">
            <v>15479945</v>
          </cell>
          <cell r="AB195">
            <v>15233049</v>
          </cell>
          <cell r="AC195">
            <v>45981612</v>
          </cell>
          <cell r="AD195">
            <v>16389419</v>
          </cell>
          <cell r="AE195">
            <v>15990876</v>
          </cell>
          <cell r="AF195">
            <v>16886864</v>
          </cell>
          <cell r="AG195">
            <v>49267159</v>
          </cell>
          <cell r="AH195">
            <v>17255545</v>
          </cell>
          <cell r="AI195">
            <v>16192852</v>
          </cell>
          <cell r="AJ195">
            <v>17302978</v>
          </cell>
          <cell r="AK195">
            <v>50751375</v>
          </cell>
          <cell r="AL195">
            <v>16774542</v>
          </cell>
          <cell r="AM195">
            <v>16968495</v>
          </cell>
          <cell r="AN195">
            <v>16356467</v>
          </cell>
          <cell r="AO195">
            <v>50099504</v>
          </cell>
          <cell r="AP195">
            <v>16776893</v>
          </cell>
          <cell r="AQ195">
            <v>16567403</v>
          </cell>
          <cell r="AR195">
            <v>17316040</v>
          </cell>
          <cell r="AS195">
            <v>50660336</v>
          </cell>
          <cell r="AT195">
            <v>18158287</v>
          </cell>
          <cell r="AU195">
            <v>16952556</v>
          </cell>
          <cell r="AV195">
            <v>19576257</v>
          </cell>
          <cell r="AW195">
            <v>54687100</v>
          </cell>
          <cell r="AX195">
            <v>18153188</v>
          </cell>
          <cell r="AY195">
            <v>17315268</v>
          </cell>
          <cell r="AZ195">
            <v>19167035</v>
          </cell>
          <cell r="BA195">
            <v>54635491</v>
          </cell>
          <cell r="BB195">
            <v>18023233</v>
          </cell>
          <cell r="BC195">
            <v>17453749</v>
          </cell>
          <cell r="BD195">
            <v>17991292</v>
          </cell>
          <cell r="BE195">
            <v>53468274</v>
          </cell>
          <cell r="BF195">
            <v>17708565</v>
          </cell>
          <cell r="BG195">
            <v>18289505</v>
          </cell>
          <cell r="BH195">
            <v>18242272</v>
          </cell>
          <cell r="BI195">
            <v>54240342</v>
          </cell>
        </row>
        <row r="196">
          <cell r="A196" t="str">
            <v xml:space="preserve">  % Change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-2.1614439198420876E-2</v>
          </cell>
          <cell r="S196">
            <v>2.0518765225383984E-2</v>
          </cell>
          <cell r="T196">
            <v>-2.8417715691970713E-3</v>
          </cell>
          <cell r="U196">
            <v>-2.08501151289886E-3</v>
          </cell>
          <cell r="V196">
            <v>6.1503138348955044E-2</v>
          </cell>
          <cell r="W196">
            <v>2.58444215950977E-2</v>
          </cell>
          <cell r="X196">
            <v>-5.5513034056096089E-3</v>
          </cell>
          <cell r="Y196">
            <v>2.7771891750555611E-2</v>
          </cell>
          <cell r="Z196">
            <v>0.11198976206800171</v>
          </cell>
          <cell r="AA196">
            <v>8.3062590045639872E-2</v>
          </cell>
          <cell r="AB196">
            <v>0.12016559248870085</v>
          </cell>
          <cell r="AC196">
            <v>0.10472768432208523</v>
          </cell>
          <cell r="AD196">
            <v>4.5466453721606515E-2</v>
          </cell>
          <cell r="AE196">
            <v>6.7889617115429512E-2</v>
          </cell>
          <cell r="AF196">
            <v>0.12877322745180941</v>
          </cell>
          <cell r="AG196">
            <v>8.01523894164482E-2</v>
          </cell>
          <cell r="AH196">
            <v>7.1403380473593181E-2</v>
          </cell>
          <cell r="AI196">
            <v>7.571471941678487E-2</v>
          </cell>
          <cell r="AJ196">
            <v>0.10025530432084273</v>
          </cell>
          <cell r="AK196">
            <v>8.2465212643516583E-2</v>
          </cell>
          <cell r="AL196">
            <v>9.2202153874942683E-2</v>
          </cell>
          <cell r="AM196">
            <v>0.12026079237917431</v>
          </cell>
          <cell r="AN196">
            <v>0.19258354663753674</v>
          </cell>
          <cell r="AO196">
            <v>0.13294676173925368</v>
          </cell>
          <cell r="AP196">
            <v>9.8782679611213009E-2</v>
          </cell>
          <cell r="AQ196">
            <v>7.0249474400587264E-2</v>
          </cell>
          <cell r="AR196">
            <v>0.13674156762707179</v>
          </cell>
          <cell r="AS196">
            <v>0.10175206558656535</v>
          </cell>
          <cell r="AT196">
            <v>0.10792743781826553</v>
          </cell>
          <cell r="AU196">
            <v>6.0139294432650203E-2</v>
          </cell>
          <cell r="AV196">
            <v>0.15925946937217006</v>
          </cell>
          <cell r="AW196">
            <v>0.11001123486742959</v>
          </cell>
          <cell r="AX196">
            <v>5.2020553393126612E-2</v>
          </cell>
          <cell r="AY196">
            <v>6.9315522676301811E-2</v>
          </cell>
          <cell r="AZ196">
            <v>0.10773041496093905</v>
          </cell>
          <cell r="BA196">
            <v>7.6532231885342972E-2</v>
          </cell>
          <cell r="BB196">
            <v>7.4439647890237381E-2</v>
          </cell>
          <cell r="BC196">
            <v>2.8597350560553458E-2</v>
          </cell>
          <cell r="BD196">
            <v>9.9949762989770319E-2</v>
          </cell>
          <cell r="BE196">
            <v>6.7241583868774324E-2</v>
          </cell>
          <cell r="BF196">
            <v>5.5533047746087361E-2</v>
          </cell>
          <cell r="BG196">
            <v>0.10394519889447973</v>
          </cell>
          <cell r="BH196">
            <v>5.3489827928325351E-2</v>
          </cell>
          <cell r="BI196">
            <v>7.0666842793936535E-2</v>
          </cell>
        </row>
        <row r="197">
          <cell r="A197" t="str">
            <v xml:space="preserve">TOTAL TEVA PRODUCTS REPORTED SALES </v>
          </cell>
          <cell r="E197">
            <v>267.39999999999998</v>
          </cell>
          <cell r="I197">
            <v>287</v>
          </cell>
          <cell r="M197">
            <v>280.8</v>
          </cell>
          <cell r="Q197">
            <v>323.2</v>
          </cell>
          <cell r="U197">
            <v>303.39999999999998</v>
          </cell>
          <cell r="Y197">
            <v>327</v>
          </cell>
          <cell r="AC197">
            <v>354</v>
          </cell>
          <cell r="AG197">
            <v>471.4</v>
          </cell>
          <cell r="AK197">
            <v>426.8</v>
          </cell>
          <cell r="AO197">
            <v>404.6</v>
          </cell>
          <cell r="AS197">
            <v>451.7</v>
          </cell>
          <cell r="AW197">
            <v>544</v>
          </cell>
          <cell r="BA197">
            <v>594</v>
          </cell>
          <cell r="BE197">
            <v>676.2</v>
          </cell>
          <cell r="BI197">
            <v>677.65108695652179</v>
          </cell>
        </row>
        <row r="198">
          <cell r="A198" t="str">
            <v xml:space="preserve">  % Change</v>
          </cell>
          <cell r="E198">
            <v>0</v>
          </cell>
          <cell r="I198">
            <v>0</v>
          </cell>
          <cell r="M198">
            <v>0</v>
          </cell>
          <cell r="Q198">
            <v>0</v>
          </cell>
          <cell r="U198">
            <v>0.13462976813762162</v>
          </cell>
          <cell r="Y198">
            <v>0.13937282229965153</v>
          </cell>
          <cell r="AC198">
            <v>0.26068376068376065</v>
          </cell>
          <cell r="AG198">
            <v>0.45853960396039595</v>
          </cell>
          <cell r="AK198">
            <v>0.40672379696769956</v>
          </cell>
          <cell r="AO198">
            <v>0.23730886850152921</v>
          </cell>
          <cell r="AS198">
            <v>0.27598870056497171</v>
          </cell>
          <cell r="AW198">
            <v>0.15400933389902427</v>
          </cell>
          <cell r="BA198">
            <v>0.39175257731958757</v>
          </cell>
          <cell r="BE198">
            <v>0.67128027681660907</v>
          </cell>
          <cell r="BI198">
            <v>0.50022379224379421</v>
          </cell>
        </row>
        <row r="199">
          <cell r="A199" t="str">
            <v>TOTAL TEVA PRODUCTS SALES (IMS)</v>
          </cell>
          <cell r="B199">
            <v>110.226238</v>
          </cell>
          <cell r="C199">
            <v>113.64788299999999</v>
          </cell>
          <cell r="D199">
            <v>148.53229899999999</v>
          </cell>
          <cell r="E199">
            <v>372.40642000000003</v>
          </cell>
          <cell r="F199">
            <v>117.095789</v>
          </cell>
          <cell r="G199">
            <v>124.230569</v>
          </cell>
          <cell r="H199">
            <v>157.452853</v>
          </cell>
          <cell r="I199">
            <v>398.77921100000003</v>
          </cell>
          <cell r="J199">
            <v>126.93902</v>
          </cell>
          <cell r="K199">
            <v>137.28053</v>
          </cell>
          <cell r="L199">
            <v>175.50986800000001</v>
          </cell>
          <cell r="M199">
            <v>439.72941800000001</v>
          </cell>
          <cell r="N199">
            <v>154.47622899999999</v>
          </cell>
          <cell r="O199">
            <v>190.41938500000001</v>
          </cell>
          <cell r="P199">
            <v>193.835982</v>
          </cell>
          <cell r="Q199">
            <v>538.73159600000008</v>
          </cell>
          <cell r="R199">
            <v>159.208956</v>
          </cell>
          <cell r="S199">
            <v>168.04802699999999</v>
          </cell>
          <cell r="T199">
            <v>203.97450599999999</v>
          </cell>
          <cell r="U199">
            <v>531.23148900000001</v>
          </cell>
          <cell r="V199">
            <v>149.952865</v>
          </cell>
          <cell r="W199">
            <v>152.208044</v>
          </cell>
          <cell r="X199">
            <v>198.01653400000001</v>
          </cell>
          <cell r="Y199">
            <v>500.17744300000004</v>
          </cell>
          <cell r="Z199">
            <v>168.58229800000001</v>
          </cell>
          <cell r="AA199">
            <v>178.27663100000001</v>
          </cell>
          <cell r="AB199">
            <v>230.89605</v>
          </cell>
          <cell r="AC199">
            <v>577.75497900000005</v>
          </cell>
          <cell r="AD199">
            <v>181.11581699999999</v>
          </cell>
          <cell r="AE199">
            <v>202.63315600000001</v>
          </cell>
          <cell r="AF199">
            <v>252.82760999999999</v>
          </cell>
          <cell r="AG199">
            <v>636.57658300000003</v>
          </cell>
          <cell r="AH199">
            <v>206.000563</v>
          </cell>
          <cell r="AI199">
            <v>227.55918500000001</v>
          </cell>
          <cell r="AJ199">
            <v>279.59325899999999</v>
          </cell>
          <cell r="AK199">
            <v>713.153007</v>
          </cell>
          <cell r="AL199">
            <v>187.792114</v>
          </cell>
          <cell r="AM199">
            <v>189.51758000000001</v>
          </cell>
          <cell r="AN199">
            <v>257.15669700000001</v>
          </cell>
          <cell r="AO199">
            <v>634.46639100000004</v>
          </cell>
          <cell r="AP199">
            <v>193.34307899999999</v>
          </cell>
          <cell r="AQ199">
            <v>198.23392200000001</v>
          </cell>
          <cell r="AR199">
            <v>246.10742400000001</v>
          </cell>
          <cell r="AS199">
            <v>637.68442500000003</v>
          </cell>
          <cell r="AT199">
            <v>209.755933</v>
          </cell>
          <cell r="AU199">
            <v>207.83285000000001</v>
          </cell>
          <cell r="AV199">
            <v>270.48590200000001</v>
          </cell>
          <cell r="AW199">
            <v>688.07468500000004</v>
          </cell>
          <cell r="AX199">
            <v>210.93597199999999</v>
          </cell>
          <cell r="AY199">
            <v>208.85433900000001</v>
          </cell>
          <cell r="AZ199">
            <v>276.76988</v>
          </cell>
          <cell r="BA199">
            <v>696.56019100000003</v>
          </cell>
          <cell r="BB199">
            <v>234.84348800000001</v>
          </cell>
          <cell r="BC199">
            <v>233.30645699999999</v>
          </cell>
          <cell r="BD199">
            <v>283.16089299999999</v>
          </cell>
          <cell r="BE199">
            <v>751.31083799999999</v>
          </cell>
          <cell r="BF199">
            <v>217.41101499999999</v>
          </cell>
          <cell r="BG199">
            <v>228.46732299999999</v>
          </cell>
        </row>
        <row r="200">
          <cell r="A200" t="str">
            <v xml:space="preserve">  % Change</v>
          </cell>
          <cell r="E200">
            <v>0</v>
          </cell>
          <cell r="I200">
            <v>0</v>
          </cell>
          <cell r="M200">
            <v>0</v>
          </cell>
          <cell r="Q200">
            <v>0</v>
          </cell>
          <cell r="U200">
            <v>0.42648316589171587</v>
          </cell>
          <cell r="Y200">
            <v>0.25427160996113218</v>
          </cell>
          <cell r="AC200">
            <v>0.31388748478047024</v>
          </cell>
          <cell r="AG200">
            <v>0.18162102933350122</v>
          </cell>
          <cell r="AK200">
            <v>0.34245243696387884</v>
          </cell>
          <cell r="AO200">
            <v>0.26848261527859418</v>
          </cell>
          <cell r="AP200">
            <v>0.14687651843493077</v>
          </cell>
          <cell r="AQ200">
            <v>0.11194563689056913</v>
          </cell>
          <cell r="AR200">
            <v>6.5879749783506414E-2</v>
          </cell>
          <cell r="AS200">
            <v>0.10372813420617866</v>
          </cell>
          <cell r="AT200">
            <v>0.15813150101628071</v>
          </cell>
          <cell r="AU200">
            <v>2.5660627819466875E-2</v>
          </cell>
          <cell r="AV200">
            <v>6.9843210557581248E-2</v>
          </cell>
          <cell r="AW200">
            <v>8.0898517751476939E-2</v>
          </cell>
          <cell r="AX200">
            <v>2.3958230638427835E-2</v>
          </cell>
          <cell r="AY200">
            <v>-8.2197719243896961E-2</v>
          </cell>
          <cell r="AZ200">
            <v>-1.0098165492609334E-2</v>
          </cell>
          <cell r="BA200">
            <v>-2.3266838724834815E-2</v>
          </cell>
          <cell r="BB200">
            <v>0.25055031863585087</v>
          </cell>
          <cell r="BC200">
            <v>0.23105443305048534</v>
          </cell>
          <cell r="BD200">
            <v>0.10112198633504765</v>
          </cell>
          <cell r="BE200">
            <v>0.18416175964157566</v>
          </cell>
          <cell r="BF200">
            <v>0.12448304911912578</v>
          </cell>
          <cell r="BG200">
            <v>0.15251376098990765</v>
          </cell>
        </row>
        <row r="202">
          <cell r="A202" t="str">
            <v>REPORTED SALES/TRx</v>
          </cell>
          <cell r="E202">
            <v>5.691425873307157</v>
          </cell>
          <cell r="I202">
            <v>6.6704434857134558</v>
          </cell>
          <cell r="M202">
            <v>6.7463388138206541</v>
          </cell>
          <cell r="Q202">
            <v>7.0859627253805328</v>
          </cell>
          <cell r="U202">
            <v>6.4711536488625754</v>
          </cell>
          <cell r="Y202">
            <v>7.394755666418094</v>
          </cell>
          <cell r="AC202">
            <v>7.6987296574117492</v>
          </cell>
          <cell r="AG202">
            <v>9.5682399709713302</v>
          </cell>
          <cell r="AK202">
            <v>8.409624369783085</v>
          </cell>
          <cell r="AO202">
            <v>8.0759282566949171</v>
          </cell>
          <cell r="AS202">
            <v>8.9162456403763279</v>
          </cell>
          <cell r="AW202">
            <v>9.9475013302954451</v>
          </cell>
          <cell r="BA202">
            <v>10.872053844999764</v>
          </cell>
          <cell r="BE202">
            <v>12.646751978565833</v>
          </cell>
          <cell r="BI202">
            <v>12.493488462084583</v>
          </cell>
        </row>
        <row r="203">
          <cell r="A203" t="str">
            <v>IMS SALES/REPORTED SALES</v>
          </cell>
          <cell r="E203">
            <v>1.3926941660433809</v>
          </cell>
          <cell r="I203">
            <v>1.3894746027874565</v>
          </cell>
          <cell r="M203">
            <v>1.5659879558404559</v>
          </cell>
          <cell r="Q203">
            <v>1.6668675618811883</v>
          </cell>
          <cell r="U203">
            <v>1.7509277818061966</v>
          </cell>
          <cell r="Y203">
            <v>1.5295946269113152</v>
          </cell>
          <cell r="AC203">
            <v>1.632076211864407</v>
          </cell>
          <cell r="AG203">
            <v>1.3503958061094612</v>
          </cell>
          <cell r="AK203">
            <v>1.670930194470478</v>
          </cell>
          <cell r="AO203">
            <v>1.5681324542758279</v>
          </cell>
          <cell r="AS203">
            <v>1.411743247730795</v>
          </cell>
          <cell r="AW203">
            <v>1.2648431709558825</v>
          </cell>
          <cell r="BA203">
            <v>1.1726602542087543</v>
          </cell>
          <cell r="BE203">
            <v>1.1110778438331854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drawing3.xml" Type="http://schemas.openxmlformats.org/officeDocument/2006/relationships/drawing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Relationship Id="rId2" Target="../drawings/drawing5.xml" Type="http://schemas.openxmlformats.org/officeDocument/2006/relationships/drawing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81"/>
  <sheetViews>
    <sheetView showGridLines="0" tabSelected="1" workbookViewId="0">
      <selection activeCell="Z1" sqref="Z1"/>
    </sheetView>
  </sheetViews>
  <sheetFormatPr defaultRowHeight="12.75"/>
  <cols>
    <col min="1" max="1" width="25.7109375" style="725" customWidth="1"/>
    <col min="2" max="5" width="9.140625" style="725"/>
    <col min="6" max="6" width="18.7109375" style="725" customWidth="1"/>
    <col min="7" max="256" width="9.140625" style="725"/>
    <col min="257" max="257" width="100.7109375" style="725" customWidth="1"/>
    <col min="258" max="512" width="9.140625" style="725"/>
    <col min="513" max="513" width="100.7109375" style="725" customWidth="1"/>
    <col min="514" max="768" width="9.140625" style="725"/>
    <col min="769" max="769" width="100.7109375" style="725" customWidth="1"/>
    <col min="770" max="1024" width="9.140625" style="725"/>
    <col min="1025" max="1025" width="100.7109375" style="725" customWidth="1"/>
    <col min="1026" max="1280" width="9.140625" style="725"/>
    <col min="1281" max="1281" width="100.7109375" style="725" customWidth="1"/>
    <col min="1282" max="1536" width="9.140625" style="725"/>
    <col min="1537" max="1537" width="100.7109375" style="725" customWidth="1"/>
    <col min="1538" max="1792" width="9.140625" style="725"/>
    <col min="1793" max="1793" width="100.7109375" style="725" customWidth="1"/>
    <col min="1794" max="2048" width="9.140625" style="725"/>
    <col min="2049" max="2049" width="100.7109375" style="725" customWidth="1"/>
    <col min="2050" max="2304" width="9.140625" style="725"/>
    <col min="2305" max="2305" width="100.7109375" style="725" customWidth="1"/>
    <col min="2306" max="2560" width="9.140625" style="725"/>
    <col min="2561" max="2561" width="100.7109375" style="725" customWidth="1"/>
    <col min="2562" max="2816" width="9.140625" style="725"/>
    <col min="2817" max="2817" width="100.7109375" style="725" customWidth="1"/>
    <col min="2818" max="3072" width="9.140625" style="725"/>
    <col min="3073" max="3073" width="100.7109375" style="725" customWidth="1"/>
    <col min="3074" max="3328" width="9.140625" style="725"/>
    <col min="3329" max="3329" width="100.7109375" style="725" customWidth="1"/>
    <col min="3330" max="3584" width="9.140625" style="725"/>
    <col min="3585" max="3585" width="100.7109375" style="725" customWidth="1"/>
    <col min="3586" max="3840" width="9.140625" style="725"/>
    <col min="3841" max="3841" width="100.7109375" style="725" customWidth="1"/>
    <col min="3842" max="4096" width="9.140625" style="725"/>
    <col min="4097" max="4097" width="100.7109375" style="725" customWidth="1"/>
    <col min="4098" max="4352" width="9.140625" style="725"/>
    <col min="4353" max="4353" width="100.7109375" style="725" customWidth="1"/>
    <col min="4354" max="4608" width="9.140625" style="725"/>
    <col min="4609" max="4609" width="100.7109375" style="725" customWidth="1"/>
    <col min="4610" max="4864" width="9.140625" style="725"/>
    <col min="4865" max="4865" width="100.7109375" style="725" customWidth="1"/>
    <col min="4866" max="5120" width="9.140625" style="725"/>
    <col min="5121" max="5121" width="100.7109375" style="725" customWidth="1"/>
    <col min="5122" max="5376" width="9.140625" style="725"/>
    <col min="5377" max="5377" width="100.7109375" style="725" customWidth="1"/>
    <col min="5378" max="5632" width="9.140625" style="725"/>
    <col min="5633" max="5633" width="100.7109375" style="725" customWidth="1"/>
    <col min="5634" max="5888" width="9.140625" style="725"/>
    <col min="5889" max="5889" width="100.7109375" style="725" customWidth="1"/>
    <col min="5890" max="6144" width="9.140625" style="725"/>
    <col min="6145" max="6145" width="100.7109375" style="725" customWidth="1"/>
    <col min="6146" max="6400" width="9.140625" style="725"/>
    <col min="6401" max="6401" width="100.7109375" style="725" customWidth="1"/>
    <col min="6402" max="6656" width="9.140625" style="725"/>
    <col min="6657" max="6657" width="100.7109375" style="725" customWidth="1"/>
    <col min="6658" max="6912" width="9.140625" style="725"/>
    <col min="6913" max="6913" width="100.7109375" style="725" customWidth="1"/>
    <col min="6914" max="7168" width="9.140625" style="725"/>
    <col min="7169" max="7169" width="100.7109375" style="725" customWidth="1"/>
    <col min="7170" max="7424" width="9.140625" style="725"/>
    <col min="7425" max="7425" width="100.7109375" style="725" customWidth="1"/>
    <col min="7426" max="7680" width="9.140625" style="725"/>
    <col min="7681" max="7681" width="100.7109375" style="725" customWidth="1"/>
    <col min="7682" max="7936" width="9.140625" style="725"/>
    <col min="7937" max="7937" width="100.7109375" style="725" customWidth="1"/>
    <col min="7938" max="8192" width="9.140625" style="725"/>
    <col min="8193" max="8193" width="100.7109375" style="725" customWidth="1"/>
    <col min="8194" max="8448" width="9.140625" style="725"/>
    <col min="8449" max="8449" width="100.7109375" style="725" customWidth="1"/>
    <col min="8450" max="8704" width="9.140625" style="725"/>
    <col min="8705" max="8705" width="100.7109375" style="725" customWidth="1"/>
    <col min="8706" max="8960" width="9.140625" style="725"/>
    <col min="8961" max="8961" width="100.7109375" style="725" customWidth="1"/>
    <col min="8962" max="9216" width="9.140625" style="725"/>
    <col min="9217" max="9217" width="100.7109375" style="725" customWidth="1"/>
    <col min="9218" max="9472" width="9.140625" style="725"/>
    <col min="9473" max="9473" width="100.7109375" style="725" customWidth="1"/>
    <col min="9474" max="9728" width="9.140625" style="725"/>
    <col min="9729" max="9729" width="100.7109375" style="725" customWidth="1"/>
    <col min="9730" max="9984" width="9.140625" style="725"/>
    <col min="9985" max="9985" width="100.7109375" style="725" customWidth="1"/>
    <col min="9986" max="10240" width="9.140625" style="725"/>
    <col min="10241" max="10241" width="100.7109375" style="725" customWidth="1"/>
    <col min="10242" max="10496" width="9.140625" style="725"/>
    <col min="10497" max="10497" width="100.7109375" style="725" customWidth="1"/>
    <col min="10498" max="10752" width="9.140625" style="725"/>
    <col min="10753" max="10753" width="100.7109375" style="725" customWidth="1"/>
    <col min="10754" max="11008" width="9.140625" style="725"/>
    <col min="11009" max="11009" width="100.7109375" style="725" customWidth="1"/>
    <col min="11010" max="11264" width="9.140625" style="725"/>
    <col min="11265" max="11265" width="100.7109375" style="725" customWidth="1"/>
    <col min="11266" max="11520" width="9.140625" style="725"/>
    <col min="11521" max="11521" width="100.7109375" style="725" customWidth="1"/>
    <col min="11522" max="11776" width="9.140625" style="725"/>
    <col min="11777" max="11777" width="100.7109375" style="725" customWidth="1"/>
    <col min="11778" max="12032" width="9.140625" style="725"/>
    <col min="12033" max="12033" width="100.7109375" style="725" customWidth="1"/>
    <col min="12034" max="12288" width="9.140625" style="725"/>
    <col min="12289" max="12289" width="100.7109375" style="725" customWidth="1"/>
    <col min="12290" max="12544" width="9.140625" style="725"/>
    <col min="12545" max="12545" width="100.7109375" style="725" customWidth="1"/>
    <col min="12546" max="12800" width="9.140625" style="725"/>
    <col min="12801" max="12801" width="100.7109375" style="725" customWidth="1"/>
    <col min="12802" max="13056" width="9.140625" style="725"/>
    <col min="13057" max="13057" width="100.7109375" style="725" customWidth="1"/>
    <col min="13058" max="13312" width="9.140625" style="725"/>
    <col min="13313" max="13313" width="100.7109375" style="725" customWidth="1"/>
    <col min="13314" max="13568" width="9.140625" style="725"/>
    <col min="13569" max="13569" width="100.7109375" style="725" customWidth="1"/>
    <col min="13570" max="13824" width="9.140625" style="725"/>
    <col min="13825" max="13825" width="100.7109375" style="725" customWidth="1"/>
    <col min="13826" max="14080" width="9.140625" style="725"/>
    <col min="14081" max="14081" width="100.7109375" style="725" customWidth="1"/>
    <col min="14082" max="14336" width="9.140625" style="725"/>
    <col min="14337" max="14337" width="100.7109375" style="725" customWidth="1"/>
    <col min="14338" max="14592" width="9.140625" style="725"/>
    <col min="14593" max="14593" width="100.7109375" style="725" customWidth="1"/>
    <col min="14594" max="14848" width="9.140625" style="725"/>
    <col min="14849" max="14849" width="100.7109375" style="725" customWidth="1"/>
    <col min="14850" max="15104" width="9.140625" style="725"/>
    <col min="15105" max="15105" width="100.7109375" style="725" customWidth="1"/>
    <col min="15106" max="15360" width="9.140625" style="725"/>
    <col min="15361" max="15361" width="100.7109375" style="725" customWidth="1"/>
    <col min="15362" max="15616" width="9.140625" style="725"/>
    <col min="15617" max="15617" width="100.7109375" style="725" customWidth="1"/>
    <col min="15618" max="15872" width="9.140625" style="725"/>
    <col min="15873" max="15873" width="100.7109375" style="725" customWidth="1"/>
    <col min="15874" max="16128" width="9.140625" style="725"/>
    <col min="16129" max="16129" width="100.7109375" style="725" customWidth="1"/>
    <col min="16130" max="16384" width="9.140625" style="725"/>
  </cols>
  <sheetData>
    <row r="1" spans="1:8" ht="30" customHeight="1">
      <c r="A1" s="723"/>
      <c r="B1" s="724"/>
      <c r="C1" s="724"/>
      <c r="D1" s="724"/>
      <c r="E1" s="724"/>
      <c r="F1" s="724"/>
      <c r="G1" s="724"/>
      <c r="H1" s="724"/>
    </row>
    <row r="2" spans="1:8" ht="14.25">
      <c r="A2" s="726" t="s">
        <v>535</v>
      </c>
      <c r="B2" s="724"/>
      <c r="C2" s="724"/>
      <c r="D2" s="724"/>
      <c r="E2" s="724"/>
      <c r="F2" s="724"/>
      <c r="G2" s="724"/>
      <c r="H2" s="724"/>
    </row>
    <row r="3" spans="1:8" ht="14.25">
      <c r="A3" s="726" t="s">
        <v>536</v>
      </c>
      <c r="B3" s="724"/>
      <c r="C3" s="724"/>
      <c r="D3" s="724"/>
      <c r="E3" s="724"/>
      <c r="F3" s="724"/>
      <c r="G3" s="724"/>
      <c r="H3" s="724"/>
    </row>
    <row r="4" spans="1:8" ht="14.25">
      <c r="A4" s="726" t="s">
        <v>69</v>
      </c>
      <c r="B4" s="724"/>
      <c r="C4" s="724"/>
      <c r="D4" s="724"/>
      <c r="E4" s="724"/>
      <c r="F4" s="724"/>
      <c r="G4" s="724"/>
      <c r="H4" s="724"/>
    </row>
    <row r="5" spans="1:8" ht="14.25">
      <c r="A5" s="726" t="s">
        <v>537</v>
      </c>
      <c r="B5" s="724"/>
      <c r="C5" s="724"/>
      <c r="D5" s="724"/>
      <c r="E5" s="724"/>
      <c r="F5" s="724"/>
      <c r="G5" s="724"/>
      <c r="H5" s="724"/>
    </row>
    <row r="6" spans="1:8" ht="14.25">
      <c r="A6" s="726"/>
      <c r="B6" s="724"/>
      <c r="C6" s="724"/>
      <c r="D6" s="724"/>
      <c r="E6" s="724"/>
      <c r="F6" s="724"/>
      <c r="G6" s="724"/>
      <c r="H6" s="724"/>
    </row>
    <row r="7" spans="1:8">
      <c r="A7" s="723" t="s">
        <v>538</v>
      </c>
      <c r="B7" s="724"/>
      <c r="C7" s="724"/>
      <c r="D7" s="724"/>
      <c r="E7" s="724"/>
      <c r="F7" s="724"/>
      <c r="G7" s="724"/>
      <c r="H7" s="724"/>
    </row>
    <row r="8" spans="1:8">
      <c r="A8" s="723" t="s">
        <v>539</v>
      </c>
      <c r="B8" s="724"/>
      <c r="C8" s="724"/>
      <c r="D8" s="724"/>
      <c r="E8" s="724"/>
      <c r="F8" s="724"/>
      <c r="G8" s="724"/>
      <c r="H8" s="724"/>
    </row>
    <row r="9" spans="1:8">
      <c r="A9" s="723"/>
      <c r="B9" s="724"/>
      <c r="C9" s="724"/>
      <c r="D9" s="724"/>
      <c r="E9" s="724"/>
      <c r="F9" s="724"/>
      <c r="G9" s="724"/>
      <c r="H9" s="724"/>
    </row>
    <row r="10" spans="1:8">
      <c r="A10" s="727" t="s">
        <v>540</v>
      </c>
      <c r="B10" s="724"/>
      <c r="C10" s="724"/>
      <c r="D10" s="724"/>
      <c r="E10" s="724"/>
      <c r="F10" s="724"/>
      <c r="G10" s="724"/>
      <c r="H10" s="724"/>
    </row>
    <row r="11" spans="1:8">
      <c r="A11" s="727" t="s">
        <v>541</v>
      </c>
      <c r="B11" s="724"/>
      <c r="C11" s="724"/>
      <c r="D11" s="724"/>
      <c r="E11" s="724"/>
      <c r="F11" s="724"/>
      <c r="G11" s="724"/>
      <c r="H11" s="724"/>
    </row>
    <row r="12" spans="1:8">
      <c r="A12" s="727" t="s">
        <v>542</v>
      </c>
      <c r="B12" s="724"/>
      <c r="C12" s="724"/>
      <c r="D12" s="724"/>
      <c r="E12" s="724"/>
      <c r="F12" s="724"/>
      <c r="G12" s="724"/>
      <c r="H12" s="724"/>
    </row>
    <row r="13" spans="1:8">
      <c r="A13" s="727" t="s">
        <v>543</v>
      </c>
      <c r="B13" s="724"/>
      <c r="C13" s="724"/>
      <c r="D13" s="724"/>
      <c r="E13" s="724"/>
      <c r="F13" s="724"/>
      <c r="G13" s="724"/>
      <c r="H13" s="724"/>
    </row>
    <row r="14" spans="1:8">
      <c r="A14" s="727" t="s">
        <v>544</v>
      </c>
      <c r="B14" s="724"/>
      <c r="C14" s="724"/>
      <c r="D14" s="724"/>
      <c r="E14" s="724"/>
      <c r="F14" s="724"/>
      <c r="G14" s="724"/>
      <c r="H14" s="724"/>
    </row>
    <row r="15" spans="1:8">
      <c r="A15" s="727" t="s">
        <v>545</v>
      </c>
      <c r="B15" s="724"/>
      <c r="C15" s="724"/>
      <c r="D15" s="724"/>
      <c r="E15" s="724"/>
      <c r="F15" s="724"/>
      <c r="G15" s="724"/>
      <c r="H15" s="724"/>
    </row>
    <row r="16" spans="1:8">
      <c r="A16" s="727"/>
      <c r="B16" s="724"/>
      <c r="C16" s="724"/>
      <c r="D16" s="724"/>
      <c r="E16" s="724"/>
      <c r="F16" s="724"/>
      <c r="G16" s="724"/>
      <c r="H16" s="724"/>
    </row>
    <row r="17" spans="1:8">
      <c r="A17" s="727" t="s">
        <v>532</v>
      </c>
      <c r="B17" s="724"/>
      <c r="C17" s="724"/>
      <c r="D17" s="724"/>
      <c r="E17" s="724"/>
      <c r="F17" s="724"/>
      <c r="G17" s="724"/>
      <c r="H17" s="724"/>
    </row>
    <row r="18" spans="1:8">
      <c r="A18" s="727"/>
      <c r="B18" s="724"/>
      <c r="C18" s="724"/>
      <c r="D18" s="724"/>
      <c r="E18" s="724"/>
      <c r="F18" s="724"/>
      <c r="G18" s="724"/>
      <c r="H18" s="724"/>
    </row>
    <row r="19" spans="1:8">
      <c r="A19" s="727" t="s">
        <v>533</v>
      </c>
      <c r="B19" s="724"/>
      <c r="C19" s="724"/>
      <c r="D19" s="724"/>
      <c r="E19" s="724"/>
      <c r="F19" s="724"/>
      <c r="G19" s="724"/>
      <c r="H19" s="724"/>
    </row>
    <row r="20" spans="1:8">
      <c r="A20" s="723"/>
      <c r="B20" s="724"/>
      <c r="C20" s="724"/>
      <c r="D20" s="724"/>
      <c r="E20" s="724"/>
      <c r="F20" s="724"/>
      <c r="G20" s="724"/>
      <c r="H20" s="724"/>
    </row>
    <row r="21" spans="1:8">
      <c r="A21" s="728" t="s">
        <v>534</v>
      </c>
      <c r="B21" s="724"/>
      <c r="C21" s="724"/>
      <c r="D21" s="724"/>
      <c r="E21" s="724"/>
      <c r="F21" s="724"/>
      <c r="G21" s="724"/>
      <c r="H21" s="724"/>
    </row>
    <row r="22" spans="1:8" ht="15">
      <c r="A22" s="729"/>
      <c r="B22" s="729"/>
      <c r="C22" s="729"/>
      <c r="D22" s="729"/>
      <c r="E22" s="729"/>
      <c r="F22" s="729"/>
      <c r="G22" s="729"/>
      <c r="H22" s="729"/>
    </row>
    <row r="23" spans="1:8" ht="15">
      <c r="A23" s="730" t="s">
        <v>817</v>
      </c>
      <c r="B23" s="729"/>
      <c r="C23" s="729"/>
      <c r="D23" s="729"/>
      <c r="E23" s="729"/>
      <c r="F23" s="729"/>
      <c r="G23" s="729"/>
      <c r="H23" s="729"/>
    </row>
    <row r="24" spans="1:8" ht="15">
      <c r="A24" s="730" t="s">
        <v>818</v>
      </c>
      <c r="B24" s="729"/>
      <c r="C24" s="729"/>
      <c r="D24" s="729"/>
      <c r="E24" s="729"/>
      <c r="F24" s="729"/>
      <c r="G24" s="729"/>
      <c r="H24" s="729"/>
    </row>
    <row r="25" spans="1:8" ht="15">
      <c r="A25" s="730" t="s">
        <v>819</v>
      </c>
      <c r="B25" s="729"/>
      <c r="C25" s="729"/>
      <c r="D25" s="729"/>
      <c r="E25" s="729"/>
      <c r="F25" s="729"/>
      <c r="G25" s="729"/>
      <c r="H25" s="729"/>
    </row>
    <row r="26" spans="1:8" ht="15">
      <c r="A26" s="730" t="s">
        <v>820</v>
      </c>
      <c r="B26" s="729"/>
      <c r="C26" s="729"/>
      <c r="D26" s="729"/>
      <c r="E26" s="729"/>
      <c r="F26" s="729"/>
      <c r="G26" s="729"/>
      <c r="H26" s="729"/>
    </row>
    <row r="27" spans="1:8" ht="15">
      <c r="A27" s="729"/>
      <c r="B27" s="729"/>
      <c r="C27" s="729"/>
      <c r="D27" s="729"/>
      <c r="E27" s="729"/>
      <c r="F27" s="729"/>
      <c r="G27" s="729"/>
      <c r="H27" s="729"/>
    </row>
    <row r="28" spans="1:8" ht="15">
      <c r="A28" s="729"/>
      <c r="B28" s="729"/>
      <c r="C28" s="729"/>
      <c r="D28" s="729"/>
      <c r="E28" s="729"/>
      <c r="F28" s="729"/>
      <c r="G28" s="729"/>
      <c r="H28" s="729"/>
    </row>
    <row r="29" spans="1:8" ht="15">
      <c r="A29" s="730" t="s">
        <v>812</v>
      </c>
      <c r="B29" s="729"/>
      <c r="C29" s="729"/>
      <c r="D29" s="729"/>
      <c r="E29" s="729"/>
      <c r="F29" s="729"/>
      <c r="G29" s="729"/>
      <c r="H29" s="729"/>
    </row>
    <row r="30" spans="1:8" ht="15">
      <c r="A30" s="730" t="s">
        <v>813</v>
      </c>
      <c r="B30" s="729"/>
      <c r="C30" s="729"/>
      <c r="D30" s="729"/>
      <c r="E30" s="729"/>
      <c r="F30" s="729"/>
      <c r="G30" s="729"/>
      <c r="H30" s="729"/>
    </row>
    <row r="31" spans="1:8" ht="15">
      <c r="A31" s="730" t="s">
        <v>814</v>
      </c>
      <c r="B31" s="729"/>
      <c r="C31" s="729"/>
      <c r="D31" s="729"/>
      <c r="E31" s="729"/>
      <c r="F31" s="729"/>
      <c r="G31" s="729"/>
      <c r="H31" s="729"/>
    </row>
    <row r="32" spans="1:8" ht="15">
      <c r="A32" s="730" t="s">
        <v>815</v>
      </c>
      <c r="B32" s="729"/>
      <c r="C32" s="729"/>
      <c r="D32" s="729"/>
      <c r="E32" s="729"/>
      <c r="F32" s="729"/>
      <c r="G32" s="729"/>
      <c r="H32" s="729"/>
    </row>
    <row r="33" spans="1:8" ht="15">
      <c r="A33" s="730" t="s">
        <v>816</v>
      </c>
      <c r="B33" s="729"/>
      <c r="C33" s="729"/>
      <c r="D33" s="729"/>
      <c r="E33" s="729"/>
      <c r="F33" s="729"/>
      <c r="G33" s="729"/>
      <c r="H33" s="729"/>
    </row>
    <row r="34" spans="1:8" ht="15">
      <c r="A34" s="729"/>
      <c r="B34" s="729"/>
      <c r="C34" s="729"/>
      <c r="D34" s="729"/>
      <c r="E34" s="729"/>
      <c r="F34" s="729"/>
      <c r="G34" s="729"/>
      <c r="H34" s="729"/>
    </row>
    <row r="35" spans="1:8" ht="15">
      <c r="A35" s="730" t="s">
        <v>808</v>
      </c>
      <c r="B35" s="729"/>
      <c r="C35" s="729"/>
      <c r="D35" s="729"/>
      <c r="E35" s="729"/>
      <c r="F35" s="729"/>
      <c r="G35" s="729"/>
      <c r="H35" s="729"/>
    </row>
    <row r="36" spans="1:8" ht="15">
      <c r="A36" s="730" t="s">
        <v>809</v>
      </c>
      <c r="B36" s="729"/>
      <c r="C36" s="729"/>
      <c r="D36" s="729"/>
      <c r="E36" s="729"/>
      <c r="F36" s="729"/>
      <c r="G36" s="729"/>
      <c r="H36" s="729"/>
    </row>
    <row r="37" spans="1:8" ht="15">
      <c r="A37" s="730" t="s">
        <v>810</v>
      </c>
      <c r="B37" s="729"/>
      <c r="C37" s="729"/>
      <c r="D37" s="729"/>
      <c r="E37" s="729"/>
      <c r="F37" s="729"/>
      <c r="G37" s="729"/>
      <c r="H37" s="729"/>
    </row>
    <row r="38" spans="1:8" ht="15">
      <c r="A38" s="730" t="s">
        <v>811</v>
      </c>
      <c r="B38" s="729"/>
      <c r="C38" s="729"/>
      <c r="D38" s="729"/>
      <c r="E38" s="729"/>
      <c r="F38" s="729"/>
      <c r="G38" s="729"/>
      <c r="H38" s="729"/>
    </row>
    <row r="39" spans="1:8" ht="15">
      <c r="A39" s="729"/>
      <c r="B39" s="729"/>
      <c r="C39" s="729"/>
      <c r="D39" s="729"/>
      <c r="E39" s="729"/>
      <c r="F39" s="729"/>
      <c r="G39" s="729"/>
      <c r="H39" s="729"/>
    </row>
    <row r="40" spans="1:8" ht="15">
      <c r="A40" s="730" t="s">
        <v>802</v>
      </c>
      <c r="B40" s="729"/>
      <c r="C40" s="729"/>
      <c r="D40" s="729"/>
      <c r="E40" s="729"/>
      <c r="F40" s="729"/>
      <c r="G40" s="729"/>
      <c r="H40" s="729"/>
    </row>
    <row r="41" spans="1:8" ht="15">
      <c r="A41" s="730" t="s">
        <v>803</v>
      </c>
      <c r="B41" s="729"/>
      <c r="C41" s="729"/>
      <c r="D41" s="729"/>
      <c r="E41" s="729"/>
      <c r="F41" s="729"/>
      <c r="G41" s="729"/>
      <c r="H41" s="729"/>
    </row>
    <row r="42" spans="1:8" ht="15">
      <c r="A42" s="730" t="s">
        <v>804</v>
      </c>
      <c r="B42" s="729"/>
      <c r="C42" s="729"/>
      <c r="D42" s="729"/>
      <c r="E42" s="729"/>
      <c r="F42" s="729"/>
      <c r="G42" s="729"/>
      <c r="H42" s="729"/>
    </row>
    <row r="43" spans="1:8" ht="15">
      <c r="A43" s="730" t="s">
        <v>805</v>
      </c>
      <c r="B43" s="729"/>
      <c r="C43" s="729"/>
      <c r="D43" s="729"/>
      <c r="E43" s="729"/>
      <c r="F43" s="729"/>
      <c r="G43" s="729"/>
      <c r="H43" s="729"/>
    </row>
    <row r="44" spans="1:8" ht="15">
      <c r="A44" s="730" t="s">
        <v>806</v>
      </c>
      <c r="B44" s="729"/>
      <c r="C44" s="729"/>
      <c r="D44" s="729"/>
      <c r="E44" s="729"/>
      <c r="F44" s="729"/>
      <c r="G44" s="729"/>
      <c r="H44" s="729"/>
    </row>
    <row r="45" spans="1:8" ht="15">
      <c r="A45" s="730" t="s">
        <v>807</v>
      </c>
      <c r="B45" s="729"/>
      <c r="C45" s="729"/>
      <c r="D45" s="729"/>
      <c r="E45" s="729"/>
      <c r="F45" s="729"/>
      <c r="G45" s="729"/>
      <c r="H45" s="729"/>
    </row>
    <row r="46" spans="1:8" ht="15">
      <c r="A46" s="729"/>
      <c r="B46" s="729"/>
      <c r="C46" s="729"/>
      <c r="D46" s="729"/>
      <c r="E46" s="729"/>
      <c r="F46" s="729"/>
      <c r="G46" s="729"/>
      <c r="H46" s="729"/>
    </row>
    <row r="47" spans="1:8" ht="15.75">
      <c r="A47" s="731" t="s">
        <v>546</v>
      </c>
      <c r="B47" s="729"/>
      <c r="C47" s="729"/>
      <c r="D47" s="729"/>
      <c r="E47" s="729"/>
      <c r="F47" s="729"/>
      <c r="G47" s="729"/>
      <c r="H47" s="729"/>
    </row>
    <row r="48" spans="1:8" ht="15">
      <c r="A48" s="729"/>
      <c r="B48" s="729"/>
      <c r="C48" s="729"/>
      <c r="D48" s="729"/>
      <c r="E48" s="729"/>
      <c r="F48" s="729"/>
      <c r="G48" s="729"/>
      <c r="H48" s="729"/>
    </row>
    <row r="49" spans="1:8" ht="15">
      <c r="A49" s="730" t="s">
        <v>798</v>
      </c>
      <c r="B49" s="729"/>
      <c r="C49" s="729"/>
      <c r="D49" s="729"/>
      <c r="E49" s="729"/>
      <c r="F49" s="729"/>
      <c r="G49" s="729"/>
      <c r="H49" s="729"/>
    </row>
    <row r="50" spans="1:8" ht="15">
      <c r="A50" s="730" t="s">
        <v>799</v>
      </c>
      <c r="B50" s="729"/>
      <c r="C50" s="729"/>
      <c r="D50" s="729"/>
      <c r="E50" s="729"/>
      <c r="F50" s="729"/>
      <c r="G50" s="729"/>
      <c r="H50" s="729"/>
    </row>
    <row r="51" spans="1:8" ht="15">
      <c r="A51" s="730" t="s">
        <v>800</v>
      </c>
      <c r="B51" s="729"/>
      <c r="C51" s="729"/>
      <c r="D51" s="729"/>
      <c r="E51" s="729"/>
      <c r="F51" s="729"/>
      <c r="G51" s="729"/>
      <c r="H51" s="729"/>
    </row>
    <row r="52" spans="1:8" ht="15">
      <c r="A52" s="730" t="s">
        <v>801</v>
      </c>
      <c r="B52" s="729"/>
      <c r="C52" s="729"/>
      <c r="D52" s="729"/>
      <c r="E52" s="729"/>
      <c r="F52" s="729"/>
      <c r="G52" s="729"/>
      <c r="H52" s="729"/>
    </row>
    <row r="53" spans="1:8" ht="15">
      <c r="A53" s="729"/>
      <c r="B53" s="729"/>
      <c r="C53" s="729"/>
      <c r="D53" s="729"/>
      <c r="E53" s="729"/>
      <c r="F53" s="729"/>
      <c r="G53" s="729"/>
      <c r="H53" s="729"/>
    </row>
    <row r="54" spans="1:8" ht="15">
      <c r="A54" s="730" t="s">
        <v>547</v>
      </c>
      <c r="B54" s="729"/>
      <c r="C54" s="729"/>
      <c r="D54" s="729"/>
      <c r="E54" s="729"/>
      <c r="F54" s="729"/>
      <c r="G54" s="729"/>
      <c r="H54" s="729"/>
    </row>
    <row r="55" spans="1:8" ht="15">
      <c r="A55" s="729"/>
      <c r="B55" s="729"/>
      <c r="C55" s="729"/>
      <c r="D55" s="729"/>
      <c r="E55" s="729"/>
      <c r="F55" s="729"/>
      <c r="G55" s="729"/>
      <c r="H55" s="729"/>
    </row>
    <row r="56" spans="1:8" ht="15.75">
      <c r="A56" s="731" t="s">
        <v>548</v>
      </c>
      <c r="B56" s="729"/>
      <c r="C56" s="729"/>
      <c r="D56" s="729"/>
      <c r="E56" s="729"/>
      <c r="F56" s="729"/>
      <c r="G56" s="729"/>
      <c r="H56" s="729"/>
    </row>
    <row r="57" spans="1:8" ht="15">
      <c r="A57" s="729"/>
      <c r="B57" s="729"/>
      <c r="C57" s="729"/>
      <c r="D57" s="729"/>
      <c r="E57" s="729"/>
      <c r="F57" s="729"/>
      <c r="G57" s="729"/>
      <c r="H57" s="729"/>
    </row>
    <row r="58" spans="1:8" ht="15">
      <c r="A58" s="730" t="s">
        <v>796</v>
      </c>
      <c r="B58" s="729"/>
      <c r="C58" s="729"/>
      <c r="D58" s="729"/>
      <c r="E58" s="729"/>
      <c r="F58" s="729"/>
      <c r="G58" s="729"/>
      <c r="H58" s="729"/>
    </row>
    <row r="59" spans="1:8" ht="15">
      <c r="A59" s="730" t="s">
        <v>797</v>
      </c>
      <c r="B59" s="729"/>
      <c r="C59" s="729"/>
      <c r="D59" s="729"/>
      <c r="E59" s="729"/>
      <c r="F59" s="729"/>
      <c r="G59" s="729"/>
      <c r="H59" s="729"/>
    </row>
    <row r="60" spans="1:8" ht="15">
      <c r="A60" s="729"/>
      <c r="B60" s="729"/>
      <c r="C60" s="729"/>
      <c r="D60" s="729"/>
      <c r="E60" s="729"/>
      <c r="F60" s="729"/>
      <c r="G60" s="729"/>
      <c r="H60" s="729"/>
    </row>
    <row r="61" spans="1:8" ht="15.75">
      <c r="A61" s="731" t="s">
        <v>549</v>
      </c>
      <c r="B61" s="729"/>
      <c r="C61" s="729"/>
      <c r="D61" s="729"/>
      <c r="E61" s="729"/>
      <c r="F61" s="729"/>
      <c r="G61" s="729"/>
      <c r="H61" s="729"/>
    </row>
    <row r="62" spans="1:8" ht="15">
      <c r="A62" s="729"/>
      <c r="B62" s="729"/>
      <c r="C62" s="729"/>
      <c r="D62" s="729"/>
      <c r="E62" s="729"/>
      <c r="F62" s="729"/>
      <c r="G62" s="729"/>
      <c r="H62" s="729"/>
    </row>
    <row r="63" spans="1:8" ht="15">
      <c r="A63" s="730" t="s">
        <v>794</v>
      </c>
      <c r="B63" s="729"/>
      <c r="C63" s="729"/>
      <c r="D63" s="729"/>
      <c r="E63" s="729"/>
      <c r="F63" s="729"/>
      <c r="G63" s="729"/>
      <c r="H63" s="729"/>
    </row>
    <row r="64" spans="1:8" ht="15">
      <c r="A64" s="730" t="s">
        <v>795</v>
      </c>
      <c r="B64" s="729"/>
      <c r="C64" s="729"/>
      <c r="D64" s="729"/>
      <c r="E64" s="729"/>
      <c r="F64" s="729"/>
      <c r="G64" s="729"/>
      <c r="H64" s="729"/>
    </row>
    <row r="65" spans="1:8" ht="15">
      <c r="A65" s="729"/>
      <c r="B65" s="729"/>
      <c r="C65" s="729"/>
      <c r="D65" s="729"/>
      <c r="E65" s="729"/>
      <c r="F65" s="729"/>
      <c r="G65" s="729"/>
      <c r="H65" s="729"/>
    </row>
    <row r="66" spans="1:8" ht="15">
      <c r="A66" s="730" t="s">
        <v>792</v>
      </c>
      <c r="B66" s="729"/>
      <c r="C66" s="729"/>
      <c r="D66" s="729"/>
      <c r="E66" s="729"/>
      <c r="F66" s="729"/>
      <c r="G66" s="729"/>
      <c r="H66" s="729"/>
    </row>
    <row r="67" spans="1:8" ht="15">
      <c r="A67" s="730" t="s">
        <v>793</v>
      </c>
      <c r="B67" s="729"/>
      <c r="C67" s="729"/>
      <c r="D67" s="729"/>
      <c r="E67" s="729"/>
      <c r="F67" s="729"/>
      <c r="G67" s="729"/>
      <c r="H67" s="729"/>
    </row>
    <row r="68" spans="1:8" ht="15">
      <c r="A68" s="729"/>
      <c r="B68" s="729"/>
      <c r="C68" s="729"/>
      <c r="D68" s="729"/>
      <c r="E68" s="729"/>
      <c r="F68" s="729"/>
      <c r="G68" s="729"/>
      <c r="H68" s="729"/>
    </row>
    <row r="69" spans="1:8" ht="15">
      <c r="A69" s="730" t="s">
        <v>550</v>
      </c>
      <c r="B69" s="729"/>
      <c r="C69" s="729"/>
      <c r="D69" s="729"/>
      <c r="E69" s="729"/>
      <c r="F69" s="729"/>
      <c r="G69" s="729"/>
      <c r="H69" s="729"/>
    </row>
    <row r="70" spans="1:8" ht="15">
      <c r="A70" s="729"/>
      <c r="B70" s="729"/>
      <c r="C70" s="729"/>
      <c r="D70" s="729"/>
      <c r="E70" s="729"/>
      <c r="F70" s="729"/>
      <c r="G70" s="729"/>
      <c r="H70" s="729"/>
    </row>
    <row r="71" spans="1:8" ht="15">
      <c r="A71" s="730" t="s">
        <v>787</v>
      </c>
      <c r="B71" s="729"/>
      <c r="C71" s="729"/>
      <c r="D71" s="729"/>
      <c r="E71" s="729"/>
      <c r="F71" s="729"/>
      <c r="G71" s="729"/>
      <c r="H71" s="729"/>
    </row>
    <row r="72" spans="1:8" ht="15">
      <c r="A72" s="730" t="s">
        <v>788</v>
      </c>
      <c r="B72" s="729"/>
      <c r="C72" s="729"/>
      <c r="D72" s="729"/>
      <c r="E72" s="729"/>
      <c r="F72" s="729"/>
      <c r="G72" s="729"/>
      <c r="H72" s="729"/>
    </row>
    <row r="73" spans="1:8" ht="15">
      <c r="A73" s="730" t="s">
        <v>789</v>
      </c>
      <c r="B73" s="729"/>
      <c r="C73" s="729"/>
      <c r="D73" s="729"/>
      <c r="E73" s="729"/>
      <c r="F73" s="729"/>
      <c r="G73" s="729"/>
      <c r="H73" s="729"/>
    </row>
    <row r="74" spans="1:8" ht="15">
      <c r="A74" s="730" t="s">
        <v>790</v>
      </c>
      <c r="B74" s="729"/>
      <c r="C74" s="729"/>
      <c r="D74" s="729"/>
      <c r="E74" s="729"/>
      <c r="F74" s="729"/>
      <c r="G74" s="729"/>
      <c r="H74" s="729"/>
    </row>
    <row r="75" spans="1:8" ht="15">
      <c r="A75" s="730" t="s">
        <v>791</v>
      </c>
      <c r="B75" s="729"/>
      <c r="C75" s="729"/>
      <c r="D75" s="729"/>
      <c r="E75" s="729"/>
      <c r="F75" s="729"/>
      <c r="G75" s="729"/>
      <c r="H75" s="729"/>
    </row>
    <row r="76" spans="1:8" ht="15">
      <c r="A76" s="730" t="s">
        <v>676</v>
      </c>
      <c r="B76" s="729"/>
      <c r="C76" s="729"/>
      <c r="D76" s="729"/>
      <c r="E76" s="729"/>
      <c r="F76" s="729"/>
      <c r="G76" s="729"/>
      <c r="H76" s="729"/>
    </row>
    <row r="77" spans="1:8" ht="15">
      <c r="A77" s="729"/>
      <c r="B77" s="729"/>
      <c r="C77" s="729"/>
      <c r="D77" s="729"/>
      <c r="E77" s="729"/>
      <c r="F77" s="729"/>
      <c r="G77" s="729"/>
      <c r="H77" s="729"/>
    </row>
    <row r="78" spans="1:8" ht="15">
      <c r="A78" s="730" t="s">
        <v>780</v>
      </c>
      <c r="B78" s="729"/>
      <c r="C78" s="729"/>
      <c r="D78" s="729"/>
      <c r="E78" s="729"/>
      <c r="F78" s="729"/>
      <c r="G78" s="729"/>
      <c r="H78" s="729"/>
    </row>
    <row r="79" spans="1:8" ht="15">
      <c r="A79" s="730" t="s">
        <v>781</v>
      </c>
      <c r="B79" s="729"/>
      <c r="C79" s="729"/>
      <c r="D79" s="729"/>
      <c r="E79" s="729"/>
      <c r="F79" s="729"/>
      <c r="G79" s="729"/>
      <c r="H79" s="729"/>
    </row>
    <row r="80" spans="1:8" ht="15">
      <c r="A80" s="730" t="s">
        <v>782</v>
      </c>
      <c r="B80" s="729"/>
      <c r="C80" s="729"/>
      <c r="D80" s="729"/>
      <c r="E80" s="729"/>
      <c r="F80" s="729"/>
      <c r="G80" s="729"/>
      <c r="H80" s="729"/>
    </row>
    <row r="81" spans="1:8" ht="15">
      <c r="A81" s="730" t="s">
        <v>783</v>
      </c>
      <c r="B81" s="729"/>
      <c r="C81" s="729"/>
      <c r="D81" s="729"/>
      <c r="E81" s="729"/>
      <c r="F81" s="729"/>
      <c r="G81" s="729"/>
      <c r="H81" s="729"/>
    </row>
    <row r="82" spans="1:8" ht="15">
      <c r="A82" s="730" t="s">
        <v>784</v>
      </c>
      <c r="B82" s="729"/>
      <c r="C82" s="729"/>
      <c r="D82" s="729"/>
      <c r="E82" s="729"/>
      <c r="F82" s="729"/>
      <c r="G82" s="729"/>
      <c r="H82" s="729"/>
    </row>
    <row r="83" spans="1:8" ht="15">
      <c r="A83" s="730" t="s">
        <v>785</v>
      </c>
      <c r="B83" s="729"/>
      <c r="C83" s="729"/>
      <c r="D83" s="729"/>
      <c r="E83" s="729"/>
      <c r="F83" s="729"/>
      <c r="G83" s="729"/>
      <c r="H83" s="729"/>
    </row>
    <row r="84" spans="1:8" ht="15">
      <c r="A84" s="730" t="s">
        <v>786</v>
      </c>
      <c r="B84" s="729"/>
      <c r="C84" s="729"/>
      <c r="D84" s="729"/>
      <c r="E84" s="729"/>
      <c r="F84" s="729"/>
      <c r="G84" s="729"/>
      <c r="H84" s="729"/>
    </row>
    <row r="85" spans="1:8" ht="15">
      <c r="A85" s="729"/>
      <c r="B85" s="729"/>
      <c r="C85" s="729"/>
      <c r="D85" s="729"/>
      <c r="E85" s="729"/>
      <c r="F85" s="729"/>
      <c r="G85" s="729"/>
      <c r="H85" s="729"/>
    </row>
    <row r="86" spans="1:8" ht="15">
      <c r="A86" s="730" t="s">
        <v>778</v>
      </c>
      <c r="B86" s="729"/>
      <c r="C86" s="729"/>
      <c r="D86" s="729"/>
      <c r="E86" s="729"/>
      <c r="F86" s="729"/>
      <c r="G86" s="729"/>
      <c r="H86" s="729"/>
    </row>
    <row r="87" spans="1:8" ht="15">
      <c r="A87" s="730" t="s">
        <v>779</v>
      </c>
      <c r="B87" s="729"/>
      <c r="C87" s="729"/>
      <c r="D87" s="729"/>
      <c r="E87" s="729"/>
      <c r="F87" s="729"/>
      <c r="G87" s="729"/>
      <c r="H87" s="729"/>
    </row>
    <row r="88" spans="1:8" ht="15">
      <c r="A88" s="729"/>
      <c r="B88" s="729"/>
      <c r="C88" s="729"/>
      <c r="D88" s="729"/>
      <c r="E88" s="729"/>
      <c r="F88" s="729"/>
      <c r="G88" s="729"/>
      <c r="H88" s="729"/>
    </row>
    <row r="89" spans="1:8" ht="15.75">
      <c r="A89" s="731" t="s">
        <v>551</v>
      </c>
      <c r="B89" s="729"/>
      <c r="C89" s="729"/>
      <c r="D89" s="729"/>
      <c r="E89" s="729"/>
      <c r="F89" s="729"/>
      <c r="G89" s="729"/>
      <c r="H89" s="729"/>
    </row>
    <row r="90" spans="1:8" ht="15">
      <c r="A90" s="729"/>
      <c r="B90" s="729"/>
      <c r="C90" s="729"/>
      <c r="D90" s="729"/>
      <c r="E90" s="729"/>
      <c r="F90" s="729"/>
      <c r="G90" s="729"/>
      <c r="H90" s="729"/>
    </row>
    <row r="91" spans="1:8" ht="15">
      <c r="A91" s="730" t="s">
        <v>769</v>
      </c>
      <c r="B91" s="729"/>
      <c r="C91" s="729"/>
      <c r="D91" s="729"/>
      <c r="E91" s="729"/>
      <c r="F91" s="729"/>
      <c r="G91" s="729"/>
      <c r="H91" s="729"/>
    </row>
    <row r="92" spans="1:8" ht="15">
      <c r="A92" s="730" t="s">
        <v>770</v>
      </c>
      <c r="B92" s="729"/>
      <c r="C92" s="729"/>
      <c r="D92" s="729"/>
      <c r="E92" s="729"/>
      <c r="F92" s="729"/>
      <c r="G92" s="729"/>
      <c r="H92" s="729"/>
    </row>
    <row r="93" spans="1:8" ht="15">
      <c r="A93" s="730" t="s">
        <v>771</v>
      </c>
      <c r="B93" s="729"/>
      <c r="C93" s="729"/>
      <c r="D93" s="729"/>
      <c r="E93" s="729"/>
      <c r="F93" s="729"/>
      <c r="G93" s="729"/>
      <c r="H93" s="729"/>
    </row>
    <row r="94" spans="1:8" ht="15">
      <c r="A94" s="730" t="s">
        <v>772</v>
      </c>
      <c r="B94" s="729"/>
      <c r="C94" s="729"/>
      <c r="D94" s="729"/>
      <c r="E94" s="729"/>
      <c r="F94" s="729"/>
      <c r="G94" s="729"/>
      <c r="H94" s="729"/>
    </row>
    <row r="95" spans="1:8" ht="15">
      <c r="A95" s="730" t="s">
        <v>773</v>
      </c>
      <c r="B95" s="729"/>
      <c r="C95" s="729"/>
      <c r="D95" s="729"/>
      <c r="E95" s="729"/>
      <c r="F95" s="729"/>
      <c r="G95" s="729"/>
      <c r="H95" s="729"/>
    </row>
    <row r="96" spans="1:8" ht="15">
      <c r="A96" s="730" t="s">
        <v>774</v>
      </c>
      <c r="B96" s="729"/>
      <c r="C96" s="729"/>
      <c r="D96" s="729"/>
      <c r="E96" s="729"/>
      <c r="F96" s="729"/>
      <c r="G96" s="729"/>
      <c r="H96" s="729"/>
    </row>
    <row r="97" spans="1:8" ht="15">
      <c r="A97" s="730" t="s">
        <v>775</v>
      </c>
      <c r="B97" s="729"/>
      <c r="C97" s="729"/>
      <c r="D97" s="729"/>
      <c r="E97" s="729"/>
      <c r="F97" s="729"/>
      <c r="G97" s="729"/>
      <c r="H97" s="729"/>
    </row>
    <row r="98" spans="1:8" ht="15">
      <c r="A98" s="730" t="s">
        <v>776</v>
      </c>
      <c r="B98" s="729"/>
      <c r="C98" s="729"/>
      <c r="D98" s="729"/>
      <c r="E98" s="729"/>
      <c r="F98" s="729"/>
      <c r="G98" s="729"/>
      <c r="H98" s="729"/>
    </row>
    <row r="99" spans="1:8" ht="15">
      <c r="A99" s="730" t="s">
        <v>777</v>
      </c>
      <c r="B99" s="729"/>
      <c r="C99" s="729"/>
      <c r="D99" s="729"/>
      <c r="E99" s="729"/>
      <c r="F99" s="729"/>
      <c r="G99" s="729"/>
      <c r="H99" s="729"/>
    </row>
    <row r="100" spans="1:8" ht="15">
      <c r="A100" s="729"/>
      <c r="B100" s="729"/>
      <c r="C100" s="729"/>
      <c r="D100" s="729"/>
      <c r="E100" s="729"/>
      <c r="F100" s="729"/>
      <c r="G100" s="729"/>
      <c r="H100" s="729"/>
    </row>
    <row r="101" spans="1:8" ht="15.75">
      <c r="A101" s="732" t="s">
        <v>552</v>
      </c>
      <c r="B101" s="732"/>
      <c r="C101" s="732"/>
      <c r="D101" s="732"/>
      <c r="E101" s="732"/>
      <c r="F101" s="732"/>
      <c r="G101" s="732"/>
      <c r="H101" s="732"/>
    </row>
    <row r="102" spans="1:8">
      <c r="A102" s="733" t="s">
        <v>553</v>
      </c>
      <c r="B102" s="733"/>
      <c r="C102" s="733"/>
      <c r="D102" s="733"/>
      <c r="E102" s="733"/>
      <c r="F102" s="733"/>
      <c r="G102" s="733"/>
      <c r="H102" s="733"/>
    </row>
    <row r="103" spans="1:8" ht="15">
      <c r="A103" s="734"/>
      <c r="B103" s="734"/>
      <c r="C103" s="734"/>
      <c r="D103" s="734"/>
      <c r="E103" s="734"/>
      <c r="F103" s="734"/>
      <c r="G103" s="734"/>
      <c r="H103" s="734"/>
    </row>
    <row r="104" spans="1:8">
      <c r="A104" s="733" t="s">
        <v>767</v>
      </c>
      <c r="B104" s="733"/>
      <c r="C104" s="733"/>
      <c r="D104" s="733"/>
      <c r="E104" s="733"/>
      <c r="F104" s="733"/>
      <c r="G104" s="733"/>
      <c r="H104" s="733"/>
    </row>
    <row r="105" spans="1:8">
      <c r="A105" s="730" t="s">
        <v>768</v>
      </c>
      <c r="B105" s="730"/>
      <c r="C105" s="730"/>
      <c r="D105" s="730"/>
      <c r="E105" s="730"/>
      <c r="F105" s="730"/>
      <c r="G105" s="730"/>
      <c r="H105" s="730"/>
    </row>
    <row r="106" spans="1:8" ht="15">
      <c r="A106" s="734"/>
      <c r="B106" s="734"/>
      <c r="C106" s="734"/>
      <c r="D106" s="734"/>
      <c r="E106" s="734"/>
      <c r="F106" s="734"/>
      <c r="G106" s="734"/>
      <c r="H106" s="734"/>
    </row>
    <row r="107" spans="1:8">
      <c r="A107" s="733" t="s">
        <v>760</v>
      </c>
      <c r="B107" s="733"/>
      <c r="C107" s="733"/>
      <c r="D107" s="733"/>
      <c r="E107" s="733"/>
      <c r="F107" s="733"/>
      <c r="G107" s="733"/>
      <c r="H107" s="733"/>
    </row>
    <row r="108" spans="1:8">
      <c r="A108" s="730" t="s">
        <v>761</v>
      </c>
      <c r="B108" s="730"/>
      <c r="C108" s="730"/>
      <c r="D108" s="730"/>
      <c r="E108" s="730"/>
      <c r="F108" s="730"/>
      <c r="G108" s="730"/>
      <c r="H108" s="730"/>
    </row>
    <row r="109" spans="1:8">
      <c r="A109" s="730" t="s">
        <v>762</v>
      </c>
      <c r="B109" s="730"/>
      <c r="C109" s="730"/>
      <c r="D109" s="730"/>
      <c r="E109" s="730"/>
      <c r="F109" s="730"/>
      <c r="G109" s="730"/>
      <c r="H109" s="730"/>
    </row>
    <row r="110" spans="1:8">
      <c r="A110" s="730" t="s">
        <v>763</v>
      </c>
      <c r="B110" s="730"/>
      <c r="C110" s="730"/>
      <c r="D110" s="730"/>
      <c r="E110" s="730"/>
      <c r="F110" s="730"/>
      <c r="G110" s="730"/>
      <c r="H110" s="730"/>
    </row>
    <row r="111" spans="1:8">
      <c r="A111" s="730" t="s">
        <v>764</v>
      </c>
      <c r="B111" s="730"/>
      <c r="C111" s="730"/>
      <c r="D111" s="730"/>
      <c r="E111" s="730"/>
      <c r="F111" s="730"/>
      <c r="G111" s="730"/>
      <c r="H111" s="730"/>
    </row>
    <row r="112" spans="1:8">
      <c r="A112" s="730" t="s">
        <v>765</v>
      </c>
      <c r="B112" s="730"/>
      <c r="C112" s="730"/>
      <c r="D112" s="730"/>
      <c r="E112" s="730"/>
      <c r="F112" s="730"/>
      <c r="G112" s="730"/>
      <c r="H112" s="730"/>
    </row>
    <row r="113" spans="1:8">
      <c r="A113" s="730" t="s">
        <v>766</v>
      </c>
      <c r="B113" s="730"/>
      <c r="C113" s="730"/>
      <c r="D113" s="730"/>
      <c r="E113" s="730"/>
      <c r="F113" s="730"/>
      <c r="G113" s="730"/>
      <c r="H113" s="730"/>
    </row>
    <row r="114" spans="1:8" ht="15">
      <c r="A114" s="735"/>
      <c r="B114" s="735"/>
      <c r="C114" s="735"/>
      <c r="D114" s="735"/>
      <c r="E114" s="735"/>
      <c r="F114" s="735"/>
      <c r="G114" s="735"/>
      <c r="H114" s="735"/>
    </row>
    <row r="115" spans="1:8">
      <c r="A115" s="736"/>
      <c r="B115" s="737" t="s">
        <v>554</v>
      </c>
      <c r="C115" s="738"/>
      <c r="D115" s="737" t="s">
        <v>555</v>
      </c>
      <c r="E115" s="739"/>
      <c r="F115" s="738"/>
      <c r="G115" s="737" t="s">
        <v>556</v>
      </c>
      <c r="H115" s="738"/>
    </row>
    <row r="116" spans="1:8">
      <c r="A116" s="736" t="s">
        <v>557</v>
      </c>
      <c r="B116" s="736" t="s">
        <v>350</v>
      </c>
      <c r="C116" s="736" t="s">
        <v>558</v>
      </c>
      <c r="D116" s="736" t="s">
        <v>350</v>
      </c>
      <c r="E116" s="736" t="s">
        <v>559</v>
      </c>
      <c r="F116" s="736" t="s">
        <v>560</v>
      </c>
      <c r="G116" s="736" t="s">
        <v>350</v>
      </c>
      <c r="H116" s="736" t="s">
        <v>561</v>
      </c>
    </row>
    <row r="117" spans="1:8">
      <c r="A117" s="736" t="s">
        <v>562</v>
      </c>
      <c r="B117" s="736">
        <v>1175</v>
      </c>
      <c r="C117" s="740">
        <v>0.37</v>
      </c>
      <c r="D117" s="736">
        <v>315</v>
      </c>
      <c r="E117" s="740">
        <v>0.41</v>
      </c>
      <c r="F117" s="740">
        <v>0.27</v>
      </c>
      <c r="G117" s="736">
        <v>555</v>
      </c>
      <c r="H117" s="740">
        <v>0.39</v>
      </c>
    </row>
    <row r="118" spans="1:8">
      <c r="A118" s="736" t="s">
        <v>563</v>
      </c>
      <c r="B118" s="736">
        <v>1369</v>
      </c>
      <c r="C118" s="740">
        <v>0.43</v>
      </c>
      <c r="D118" s="736">
        <v>357</v>
      </c>
      <c r="E118" s="740">
        <v>0.47</v>
      </c>
      <c r="F118" s="740">
        <v>0.26</v>
      </c>
      <c r="G118" s="736">
        <v>643</v>
      </c>
      <c r="H118" s="740">
        <v>0.45</v>
      </c>
    </row>
    <row r="119" spans="1:8">
      <c r="A119" s="736" t="s">
        <v>564</v>
      </c>
      <c r="B119" s="736">
        <v>53</v>
      </c>
      <c r="C119" s="740">
        <v>0.02</v>
      </c>
      <c r="D119" s="736">
        <v>5</v>
      </c>
      <c r="E119" s="740">
        <v>0.01</v>
      </c>
      <c r="F119" s="740">
        <v>0.09</v>
      </c>
      <c r="G119" s="736">
        <v>7</v>
      </c>
      <c r="H119" s="740">
        <v>0</v>
      </c>
    </row>
    <row r="120" spans="1:8">
      <c r="A120" s="736" t="s">
        <v>565</v>
      </c>
      <c r="B120" s="736">
        <v>552</v>
      </c>
      <c r="C120" s="740">
        <v>0.18</v>
      </c>
      <c r="D120" s="736">
        <v>87</v>
      </c>
      <c r="E120" s="740">
        <v>0.11</v>
      </c>
      <c r="F120" s="740">
        <v>0.16</v>
      </c>
      <c r="G120" s="736">
        <v>222</v>
      </c>
      <c r="H120" s="740">
        <v>0.16</v>
      </c>
    </row>
    <row r="121" spans="1:8">
      <c r="A121" s="736" t="s">
        <v>197</v>
      </c>
      <c r="B121" s="741">
        <v>3149</v>
      </c>
      <c r="C121" s="736"/>
      <c r="D121" s="736">
        <v>764</v>
      </c>
      <c r="E121" s="736"/>
      <c r="F121" s="736"/>
      <c r="G121" s="736">
        <v>1427</v>
      </c>
      <c r="H121" s="736"/>
    </row>
    <row r="122" spans="1:8" ht="15">
      <c r="A122" s="742"/>
      <c r="B122" s="742"/>
      <c r="C122" s="742"/>
      <c r="D122" s="742"/>
      <c r="E122" s="742"/>
      <c r="F122" s="742"/>
      <c r="G122" s="742"/>
      <c r="H122" s="742"/>
    </row>
    <row r="123" spans="1:8">
      <c r="A123" s="733" t="s">
        <v>756</v>
      </c>
      <c r="B123" s="733"/>
      <c r="C123" s="733"/>
      <c r="D123" s="733"/>
      <c r="E123" s="733"/>
      <c r="F123" s="733"/>
      <c r="G123" s="733"/>
      <c r="H123" s="733"/>
    </row>
    <row r="124" spans="1:8">
      <c r="A124" s="730" t="s">
        <v>757</v>
      </c>
      <c r="B124" s="730"/>
      <c r="C124" s="730"/>
      <c r="D124" s="730"/>
      <c r="E124" s="730"/>
      <c r="F124" s="730"/>
      <c r="G124" s="730"/>
      <c r="H124" s="730"/>
    </row>
    <row r="125" spans="1:8">
      <c r="A125" s="730" t="s">
        <v>758</v>
      </c>
      <c r="B125" s="730"/>
      <c r="C125" s="730"/>
      <c r="D125" s="730"/>
      <c r="E125" s="730"/>
      <c r="F125" s="730"/>
      <c r="G125" s="730"/>
      <c r="H125" s="730"/>
    </row>
    <row r="126" spans="1:8">
      <c r="A126" s="730" t="s">
        <v>759</v>
      </c>
      <c r="B126" s="730"/>
      <c r="C126" s="730"/>
      <c r="D126" s="730"/>
      <c r="E126" s="730"/>
      <c r="F126" s="730"/>
      <c r="G126" s="730"/>
      <c r="H126" s="730"/>
    </row>
    <row r="127" spans="1:8" ht="15">
      <c r="A127" s="729"/>
      <c r="B127" s="729"/>
      <c r="C127" s="729"/>
      <c r="D127" s="729"/>
      <c r="E127" s="729"/>
      <c r="F127" s="729"/>
      <c r="G127" s="729"/>
      <c r="H127" s="729"/>
    </row>
    <row r="128" spans="1:8" ht="15.75">
      <c r="A128" s="731" t="s">
        <v>566</v>
      </c>
      <c r="B128" s="729"/>
      <c r="C128" s="729"/>
      <c r="D128" s="729"/>
      <c r="E128" s="729"/>
      <c r="F128" s="729"/>
      <c r="G128" s="729"/>
      <c r="H128" s="729"/>
    </row>
    <row r="129" spans="1:8" ht="15">
      <c r="A129" s="729"/>
      <c r="B129" s="729"/>
      <c r="C129" s="729"/>
      <c r="D129" s="729"/>
      <c r="E129" s="729"/>
      <c r="F129" s="729"/>
      <c r="G129" s="729"/>
      <c r="H129" s="729"/>
    </row>
    <row r="130" spans="1:8" ht="15">
      <c r="A130" s="730" t="s">
        <v>754</v>
      </c>
      <c r="B130" s="729"/>
      <c r="C130" s="729"/>
      <c r="D130" s="729"/>
      <c r="E130" s="729"/>
      <c r="F130" s="729"/>
      <c r="G130" s="729"/>
      <c r="H130" s="729"/>
    </row>
    <row r="131" spans="1:8" ht="15">
      <c r="A131" s="730" t="s">
        <v>755</v>
      </c>
      <c r="B131" s="729"/>
      <c r="C131" s="729"/>
      <c r="D131" s="729"/>
      <c r="E131" s="729"/>
      <c r="F131" s="729"/>
      <c r="G131" s="729"/>
      <c r="H131" s="729"/>
    </row>
    <row r="132" spans="1:8" ht="15">
      <c r="A132" s="729"/>
      <c r="B132" s="729"/>
      <c r="C132" s="729"/>
      <c r="D132" s="729"/>
      <c r="E132" s="729"/>
      <c r="F132" s="729"/>
      <c r="G132" s="729"/>
      <c r="H132" s="729"/>
    </row>
    <row r="133" spans="1:8" ht="15">
      <c r="A133" s="730" t="s">
        <v>751</v>
      </c>
      <c r="B133" s="729"/>
      <c r="C133" s="729"/>
      <c r="D133" s="729"/>
      <c r="E133" s="729"/>
      <c r="F133" s="729"/>
      <c r="G133" s="729"/>
      <c r="H133" s="729"/>
    </row>
    <row r="134" spans="1:8" ht="15">
      <c r="A134" s="730" t="s">
        <v>752</v>
      </c>
      <c r="B134" s="729"/>
      <c r="C134" s="729"/>
      <c r="D134" s="729"/>
      <c r="E134" s="729"/>
      <c r="F134" s="729"/>
      <c r="G134" s="729"/>
      <c r="H134" s="729"/>
    </row>
    <row r="135" spans="1:8" ht="15">
      <c r="A135" s="730" t="s">
        <v>753</v>
      </c>
      <c r="B135" s="729"/>
      <c r="C135" s="729"/>
      <c r="D135" s="729"/>
      <c r="E135" s="729"/>
      <c r="F135" s="729"/>
      <c r="G135" s="729"/>
      <c r="H135" s="729"/>
    </row>
    <row r="136" spans="1:8" ht="15">
      <c r="A136" s="729"/>
      <c r="B136" s="729"/>
      <c r="C136" s="729"/>
      <c r="D136" s="729"/>
      <c r="E136" s="729"/>
      <c r="F136" s="729"/>
      <c r="G136" s="729"/>
      <c r="H136" s="729"/>
    </row>
    <row r="137" spans="1:8" ht="15">
      <c r="A137" s="730" t="s">
        <v>748</v>
      </c>
      <c r="B137" s="729"/>
      <c r="C137" s="729"/>
      <c r="D137" s="729"/>
      <c r="E137" s="729"/>
      <c r="F137" s="729"/>
      <c r="G137" s="729"/>
      <c r="H137" s="729"/>
    </row>
    <row r="138" spans="1:8" ht="15">
      <c r="A138" s="730" t="s">
        <v>749</v>
      </c>
      <c r="B138" s="729"/>
      <c r="C138" s="729"/>
      <c r="D138" s="729"/>
      <c r="E138" s="729"/>
      <c r="F138" s="729"/>
      <c r="G138" s="729"/>
      <c r="H138" s="729"/>
    </row>
    <row r="139" spans="1:8" ht="15">
      <c r="A139" s="730" t="s">
        <v>750</v>
      </c>
      <c r="B139" s="729"/>
      <c r="C139" s="729"/>
      <c r="D139" s="729"/>
      <c r="E139" s="729"/>
      <c r="F139" s="729"/>
      <c r="G139" s="729"/>
      <c r="H139" s="729"/>
    </row>
    <row r="140" spans="1:8" ht="15">
      <c r="A140" s="729"/>
      <c r="B140" s="729"/>
      <c r="C140" s="729"/>
      <c r="D140" s="729"/>
      <c r="E140" s="729"/>
      <c r="F140" s="729"/>
      <c r="G140" s="729"/>
      <c r="H140" s="729"/>
    </row>
    <row r="141" spans="1:8" ht="15">
      <c r="A141" s="730" t="s">
        <v>745</v>
      </c>
      <c r="B141" s="729"/>
      <c r="C141" s="729"/>
      <c r="D141" s="729"/>
      <c r="E141" s="729"/>
      <c r="F141" s="729"/>
      <c r="G141" s="729"/>
      <c r="H141" s="729"/>
    </row>
    <row r="142" spans="1:8" ht="15">
      <c r="A142" s="730" t="s">
        <v>746</v>
      </c>
      <c r="B142" s="729"/>
      <c r="C142" s="729"/>
      <c r="D142" s="729"/>
      <c r="E142" s="729"/>
      <c r="F142" s="729"/>
      <c r="G142" s="729"/>
      <c r="H142" s="729"/>
    </row>
    <row r="143" spans="1:8" ht="15">
      <c r="A143" s="730" t="s">
        <v>747</v>
      </c>
      <c r="B143" s="729"/>
      <c r="C143" s="729"/>
      <c r="D143" s="729"/>
      <c r="E143" s="729"/>
      <c r="F143" s="729"/>
      <c r="G143" s="729"/>
      <c r="H143" s="729"/>
    </row>
    <row r="144" spans="1:8" ht="15">
      <c r="A144" s="729"/>
      <c r="B144" s="729"/>
      <c r="C144" s="729"/>
      <c r="D144" s="729"/>
      <c r="E144" s="729"/>
      <c r="F144" s="729"/>
      <c r="G144" s="729"/>
      <c r="H144" s="729"/>
    </row>
    <row r="145" spans="1:8" ht="15">
      <c r="A145" s="730" t="s">
        <v>743</v>
      </c>
      <c r="B145" s="729"/>
      <c r="C145" s="729"/>
      <c r="D145" s="729"/>
      <c r="E145" s="729"/>
      <c r="F145" s="729"/>
      <c r="G145" s="729"/>
      <c r="H145" s="729"/>
    </row>
    <row r="146" spans="1:8" ht="15">
      <c r="A146" s="730" t="s">
        <v>744</v>
      </c>
      <c r="B146" s="729"/>
      <c r="C146" s="729"/>
      <c r="D146" s="729"/>
      <c r="E146" s="729"/>
      <c r="F146" s="729"/>
      <c r="G146" s="729"/>
      <c r="H146" s="729"/>
    </row>
    <row r="147" spans="1:8" ht="15">
      <c r="A147" s="729"/>
      <c r="B147" s="729"/>
      <c r="C147" s="729"/>
      <c r="D147" s="729"/>
      <c r="E147" s="729"/>
      <c r="F147" s="729"/>
      <c r="G147" s="729"/>
      <c r="H147" s="729"/>
    </row>
    <row r="148" spans="1:8" ht="15.75">
      <c r="A148" s="731" t="s">
        <v>567</v>
      </c>
      <c r="B148" s="729"/>
      <c r="C148" s="729"/>
      <c r="D148" s="729"/>
      <c r="E148" s="729"/>
      <c r="F148" s="729"/>
      <c r="G148" s="729"/>
      <c r="H148" s="729"/>
    </row>
    <row r="149" spans="1:8" ht="15">
      <c r="A149" s="729"/>
      <c r="B149" s="729"/>
      <c r="C149" s="729"/>
      <c r="D149" s="729"/>
      <c r="E149" s="729"/>
      <c r="F149" s="729"/>
      <c r="G149" s="729"/>
      <c r="H149" s="729"/>
    </row>
    <row r="150" spans="1:8" ht="15">
      <c r="A150" s="730" t="s">
        <v>741</v>
      </c>
      <c r="B150" s="729"/>
      <c r="C150" s="729"/>
      <c r="D150" s="729"/>
      <c r="E150" s="729"/>
      <c r="F150" s="729"/>
      <c r="G150" s="729"/>
      <c r="H150" s="729"/>
    </row>
    <row r="151" spans="1:8" ht="15">
      <c r="A151" s="730" t="s">
        <v>742</v>
      </c>
      <c r="B151" s="729"/>
      <c r="C151" s="729"/>
      <c r="D151" s="729"/>
      <c r="E151" s="729"/>
      <c r="F151" s="729"/>
      <c r="G151" s="729"/>
      <c r="H151" s="729"/>
    </row>
    <row r="152" spans="1:8" ht="15">
      <c r="A152" s="729"/>
      <c r="B152" s="729"/>
      <c r="C152" s="729"/>
      <c r="D152" s="729"/>
      <c r="E152" s="729"/>
      <c r="F152" s="729"/>
      <c r="G152" s="729"/>
      <c r="H152" s="729"/>
    </row>
    <row r="153" spans="1:8" ht="15">
      <c r="A153" s="730" t="s">
        <v>739</v>
      </c>
      <c r="B153" s="729"/>
      <c r="C153" s="729"/>
      <c r="D153" s="729"/>
      <c r="E153" s="729"/>
      <c r="F153" s="729"/>
      <c r="G153" s="729"/>
      <c r="H153" s="729"/>
    </row>
    <row r="154" spans="1:8" ht="15">
      <c r="A154" s="730" t="s">
        <v>740</v>
      </c>
      <c r="B154" s="729"/>
      <c r="C154" s="729"/>
      <c r="D154" s="729"/>
      <c r="E154" s="729"/>
      <c r="F154" s="729"/>
      <c r="G154" s="729"/>
      <c r="H154" s="729"/>
    </row>
    <row r="155" spans="1:8" ht="15">
      <c r="A155" s="729"/>
      <c r="B155" s="729"/>
      <c r="C155" s="729"/>
      <c r="D155" s="729"/>
      <c r="E155" s="729"/>
      <c r="F155" s="729"/>
      <c r="G155" s="729"/>
      <c r="H155" s="729"/>
    </row>
    <row r="156" spans="1:8" ht="15">
      <c r="A156" s="730" t="s">
        <v>737</v>
      </c>
      <c r="B156" s="729"/>
      <c r="C156" s="729"/>
      <c r="D156" s="729"/>
      <c r="E156" s="729"/>
      <c r="F156" s="729"/>
      <c r="G156" s="729"/>
      <c r="H156" s="729"/>
    </row>
    <row r="157" spans="1:8" ht="15">
      <c r="A157" s="730" t="s">
        <v>738</v>
      </c>
      <c r="B157" s="729"/>
      <c r="C157" s="729"/>
      <c r="D157" s="729"/>
      <c r="E157" s="729"/>
      <c r="F157" s="729"/>
      <c r="G157" s="729"/>
      <c r="H157" s="729"/>
    </row>
    <row r="158" spans="1:8" ht="15">
      <c r="A158" s="729"/>
      <c r="B158" s="729"/>
      <c r="C158" s="729"/>
      <c r="D158" s="729"/>
      <c r="E158" s="729"/>
      <c r="F158" s="729"/>
      <c r="G158" s="729"/>
      <c r="H158" s="729"/>
    </row>
    <row r="159" spans="1:8" ht="15">
      <c r="A159" s="730" t="s">
        <v>734</v>
      </c>
      <c r="B159" s="729"/>
      <c r="C159" s="729"/>
      <c r="D159" s="729"/>
      <c r="E159" s="729"/>
      <c r="F159" s="729"/>
      <c r="G159" s="729"/>
      <c r="H159" s="729"/>
    </row>
    <row r="160" spans="1:8" ht="15">
      <c r="A160" s="730" t="s">
        <v>735</v>
      </c>
      <c r="B160" s="729"/>
      <c r="C160" s="729"/>
      <c r="D160" s="729"/>
      <c r="E160" s="729"/>
      <c r="F160" s="729"/>
      <c r="G160" s="729"/>
      <c r="H160" s="729"/>
    </row>
    <row r="161" spans="1:8" ht="15">
      <c r="A161" s="730" t="s">
        <v>736</v>
      </c>
      <c r="B161" s="729"/>
      <c r="C161" s="729"/>
      <c r="D161" s="729"/>
      <c r="E161" s="729"/>
      <c r="F161" s="729"/>
      <c r="G161" s="729"/>
      <c r="H161" s="729"/>
    </row>
    <row r="162" spans="1:8" ht="15">
      <c r="A162" s="729"/>
      <c r="B162" s="729"/>
      <c r="C162" s="729"/>
      <c r="D162" s="729"/>
      <c r="E162" s="729"/>
      <c r="F162" s="729"/>
      <c r="G162" s="729"/>
      <c r="H162" s="729"/>
    </row>
    <row r="163" spans="1:8" ht="15">
      <c r="A163" s="729"/>
      <c r="B163" s="729"/>
      <c r="C163" s="729"/>
      <c r="D163" s="729"/>
      <c r="E163" s="729"/>
      <c r="F163" s="729"/>
      <c r="G163" s="729"/>
      <c r="H163" s="729"/>
    </row>
    <row r="164" spans="1:8" ht="15">
      <c r="A164" s="730" t="s">
        <v>568</v>
      </c>
      <c r="B164" s="729"/>
      <c r="C164" s="729"/>
      <c r="D164" s="729"/>
      <c r="E164" s="729"/>
      <c r="F164" s="729"/>
      <c r="G164" s="729"/>
      <c r="H164" s="729"/>
    </row>
    <row r="165" spans="1:8" ht="15">
      <c r="A165" s="729"/>
      <c r="B165" s="729"/>
      <c r="C165" s="729"/>
      <c r="D165" s="729"/>
      <c r="E165" s="729"/>
      <c r="F165" s="729"/>
      <c r="G165" s="729"/>
      <c r="H165" s="729"/>
    </row>
    <row r="166" spans="1:8" ht="15.75">
      <c r="A166" s="731" t="s">
        <v>569</v>
      </c>
      <c r="B166" s="729"/>
      <c r="C166" s="729"/>
      <c r="D166" s="729"/>
      <c r="E166" s="729"/>
      <c r="F166" s="729"/>
      <c r="G166" s="729"/>
      <c r="H166" s="729"/>
    </row>
    <row r="167" spans="1:8" ht="15">
      <c r="A167" s="729"/>
      <c r="B167" s="729"/>
      <c r="C167" s="729"/>
      <c r="D167" s="729"/>
      <c r="E167" s="729"/>
      <c r="F167" s="729"/>
      <c r="G167" s="729"/>
      <c r="H167" s="729"/>
    </row>
    <row r="168" spans="1:8" ht="15">
      <c r="A168" s="729"/>
      <c r="B168" s="729"/>
      <c r="C168" s="729"/>
      <c r="D168" s="729"/>
      <c r="E168" s="729"/>
      <c r="F168" s="729"/>
      <c r="G168" s="729"/>
      <c r="H168" s="729"/>
    </row>
    <row r="169" spans="1:8" ht="15">
      <c r="A169" s="729"/>
      <c r="B169" s="729"/>
      <c r="C169" s="729"/>
      <c r="D169" s="729"/>
      <c r="E169" s="729"/>
      <c r="F169" s="729"/>
      <c r="G169" s="729"/>
      <c r="H169" s="729"/>
    </row>
    <row r="170" spans="1:8" ht="15">
      <c r="A170" s="729"/>
      <c r="B170" s="729"/>
      <c r="C170" s="729"/>
      <c r="D170" s="729"/>
      <c r="E170" s="729"/>
      <c r="F170" s="729"/>
      <c r="G170" s="729"/>
      <c r="H170" s="729"/>
    </row>
    <row r="171" spans="1:8" ht="15">
      <c r="A171" s="729"/>
      <c r="B171" s="729"/>
      <c r="C171" s="729"/>
      <c r="D171" s="729"/>
      <c r="E171" s="729"/>
      <c r="F171" s="729"/>
      <c r="G171" s="729"/>
      <c r="H171" s="729"/>
    </row>
    <row r="172" spans="1:8" ht="15">
      <c r="A172" s="729"/>
      <c r="B172" s="729"/>
      <c r="C172" s="729"/>
      <c r="D172" s="729"/>
      <c r="E172" s="729"/>
      <c r="F172" s="729"/>
      <c r="G172" s="729"/>
      <c r="H172" s="729"/>
    </row>
    <row r="173" spans="1:8" ht="15">
      <c r="A173" s="729"/>
      <c r="B173" s="729"/>
      <c r="C173" s="729"/>
      <c r="D173" s="729"/>
      <c r="E173" s="729"/>
      <c r="F173" s="729"/>
      <c r="G173" s="729"/>
      <c r="H173" s="729"/>
    </row>
    <row r="174" spans="1:8" ht="15">
      <c r="A174" s="729"/>
      <c r="B174" s="729"/>
      <c r="C174" s="729"/>
      <c r="D174" s="729"/>
      <c r="E174" s="729"/>
      <c r="F174" s="729"/>
      <c r="G174" s="729"/>
      <c r="H174" s="729"/>
    </row>
    <row r="175" spans="1:8" ht="15">
      <c r="A175" s="729"/>
      <c r="B175" s="729"/>
      <c r="C175" s="729"/>
      <c r="D175" s="729"/>
      <c r="E175" s="729"/>
      <c r="F175" s="729"/>
      <c r="G175" s="729"/>
      <c r="H175" s="729"/>
    </row>
    <row r="176" spans="1:8" ht="15">
      <c r="A176" s="729"/>
      <c r="B176" s="729"/>
      <c r="C176" s="729"/>
      <c r="D176" s="729"/>
      <c r="E176" s="729"/>
      <c r="F176" s="729"/>
      <c r="G176" s="729"/>
      <c r="H176" s="729"/>
    </row>
    <row r="177" spans="1:8" ht="15">
      <c r="A177" s="729"/>
      <c r="B177" s="729"/>
      <c r="C177" s="729"/>
      <c r="D177" s="729"/>
      <c r="E177" s="729"/>
      <c r="F177" s="729"/>
      <c r="G177" s="729"/>
      <c r="H177" s="729"/>
    </row>
    <row r="178" spans="1:8" ht="15">
      <c r="A178" s="729"/>
      <c r="B178" s="729"/>
      <c r="C178" s="729"/>
      <c r="D178" s="729"/>
      <c r="E178" s="729"/>
      <c r="F178" s="729"/>
      <c r="G178" s="729"/>
      <c r="H178" s="729"/>
    </row>
    <row r="179" spans="1:8" ht="15">
      <c r="A179" s="729"/>
      <c r="B179" s="729"/>
      <c r="C179" s="729"/>
      <c r="D179" s="729"/>
      <c r="E179" s="729"/>
      <c r="F179" s="729"/>
      <c r="G179" s="729"/>
      <c r="H179" s="729"/>
    </row>
    <row r="180" spans="1:8" ht="15">
      <c r="A180" s="729"/>
      <c r="B180" s="729"/>
      <c r="C180" s="729"/>
      <c r="D180" s="729"/>
      <c r="E180" s="729"/>
      <c r="F180" s="729"/>
      <c r="G180" s="729"/>
      <c r="H180" s="729"/>
    </row>
    <row r="181" spans="1:8" ht="15">
      <c r="A181" s="729"/>
      <c r="B181" s="729"/>
      <c r="C181" s="729"/>
      <c r="D181" s="729"/>
      <c r="E181" s="729"/>
      <c r="F181" s="729"/>
      <c r="G181" s="729"/>
      <c r="H181" s="729"/>
    </row>
    <row r="182" spans="1:8" ht="15">
      <c r="A182" s="729"/>
      <c r="B182" s="729"/>
      <c r="C182" s="729"/>
      <c r="D182" s="729"/>
      <c r="E182" s="729"/>
      <c r="F182" s="729"/>
      <c r="G182" s="729"/>
      <c r="H182" s="729"/>
    </row>
    <row r="183" spans="1:8" ht="15">
      <c r="A183" s="729"/>
      <c r="B183" s="729"/>
      <c r="C183" s="729"/>
      <c r="D183" s="729"/>
      <c r="E183" s="729"/>
      <c r="F183" s="729"/>
      <c r="G183" s="729"/>
      <c r="H183" s="729"/>
    </row>
    <row r="184" spans="1:8" ht="15">
      <c r="A184" s="729"/>
      <c r="B184" s="729"/>
      <c r="C184" s="729"/>
      <c r="D184" s="729"/>
      <c r="E184" s="729"/>
      <c r="F184" s="729"/>
      <c r="G184" s="729"/>
      <c r="H184" s="729"/>
    </row>
    <row r="185" spans="1:8" ht="15">
      <c r="A185" s="729"/>
      <c r="B185" s="729"/>
      <c r="C185" s="729"/>
      <c r="D185" s="729"/>
      <c r="E185" s="729"/>
      <c r="F185" s="729"/>
      <c r="G185" s="729"/>
      <c r="H185" s="729"/>
    </row>
    <row r="186" spans="1:8" ht="15">
      <c r="A186" s="729"/>
      <c r="B186" s="729"/>
      <c r="C186" s="729"/>
      <c r="D186" s="729"/>
      <c r="E186" s="729"/>
      <c r="F186" s="729"/>
      <c r="G186" s="729"/>
      <c r="H186" s="729"/>
    </row>
    <row r="187" spans="1:8" ht="15">
      <c r="A187" s="729"/>
      <c r="B187" s="729"/>
      <c r="C187" s="729"/>
      <c r="D187" s="729"/>
      <c r="E187" s="729"/>
      <c r="F187" s="729"/>
      <c r="G187" s="729"/>
      <c r="H187" s="729"/>
    </row>
    <row r="188" spans="1:8" ht="15">
      <c r="A188" s="729"/>
      <c r="B188" s="729"/>
      <c r="C188" s="729"/>
      <c r="D188" s="729"/>
      <c r="E188" s="729"/>
      <c r="F188" s="729"/>
      <c r="G188" s="729"/>
      <c r="H188" s="729"/>
    </row>
    <row r="189" spans="1:8" ht="15">
      <c r="A189" s="729"/>
      <c r="B189" s="729"/>
      <c r="C189" s="729"/>
      <c r="D189" s="729"/>
      <c r="E189" s="729"/>
      <c r="F189" s="729"/>
      <c r="G189" s="729"/>
      <c r="H189" s="729"/>
    </row>
    <row r="190" spans="1:8" ht="15">
      <c r="A190" s="729"/>
      <c r="B190" s="729"/>
      <c r="C190" s="729"/>
      <c r="D190" s="729"/>
      <c r="E190" s="729"/>
      <c r="F190" s="729"/>
      <c r="G190" s="729"/>
      <c r="H190" s="729"/>
    </row>
    <row r="191" spans="1:8" ht="15">
      <c r="A191" s="729"/>
      <c r="B191" s="729"/>
      <c r="C191" s="729"/>
      <c r="D191" s="729"/>
      <c r="E191" s="729"/>
      <c r="F191" s="729"/>
      <c r="G191" s="729"/>
      <c r="H191" s="729"/>
    </row>
    <row r="192" spans="1:8" ht="15">
      <c r="A192" s="729"/>
      <c r="B192" s="729"/>
      <c r="C192" s="729"/>
      <c r="D192" s="729"/>
      <c r="E192" s="729"/>
      <c r="F192" s="729"/>
      <c r="G192" s="729"/>
      <c r="H192" s="729"/>
    </row>
    <row r="193" spans="1:8" ht="15.75">
      <c r="A193" s="731" t="s">
        <v>570</v>
      </c>
      <c r="B193" s="729"/>
      <c r="C193" s="729"/>
      <c r="D193" s="729"/>
      <c r="E193" s="729"/>
      <c r="F193" s="729"/>
      <c r="G193" s="729"/>
      <c r="H193" s="729"/>
    </row>
    <row r="194" spans="1:8" ht="15">
      <c r="A194" s="729"/>
      <c r="B194" s="729"/>
      <c r="C194" s="729"/>
      <c r="D194" s="729"/>
      <c r="E194" s="729"/>
      <c r="F194" s="729"/>
      <c r="G194" s="729"/>
      <c r="H194" s="729"/>
    </row>
    <row r="195" spans="1:8" ht="15">
      <c r="A195" s="730" t="s">
        <v>729</v>
      </c>
      <c r="B195" s="729"/>
      <c r="C195" s="729"/>
      <c r="D195" s="729"/>
      <c r="E195" s="729"/>
      <c r="F195" s="729"/>
      <c r="G195" s="729"/>
      <c r="H195" s="729"/>
    </row>
    <row r="196" spans="1:8" ht="15">
      <c r="A196" s="730" t="s">
        <v>730</v>
      </c>
      <c r="B196" s="729"/>
      <c r="C196" s="729"/>
      <c r="D196" s="729"/>
      <c r="E196" s="729"/>
      <c r="F196" s="729"/>
      <c r="G196" s="729"/>
      <c r="H196" s="729"/>
    </row>
    <row r="197" spans="1:8" ht="15">
      <c r="A197" s="730" t="s">
        <v>731</v>
      </c>
      <c r="B197" s="729"/>
      <c r="C197" s="729"/>
      <c r="D197" s="729"/>
      <c r="E197" s="729"/>
      <c r="F197" s="729"/>
      <c r="G197" s="729"/>
      <c r="H197" s="729"/>
    </row>
    <row r="198" spans="1:8" ht="15">
      <c r="A198" s="730" t="s">
        <v>732</v>
      </c>
      <c r="B198" s="729"/>
      <c r="C198" s="729"/>
      <c r="D198" s="729"/>
      <c r="E198" s="729"/>
      <c r="F198" s="729"/>
      <c r="G198" s="729"/>
      <c r="H198" s="729"/>
    </row>
    <row r="199" spans="1:8" ht="15">
      <c r="A199" s="730" t="s">
        <v>733</v>
      </c>
      <c r="B199" s="729"/>
      <c r="C199" s="729"/>
      <c r="D199" s="729"/>
      <c r="E199" s="729"/>
      <c r="F199" s="729"/>
      <c r="G199" s="729"/>
      <c r="H199" s="729"/>
    </row>
    <row r="200" spans="1:8" ht="15">
      <c r="A200" s="729"/>
      <c r="B200" s="729"/>
      <c r="C200" s="729"/>
      <c r="D200" s="729"/>
      <c r="E200" s="729"/>
      <c r="F200" s="729"/>
      <c r="G200" s="729"/>
      <c r="H200" s="729"/>
    </row>
    <row r="201" spans="1:8" ht="15">
      <c r="A201" s="730" t="s">
        <v>726</v>
      </c>
      <c r="B201" s="729"/>
      <c r="C201" s="729"/>
      <c r="D201" s="729"/>
      <c r="E201" s="729"/>
      <c r="F201" s="729"/>
      <c r="G201" s="729"/>
      <c r="H201" s="729"/>
    </row>
    <row r="202" spans="1:8" ht="15">
      <c r="A202" s="730" t="s">
        <v>727</v>
      </c>
      <c r="B202" s="729"/>
      <c r="C202" s="729"/>
      <c r="D202" s="729"/>
      <c r="E202" s="729"/>
      <c r="F202" s="729"/>
      <c r="G202" s="729"/>
      <c r="H202" s="729"/>
    </row>
    <row r="203" spans="1:8" ht="15">
      <c r="A203" s="730" t="s">
        <v>728</v>
      </c>
      <c r="B203" s="729"/>
      <c r="C203" s="729"/>
      <c r="D203" s="729"/>
      <c r="E203" s="729"/>
      <c r="F203" s="729"/>
      <c r="G203" s="729"/>
      <c r="H203" s="729"/>
    </row>
    <row r="204" spans="1:8" ht="15.75">
      <c r="A204" s="731" t="s">
        <v>571</v>
      </c>
      <c r="B204" s="729"/>
      <c r="C204" s="729"/>
      <c r="D204" s="729"/>
      <c r="E204" s="729"/>
      <c r="F204" s="729"/>
      <c r="G204" s="729"/>
      <c r="H204" s="729"/>
    </row>
    <row r="205" spans="1:8" ht="15">
      <c r="A205" s="729"/>
      <c r="B205" s="729"/>
      <c r="C205" s="729"/>
      <c r="D205" s="729"/>
      <c r="E205" s="729"/>
      <c r="F205" s="729"/>
      <c r="G205" s="729"/>
      <c r="H205" s="729"/>
    </row>
    <row r="206" spans="1:8" ht="15">
      <c r="A206" s="730" t="s">
        <v>719</v>
      </c>
      <c r="B206" s="729"/>
      <c r="C206" s="729"/>
      <c r="D206" s="729"/>
      <c r="E206" s="729"/>
      <c r="F206" s="729"/>
      <c r="G206" s="729"/>
      <c r="H206" s="729"/>
    </row>
    <row r="207" spans="1:8" ht="15">
      <c r="A207" s="730" t="s">
        <v>720</v>
      </c>
      <c r="B207" s="729"/>
      <c r="C207" s="729"/>
      <c r="D207" s="729"/>
      <c r="E207" s="729"/>
      <c r="F207" s="729"/>
      <c r="G207" s="729"/>
      <c r="H207" s="729"/>
    </row>
    <row r="208" spans="1:8" ht="15">
      <c r="A208" s="730" t="s">
        <v>721</v>
      </c>
      <c r="B208" s="729"/>
      <c r="C208" s="729"/>
      <c r="D208" s="729"/>
      <c r="E208" s="729"/>
      <c r="F208" s="729"/>
      <c r="G208" s="729"/>
      <c r="H208" s="729"/>
    </row>
    <row r="209" spans="1:8" ht="15">
      <c r="A209" s="730" t="s">
        <v>722</v>
      </c>
      <c r="B209" s="729"/>
      <c r="C209" s="729"/>
      <c r="D209" s="729"/>
      <c r="E209" s="729"/>
      <c r="F209" s="729"/>
      <c r="G209" s="729"/>
      <c r="H209" s="729"/>
    </row>
    <row r="210" spans="1:8" ht="15">
      <c r="A210" s="730" t="s">
        <v>723</v>
      </c>
      <c r="B210" s="729"/>
      <c r="C210" s="729"/>
      <c r="D210" s="729"/>
      <c r="E210" s="729"/>
      <c r="F210" s="729"/>
      <c r="G210" s="729"/>
      <c r="H210" s="729"/>
    </row>
    <row r="211" spans="1:8" ht="15">
      <c r="A211" s="730" t="s">
        <v>724</v>
      </c>
      <c r="B211" s="729"/>
      <c r="C211" s="729"/>
      <c r="D211" s="729"/>
      <c r="E211" s="729"/>
      <c r="F211" s="729"/>
      <c r="G211" s="729"/>
      <c r="H211" s="729"/>
    </row>
    <row r="212" spans="1:8" ht="15">
      <c r="A212" s="730" t="s">
        <v>725</v>
      </c>
      <c r="B212" s="729"/>
      <c r="C212" s="729"/>
      <c r="D212" s="729"/>
      <c r="E212" s="729"/>
      <c r="F212" s="729"/>
      <c r="G212" s="729"/>
      <c r="H212" s="729"/>
    </row>
    <row r="213" spans="1:8" ht="15">
      <c r="A213" s="729"/>
      <c r="B213" s="729"/>
      <c r="C213" s="729"/>
      <c r="D213" s="729"/>
      <c r="E213" s="729"/>
      <c r="F213" s="729"/>
      <c r="G213" s="729"/>
      <c r="H213" s="729"/>
    </row>
    <row r="214" spans="1:8" ht="15">
      <c r="A214" s="730" t="s">
        <v>716</v>
      </c>
      <c r="B214" s="729"/>
      <c r="C214" s="729"/>
      <c r="D214" s="729"/>
      <c r="E214" s="729"/>
      <c r="F214" s="729"/>
      <c r="G214" s="729"/>
      <c r="H214" s="729"/>
    </row>
    <row r="215" spans="1:8" ht="15">
      <c r="A215" s="730" t="s">
        <v>717</v>
      </c>
      <c r="B215" s="729"/>
      <c r="C215" s="729"/>
      <c r="D215" s="729"/>
      <c r="E215" s="729"/>
      <c r="F215" s="729"/>
      <c r="G215" s="729"/>
      <c r="H215" s="729"/>
    </row>
    <row r="216" spans="1:8" ht="15">
      <c r="A216" s="730" t="s">
        <v>718</v>
      </c>
      <c r="B216" s="729"/>
      <c r="C216" s="729"/>
      <c r="D216" s="729"/>
      <c r="E216" s="729"/>
      <c r="F216" s="729"/>
      <c r="G216" s="729"/>
      <c r="H216" s="729"/>
    </row>
    <row r="217" spans="1:8" ht="15">
      <c r="A217" s="729"/>
      <c r="B217" s="729"/>
      <c r="C217" s="729"/>
      <c r="D217" s="729"/>
      <c r="E217" s="729"/>
      <c r="F217" s="729"/>
      <c r="G217" s="729"/>
      <c r="H217" s="729"/>
    </row>
    <row r="218" spans="1:8" ht="15">
      <c r="A218" s="730" t="s">
        <v>711</v>
      </c>
      <c r="B218" s="729"/>
      <c r="C218" s="729"/>
      <c r="D218" s="729"/>
      <c r="E218" s="729"/>
      <c r="F218" s="729"/>
      <c r="G218" s="729"/>
      <c r="H218" s="729"/>
    </row>
    <row r="219" spans="1:8" ht="15">
      <c r="A219" s="730" t="s">
        <v>712</v>
      </c>
      <c r="B219" s="729"/>
      <c r="C219" s="729"/>
      <c r="D219" s="729"/>
      <c r="E219" s="729"/>
      <c r="F219" s="729"/>
      <c r="G219" s="729"/>
      <c r="H219" s="729"/>
    </row>
    <row r="220" spans="1:8" ht="15">
      <c r="A220" s="730" t="s">
        <v>713</v>
      </c>
      <c r="B220" s="729"/>
      <c r="C220" s="729"/>
      <c r="D220" s="729"/>
      <c r="E220" s="729"/>
      <c r="F220" s="729"/>
      <c r="G220" s="729"/>
      <c r="H220" s="729"/>
    </row>
    <row r="221" spans="1:8" ht="15">
      <c r="A221" s="730" t="s">
        <v>714</v>
      </c>
      <c r="B221" s="729"/>
      <c r="C221" s="729"/>
      <c r="D221" s="729"/>
      <c r="E221" s="729"/>
      <c r="F221" s="729"/>
      <c r="G221" s="729"/>
      <c r="H221" s="729"/>
    </row>
    <row r="222" spans="1:8" ht="15">
      <c r="A222" s="730" t="s">
        <v>715</v>
      </c>
      <c r="B222" s="729"/>
      <c r="C222" s="729"/>
      <c r="D222" s="729"/>
      <c r="E222" s="729"/>
      <c r="F222" s="729"/>
      <c r="G222" s="729"/>
      <c r="H222" s="729"/>
    </row>
    <row r="223" spans="1:8" ht="15">
      <c r="A223" s="729"/>
      <c r="B223" s="729"/>
      <c r="C223" s="729"/>
      <c r="D223" s="729"/>
      <c r="E223" s="729"/>
      <c r="F223" s="729"/>
      <c r="G223" s="729"/>
      <c r="H223" s="729"/>
    </row>
    <row r="224" spans="1:8" ht="15">
      <c r="A224" s="730" t="s">
        <v>705</v>
      </c>
      <c r="B224" s="729"/>
      <c r="C224" s="729"/>
      <c r="D224" s="729"/>
      <c r="E224" s="729"/>
      <c r="F224" s="729"/>
      <c r="G224" s="729"/>
      <c r="H224" s="729"/>
    </row>
    <row r="225" spans="1:8" ht="15">
      <c r="A225" s="730" t="s">
        <v>706</v>
      </c>
      <c r="B225" s="729"/>
      <c r="C225" s="729"/>
      <c r="D225" s="729"/>
      <c r="E225" s="729"/>
      <c r="F225" s="729"/>
      <c r="G225" s="729"/>
      <c r="H225" s="729"/>
    </row>
    <row r="226" spans="1:8" ht="15">
      <c r="A226" s="730" t="s">
        <v>707</v>
      </c>
      <c r="B226" s="729"/>
      <c r="C226" s="729"/>
      <c r="D226" s="729"/>
      <c r="E226" s="729"/>
      <c r="F226" s="729"/>
      <c r="G226" s="729"/>
      <c r="H226" s="729"/>
    </row>
    <row r="227" spans="1:8" ht="15">
      <c r="A227" s="730" t="s">
        <v>708</v>
      </c>
      <c r="B227" s="729"/>
      <c r="C227" s="729"/>
      <c r="D227" s="729"/>
      <c r="E227" s="729"/>
      <c r="F227" s="729"/>
      <c r="G227" s="729"/>
      <c r="H227" s="729"/>
    </row>
    <row r="228" spans="1:8" ht="15">
      <c r="A228" s="730" t="s">
        <v>709</v>
      </c>
      <c r="B228" s="729"/>
      <c r="C228" s="729"/>
      <c r="D228" s="729"/>
      <c r="E228" s="729"/>
      <c r="F228" s="729"/>
      <c r="G228" s="729"/>
      <c r="H228" s="729"/>
    </row>
    <row r="229" spans="1:8" ht="15">
      <c r="A229" s="730" t="s">
        <v>710</v>
      </c>
      <c r="B229" s="729"/>
      <c r="C229" s="729"/>
      <c r="D229" s="729"/>
      <c r="E229" s="729"/>
      <c r="F229" s="729"/>
      <c r="G229" s="729"/>
      <c r="H229" s="729"/>
    </row>
    <row r="230" spans="1:8" ht="15">
      <c r="A230" s="729"/>
      <c r="B230" s="729"/>
      <c r="C230" s="729"/>
      <c r="D230" s="729"/>
      <c r="E230" s="729"/>
      <c r="F230" s="729"/>
      <c r="G230" s="729"/>
      <c r="H230" s="729"/>
    </row>
    <row r="231" spans="1:8" ht="15">
      <c r="A231" s="730" t="s">
        <v>695</v>
      </c>
      <c r="B231" s="729"/>
      <c r="C231" s="729"/>
      <c r="D231" s="729"/>
      <c r="E231" s="729"/>
      <c r="F231" s="729"/>
      <c r="G231" s="729"/>
      <c r="H231" s="729"/>
    </row>
    <row r="232" spans="1:8" ht="15">
      <c r="A232" s="730" t="s">
        <v>696</v>
      </c>
      <c r="B232" s="729"/>
      <c r="C232" s="729"/>
      <c r="D232" s="729"/>
      <c r="E232" s="729"/>
      <c r="F232" s="729"/>
      <c r="G232" s="729"/>
      <c r="H232" s="729"/>
    </row>
    <row r="233" spans="1:8" ht="15">
      <c r="A233" s="730" t="s">
        <v>697</v>
      </c>
      <c r="B233" s="729"/>
      <c r="C233" s="729"/>
      <c r="D233" s="729"/>
      <c r="E233" s="729"/>
      <c r="F233" s="729"/>
      <c r="G233" s="729"/>
      <c r="H233" s="729"/>
    </row>
    <row r="234" spans="1:8" ht="15">
      <c r="A234" s="730" t="s">
        <v>698</v>
      </c>
      <c r="B234" s="729"/>
      <c r="C234" s="729"/>
      <c r="D234" s="729"/>
      <c r="E234" s="729"/>
      <c r="F234" s="729"/>
      <c r="G234" s="729"/>
      <c r="H234" s="729"/>
    </row>
    <row r="235" spans="1:8" ht="15">
      <c r="A235" s="730" t="s">
        <v>699</v>
      </c>
      <c r="B235" s="729"/>
      <c r="C235" s="729"/>
      <c r="D235" s="729"/>
      <c r="E235" s="729"/>
      <c r="F235" s="729"/>
      <c r="G235" s="729"/>
      <c r="H235" s="729"/>
    </row>
    <row r="236" spans="1:8" ht="15">
      <c r="A236" s="730" t="s">
        <v>700</v>
      </c>
      <c r="B236" s="729"/>
      <c r="C236" s="729"/>
      <c r="D236" s="729"/>
      <c r="E236" s="729"/>
      <c r="F236" s="729"/>
      <c r="G236" s="729"/>
      <c r="H236" s="729"/>
    </row>
    <row r="237" spans="1:8" ht="15">
      <c r="A237" s="730" t="s">
        <v>701</v>
      </c>
      <c r="B237" s="729"/>
      <c r="C237" s="729"/>
      <c r="D237" s="729"/>
      <c r="E237" s="729"/>
      <c r="F237" s="729"/>
      <c r="G237" s="729"/>
      <c r="H237" s="729"/>
    </row>
    <row r="238" spans="1:8" ht="15">
      <c r="A238" s="730" t="s">
        <v>702</v>
      </c>
      <c r="B238" s="729"/>
      <c r="C238" s="729"/>
      <c r="D238" s="729"/>
      <c r="E238" s="729"/>
      <c r="F238" s="729"/>
      <c r="G238" s="729"/>
      <c r="H238" s="729"/>
    </row>
    <row r="239" spans="1:8" ht="15">
      <c r="A239" s="730" t="s">
        <v>703</v>
      </c>
      <c r="B239" s="729"/>
      <c r="C239" s="729"/>
      <c r="D239" s="729"/>
      <c r="E239" s="729"/>
      <c r="F239" s="729"/>
      <c r="G239" s="729"/>
      <c r="H239" s="729"/>
    </row>
    <row r="240" spans="1:8" ht="15">
      <c r="A240" s="730" t="s">
        <v>704</v>
      </c>
      <c r="B240" s="729"/>
      <c r="C240" s="729"/>
      <c r="D240" s="729"/>
      <c r="E240" s="729"/>
      <c r="F240" s="729"/>
      <c r="G240" s="729"/>
      <c r="H240" s="729"/>
    </row>
    <row r="241" spans="1:8" ht="15">
      <c r="A241" s="729"/>
      <c r="B241" s="729"/>
      <c r="C241" s="729"/>
      <c r="D241" s="729"/>
      <c r="E241" s="729"/>
      <c r="F241" s="729"/>
      <c r="G241" s="729"/>
      <c r="H241" s="729"/>
    </row>
    <row r="242" spans="1:8" ht="15">
      <c r="A242" s="730" t="s">
        <v>693</v>
      </c>
      <c r="B242" s="729"/>
      <c r="C242" s="729"/>
      <c r="D242" s="729"/>
      <c r="E242" s="729"/>
      <c r="F242" s="729"/>
      <c r="G242" s="729"/>
      <c r="H242" s="729"/>
    </row>
    <row r="243" spans="1:8" ht="15">
      <c r="A243" s="730" t="s">
        <v>694</v>
      </c>
      <c r="B243" s="729"/>
      <c r="C243" s="729"/>
      <c r="D243" s="729"/>
      <c r="E243" s="729"/>
      <c r="F243" s="729"/>
      <c r="G243" s="729"/>
      <c r="H243" s="729"/>
    </row>
    <row r="244" spans="1:8" ht="15">
      <c r="A244" s="729"/>
      <c r="B244" s="729"/>
      <c r="C244" s="729"/>
      <c r="D244" s="729"/>
      <c r="E244" s="729"/>
      <c r="F244" s="729"/>
      <c r="G244" s="729"/>
      <c r="H244" s="729"/>
    </row>
    <row r="245" spans="1:8" ht="15">
      <c r="A245" s="730" t="s">
        <v>677</v>
      </c>
      <c r="B245" s="729"/>
      <c r="C245" s="729"/>
      <c r="D245" s="729"/>
      <c r="E245" s="729"/>
      <c r="F245" s="729"/>
      <c r="G245" s="729"/>
      <c r="H245" s="729"/>
    </row>
    <row r="246" spans="1:8" ht="15">
      <c r="A246" s="730" t="s">
        <v>678</v>
      </c>
      <c r="B246" s="729"/>
      <c r="C246" s="729"/>
      <c r="D246" s="729"/>
      <c r="E246" s="729"/>
      <c r="F246" s="729"/>
      <c r="G246" s="729"/>
      <c r="H246" s="729"/>
    </row>
    <row r="247" spans="1:8" ht="15">
      <c r="A247" s="730" t="s">
        <v>679</v>
      </c>
      <c r="B247" s="729"/>
      <c r="C247" s="729"/>
      <c r="D247" s="729"/>
      <c r="E247" s="729"/>
      <c r="F247" s="729"/>
      <c r="G247" s="729"/>
      <c r="H247" s="729"/>
    </row>
    <row r="248" spans="1:8" ht="15">
      <c r="A248" s="730" t="s">
        <v>680</v>
      </c>
      <c r="B248" s="729"/>
      <c r="C248" s="729"/>
      <c r="D248" s="729"/>
      <c r="E248" s="729"/>
      <c r="F248" s="729"/>
      <c r="G248" s="729"/>
      <c r="H248" s="729"/>
    </row>
    <row r="249" spans="1:8" ht="15">
      <c r="A249" s="730" t="s">
        <v>681</v>
      </c>
      <c r="B249" s="729"/>
      <c r="C249" s="729"/>
      <c r="D249" s="729"/>
      <c r="E249" s="729"/>
      <c r="F249" s="729"/>
      <c r="G249" s="729"/>
      <c r="H249" s="729"/>
    </row>
    <row r="250" spans="1:8" ht="15">
      <c r="A250" s="730" t="s">
        <v>682</v>
      </c>
      <c r="B250" s="729"/>
      <c r="C250" s="729"/>
      <c r="D250" s="729"/>
      <c r="E250" s="729"/>
      <c r="F250" s="729"/>
      <c r="G250" s="729"/>
      <c r="H250" s="729"/>
    </row>
    <row r="251" spans="1:8" ht="15">
      <c r="A251" s="730" t="s">
        <v>683</v>
      </c>
      <c r="B251" s="729"/>
      <c r="C251" s="729"/>
      <c r="D251" s="729"/>
      <c r="E251" s="729"/>
      <c r="F251" s="729"/>
      <c r="G251" s="729"/>
      <c r="H251" s="729"/>
    </row>
    <row r="252" spans="1:8" ht="15">
      <c r="A252" s="730" t="s">
        <v>684</v>
      </c>
      <c r="B252" s="729"/>
      <c r="C252" s="729"/>
      <c r="D252" s="729"/>
      <c r="E252" s="729"/>
      <c r="F252" s="729"/>
      <c r="G252" s="729"/>
      <c r="H252" s="729"/>
    </row>
    <row r="253" spans="1:8" ht="15">
      <c r="A253" s="730" t="s">
        <v>685</v>
      </c>
      <c r="B253" s="729"/>
      <c r="C253" s="729"/>
      <c r="D253" s="729"/>
      <c r="E253" s="729"/>
      <c r="F253" s="729"/>
      <c r="G253" s="729"/>
      <c r="H253" s="729"/>
    </row>
    <row r="254" spans="1:8" ht="15">
      <c r="A254" s="730" t="s">
        <v>686</v>
      </c>
      <c r="B254" s="729"/>
      <c r="C254" s="729"/>
      <c r="D254" s="729"/>
      <c r="E254" s="729"/>
      <c r="F254" s="729"/>
      <c r="G254" s="729"/>
      <c r="H254" s="729"/>
    </row>
    <row r="255" spans="1:8" ht="15">
      <c r="A255" s="730" t="s">
        <v>687</v>
      </c>
      <c r="B255" s="729"/>
      <c r="C255" s="729"/>
      <c r="D255" s="729"/>
      <c r="E255" s="729"/>
      <c r="F255" s="729"/>
      <c r="G255" s="729"/>
      <c r="H255" s="729"/>
    </row>
    <row r="256" spans="1:8" ht="15">
      <c r="A256" s="730" t="s">
        <v>688</v>
      </c>
      <c r="B256" s="729"/>
      <c r="C256" s="729"/>
      <c r="D256" s="729"/>
      <c r="E256" s="729"/>
      <c r="F256" s="729"/>
      <c r="G256" s="729"/>
      <c r="H256" s="729"/>
    </row>
    <row r="257" spans="1:8" ht="15">
      <c r="A257" s="730" t="s">
        <v>689</v>
      </c>
      <c r="B257" s="729"/>
      <c r="C257" s="729"/>
      <c r="D257" s="729"/>
      <c r="E257" s="729"/>
      <c r="F257" s="729"/>
      <c r="G257" s="729"/>
      <c r="H257" s="729"/>
    </row>
    <row r="258" spans="1:8" ht="15">
      <c r="A258" s="730" t="s">
        <v>690</v>
      </c>
      <c r="B258" s="729"/>
      <c r="C258" s="729"/>
      <c r="D258" s="729"/>
      <c r="E258" s="729"/>
      <c r="F258" s="729"/>
      <c r="G258" s="729"/>
      <c r="H258" s="729"/>
    </row>
    <row r="259" spans="1:8" ht="15">
      <c r="A259" s="730" t="s">
        <v>691</v>
      </c>
      <c r="B259" s="729"/>
      <c r="C259" s="729"/>
      <c r="D259" s="729"/>
      <c r="E259" s="729"/>
      <c r="F259" s="729"/>
      <c r="G259" s="729"/>
      <c r="H259" s="729"/>
    </row>
    <row r="260" spans="1:8" ht="15">
      <c r="A260" s="730" t="s">
        <v>692</v>
      </c>
      <c r="B260" s="729"/>
      <c r="C260" s="729"/>
      <c r="D260" s="729"/>
      <c r="E260" s="729"/>
      <c r="F260" s="729"/>
      <c r="G260" s="729"/>
      <c r="H260" s="729"/>
    </row>
    <row r="261" spans="1:8" ht="15">
      <c r="A261" s="729"/>
      <c r="B261" s="729"/>
      <c r="C261" s="729"/>
      <c r="D261" s="729"/>
      <c r="E261" s="729"/>
      <c r="F261" s="729"/>
      <c r="G261" s="729"/>
      <c r="H261" s="729"/>
    </row>
    <row r="262" spans="1:8" ht="15">
      <c r="A262" s="730" t="s">
        <v>670</v>
      </c>
      <c r="B262" s="729"/>
      <c r="C262" s="729"/>
      <c r="D262" s="729"/>
      <c r="E262" s="729"/>
      <c r="F262" s="729"/>
      <c r="G262" s="729"/>
      <c r="H262" s="729"/>
    </row>
    <row r="263" spans="1:8" ht="15">
      <c r="A263" s="730" t="s">
        <v>671</v>
      </c>
      <c r="B263" s="729"/>
      <c r="C263" s="729"/>
      <c r="D263" s="729"/>
      <c r="E263" s="729"/>
      <c r="F263" s="729"/>
      <c r="G263" s="729"/>
      <c r="H263" s="729"/>
    </row>
    <row r="264" spans="1:8" ht="15">
      <c r="A264" s="730" t="s">
        <v>672</v>
      </c>
      <c r="B264" s="729"/>
      <c r="C264" s="729"/>
      <c r="D264" s="729"/>
      <c r="E264" s="729"/>
      <c r="F264" s="729"/>
      <c r="G264" s="729"/>
      <c r="H264" s="729"/>
    </row>
    <row r="265" spans="1:8" ht="15">
      <c r="A265" s="730" t="s">
        <v>673</v>
      </c>
      <c r="B265" s="729"/>
      <c r="C265" s="729"/>
      <c r="D265" s="729"/>
      <c r="E265" s="729"/>
      <c r="F265" s="729"/>
      <c r="G265" s="729"/>
      <c r="H265" s="729"/>
    </row>
    <row r="266" spans="1:8" ht="15">
      <c r="A266" s="730" t="s">
        <v>674</v>
      </c>
      <c r="B266" s="729"/>
      <c r="C266" s="729"/>
      <c r="D266" s="729"/>
      <c r="E266" s="729"/>
      <c r="F266" s="729"/>
      <c r="G266" s="729"/>
      <c r="H266" s="729"/>
    </row>
    <row r="267" spans="1:8" ht="15">
      <c r="A267" s="730" t="s">
        <v>675</v>
      </c>
      <c r="B267" s="729"/>
      <c r="C267" s="729"/>
      <c r="D267" s="729"/>
      <c r="E267" s="729"/>
      <c r="F267" s="729"/>
      <c r="G267" s="729"/>
      <c r="H267" s="729"/>
    </row>
    <row r="268" spans="1:8" ht="15">
      <c r="A268" s="730" t="s">
        <v>676</v>
      </c>
      <c r="B268" s="729"/>
      <c r="C268" s="729"/>
      <c r="D268" s="729"/>
      <c r="E268" s="729"/>
      <c r="F268" s="729"/>
      <c r="G268" s="729"/>
      <c r="H268" s="729"/>
    </row>
    <row r="269" spans="1:8" ht="15">
      <c r="A269" s="729"/>
      <c r="B269" s="729"/>
      <c r="C269" s="729"/>
      <c r="D269" s="729"/>
      <c r="E269" s="729"/>
      <c r="F269" s="729"/>
      <c r="G269" s="729"/>
      <c r="H269" s="729"/>
    </row>
    <row r="270" spans="1:8" ht="15">
      <c r="A270" s="730" t="s">
        <v>661</v>
      </c>
      <c r="B270" s="729"/>
      <c r="C270" s="729"/>
      <c r="D270" s="729"/>
      <c r="E270" s="729"/>
      <c r="F270" s="729"/>
      <c r="G270" s="729"/>
      <c r="H270" s="729"/>
    </row>
    <row r="271" spans="1:8" ht="15">
      <c r="A271" s="730" t="s">
        <v>662</v>
      </c>
      <c r="B271" s="729"/>
      <c r="C271" s="729"/>
      <c r="D271" s="729"/>
      <c r="E271" s="729"/>
      <c r="F271" s="729"/>
      <c r="G271" s="729"/>
      <c r="H271" s="729"/>
    </row>
    <row r="272" spans="1:8" ht="15">
      <c r="A272" s="730" t="s">
        <v>663</v>
      </c>
      <c r="B272" s="729"/>
      <c r="C272" s="729"/>
      <c r="D272" s="729"/>
      <c r="E272" s="729"/>
      <c r="F272" s="729"/>
      <c r="G272" s="729"/>
      <c r="H272" s="729"/>
    </row>
    <row r="273" spans="1:8" ht="15">
      <c r="A273" s="730" t="s">
        <v>664</v>
      </c>
      <c r="B273" s="729"/>
      <c r="C273" s="729"/>
      <c r="D273" s="729"/>
      <c r="E273" s="729"/>
      <c r="F273" s="729"/>
      <c r="G273" s="729"/>
      <c r="H273" s="729"/>
    </row>
    <row r="274" spans="1:8" ht="15">
      <c r="A274" s="730" t="s">
        <v>665</v>
      </c>
      <c r="B274" s="729"/>
      <c r="C274" s="729"/>
      <c r="D274" s="729"/>
      <c r="E274" s="729"/>
      <c r="F274" s="729"/>
      <c r="G274" s="729"/>
      <c r="H274" s="729"/>
    </row>
    <row r="275" spans="1:8" ht="15">
      <c r="A275" s="730" t="s">
        <v>666</v>
      </c>
      <c r="B275" s="729"/>
      <c r="C275" s="729"/>
      <c r="D275" s="729"/>
      <c r="E275" s="729"/>
      <c r="F275" s="729"/>
      <c r="G275" s="729"/>
      <c r="H275" s="729"/>
    </row>
    <row r="276" spans="1:8" ht="15">
      <c r="A276" s="730" t="s">
        <v>667</v>
      </c>
      <c r="B276" s="729"/>
      <c r="C276" s="729"/>
      <c r="D276" s="729"/>
      <c r="E276" s="729"/>
      <c r="F276" s="729"/>
      <c r="G276" s="729"/>
      <c r="H276" s="729"/>
    </row>
    <row r="277" spans="1:8" ht="15">
      <c r="A277" s="730" t="s">
        <v>668</v>
      </c>
      <c r="B277" s="729"/>
      <c r="C277" s="729"/>
      <c r="D277" s="729"/>
      <c r="E277" s="729"/>
      <c r="F277" s="729"/>
      <c r="G277" s="729"/>
      <c r="H277" s="729"/>
    </row>
    <row r="278" spans="1:8" ht="15">
      <c r="A278" s="730" t="s">
        <v>669</v>
      </c>
      <c r="B278" s="729"/>
      <c r="C278" s="729"/>
      <c r="D278" s="729"/>
      <c r="E278" s="729"/>
      <c r="F278" s="729"/>
      <c r="G278" s="729"/>
      <c r="H278" s="729"/>
    </row>
    <row r="279" spans="1:8" ht="15">
      <c r="A279" s="729"/>
      <c r="B279" s="729"/>
      <c r="C279" s="729"/>
      <c r="D279" s="729"/>
      <c r="E279" s="729"/>
      <c r="F279" s="729"/>
      <c r="G279" s="729"/>
      <c r="H279" s="729"/>
    </row>
    <row r="280" spans="1:8" ht="15">
      <c r="A280" s="730" t="s">
        <v>654</v>
      </c>
      <c r="B280" s="729"/>
      <c r="C280" s="729"/>
      <c r="D280" s="729"/>
      <c r="E280" s="729"/>
      <c r="F280" s="729"/>
      <c r="G280" s="729"/>
      <c r="H280" s="729"/>
    </row>
    <row r="281" spans="1:8" ht="15">
      <c r="A281" s="730" t="s">
        <v>655</v>
      </c>
      <c r="B281" s="729"/>
      <c r="C281" s="729"/>
      <c r="D281" s="729"/>
      <c r="E281" s="729"/>
      <c r="F281" s="729"/>
      <c r="G281" s="729"/>
      <c r="H281" s="729"/>
    </row>
    <row r="282" spans="1:8" ht="15">
      <c r="A282" s="730" t="s">
        <v>656</v>
      </c>
      <c r="B282" s="729"/>
      <c r="C282" s="729"/>
      <c r="D282" s="729"/>
      <c r="E282" s="729"/>
      <c r="F282" s="729"/>
      <c r="G282" s="729"/>
      <c r="H282" s="729"/>
    </row>
    <row r="283" spans="1:8" ht="15">
      <c r="A283" s="730" t="s">
        <v>657</v>
      </c>
      <c r="B283" s="729"/>
      <c r="C283" s="729"/>
      <c r="D283" s="729"/>
      <c r="E283" s="729"/>
      <c r="F283" s="729"/>
      <c r="G283" s="729"/>
      <c r="H283" s="729"/>
    </row>
    <row r="284" spans="1:8" ht="15">
      <c r="A284" s="730" t="s">
        <v>658</v>
      </c>
      <c r="B284" s="729"/>
      <c r="C284" s="729"/>
      <c r="D284" s="729"/>
      <c r="E284" s="729"/>
      <c r="F284" s="729"/>
      <c r="G284" s="729"/>
      <c r="H284" s="729"/>
    </row>
    <row r="285" spans="1:8" ht="15">
      <c r="A285" s="730" t="s">
        <v>659</v>
      </c>
      <c r="B285" s="729"/>
      <c r="C285" s="729"/>
      <c r="D285" s="729"/>
      <c r="E285" s="729"/>
      <c r="F285" s="729"/>
      <c r="G285" s="729"/>
      <c r="H285" s="729"/>
    </row>
    <row r="286" spans="1:8" ht="15">
      <c r="A286" s="730" t="s">
        <v>660</v>
      </c>
      <c r="B286" s="729"/>
      <c r="C286" s="729"/>
      <c r="D286" s="729"/>
      <c r="E286" s="729"/>
      <c r="F286" s="729"/>
      <c r="G286" s="729"/>
      <c r="H286" s="729"/>
    </row>
    <row r="287" spans="1:8" ht="15">
      <c r="A287" s="729"/>
      <c r="B287" s="729"/>
      <c r="C287" s="729"/>
      <c r="D287" s="729"/>
      <c r="E287" s="729"/>
      <c r="F287" s="729"/>
      <c r="G287" s="729"/>
      <c r="H287" s="729"/>
    </row>
    <row r="288" spans="1:8" ht="15">
      <c r="A288" s="730" t="s">
        <v>651</v>
      </c>
      <c r="B288" s="729"/>
      <c r="C288" s="729"/>
      <c r="D288" s="729"/>
      <c r="E288" s="729"/>
      <c r="F288" s="729"/>
      <c r="G288" s="729"/>
      <c r="H288" s="729"/>
    </row>
    <row r="289" spans="1:8" ht="15">
      <c r="A289" s="730" t="s">
        <v>652</v>
      </c>
      <c r="B289" s="729"/>
      <c r="C289" s="729"/>
      <c r="D289" s="729"/>
      <c r="E289" s="729"/>
      <c r="F289" s="729"/>
      <c r="G289" s="729"/>
      <c r="H289" s="729"/>
    </row>
    <row r="290" spans="1:8" ht="15">
      <c r="A290" s="730" t="s">
        <v>653</v>
      </c>
      <c r="B290" s="729"/>
      <c r="C290" s="729"/>
      <c r="D290" s="729"/>
      <c r="E290" s="729"/>
      <c r="F290" s="729"/>
      <c r="G290" s="729"/>
      <c r="H290" s="729"/>
    </row>
    <row r="291" spans="1:8" ht="15">
      <c r="A291" s="729"/>
      <c r="B291" s="729"/>
      <c r="C291" s="729"/>
      <c r="D291" s="729"/>
      <c r="E291" s="729"/>
      <c r="F291" s="729"/>
      <c r="G291" s="729"/>
      <c r="H291" s="729"/>
    </row>
    <row r="292" spans="1:8" ht="15">
      <c r="A292" s="730" t="s">
        <v>649</v>
      </c>
      <c r="B292" s="729"/>
      <c r="C292" s="729"/>
      <c r="D292" s="729"/>
      <c r="E292" s="729"/>
      <c r="F292" s="729"/>
      <c r="G292" s="729"/>
      <c r="H292" s="729"/>
    </row>
    <row r="293" spans="1:8" ht="15">
      <c r="A293" s="730" t="s">
        <v>650</v>
      </c>
      <c r="B293" s="729"/>
      <c r="C293" s="729"/>
      <c r="D293" s="729"/>
      <c r="E293" s="729"/>
      <c r="F293" s="729"/>
      <c r="G293" s="729"/>
      <c r="H293" s="729"/>
    </row>
    <row r="294" spans="1:8" ht="15">
      <c r="A294" s="729"/>
      <c r="B294" s="729"/>
      <c r="C294" s="729"/>
      <c r="D294" s="729"/>
      <c r="E294" s="729"/>
      <c r="F294" s="729"/>
      <c r="G294" s="729"/>
      <c r="H294" s="729"/>
    </row>
    <row r="295" spans="1:8" ht="15">
      <c r="A295" s="730" t="s">
        <v>636</v>
      </c>
      <c r="B295" s="729"/>
      <c r="C295" s="729"/>
      <c r="D295" s="729"/>
      <c r="E295" s="729"/>
      <c r="F295" s="729"/>
      <c r="G295" s="729"/>
      <c r="H295" s="729"/>
    </row>
    <row r="296" spans="1:8" ht="15">
      <c r="A296" s="730" t="s">
        <v>637</v>
      </c>
      <c r="B296" s="729"/>
      <c r="C296" s="729"/>
      <c r="D296" s="729"/>
      <c r="E296" s="729"/>
      <c r="F296" s="729"/>
      <c r="G296" s="729"/>
      <c r="H296" s="729"/>
    </row>
    <row r="297" spans="1:8" ht="15">
      <c r="A297" s="730" t="s">
        <v>638</v>
      </c>
      <c r="B297" s="729"/>
      <c r="C297" s="729"/>
      <c r="D297" s="729"/>
      <c r="E297" s="729"/>
      <c r="F297" s="729"/>
      <c r="G297" s="729"/>
      <c r="H297" s="729"/>
    </row>
    <row r="298" spans="1:8" ht="15">
      <c r="A298" s="730" t="s">
        <v>639</v>
      </c>
      <c r="B298" s="729"/>
      <c r="C298" s="729"/>
      <c r="D298" s="729"/>
      <c r="E298" s="729"/>
      <c r="F298" s="729"/>
      <c r="G298" s="729"/>
      <c r="H298" s="729"/>
    </row>
    <row r="299" spans="1:8" ht="15">
      <c r="A299" s="730" t="s">
        <v>640</v>
      </c>
      <c r="B299" s="729"/>
      <c r="C299" s="729"/>
      <c r="D299" s="729"/>
      <c r="E299" s="729"/>
      <c r="F299" s="729"/>
      <c r="G299" s="729"/>
      <c r="H299" s="729"/>
    </row>
    <row r="300" spans="1:8" ht="15">
      <c r="A300" s="730" t="s">
        <v>641</v>
      </c>
      <c r="B300" s="729"/>
      <c r="C300" s="729"/>
      <c r="D300" s="729"/>
      <c r="E300" s="729"/>
      <c r="F300" s="729"/>
      <c r="G300" s="729"/>
      <c r="H300" s="729"/>
    </row>
    <row r="301" spans="1:8" ht="15">
      <c r="A301" s="730" t="s">
        <v>642</v>
      </c>
      <c r="B301" s="729"/>
      <c r="C301" s="729"/>
      <c r="D301" s="729"/>
      <c r="E301" s="729"/>
      <c r="F301" s="729"/>
      <c r="G301" s="729"/>
      <c r="H301" s="729"/>
    </row>
    <row r="302" spans="1:8" ht="15">
      <c r="A302" s="730" t="s">
        <v>643</v>
      </c>
      <c r="B302" s="729"/>
      <c r="C302" s="729"/>
      <c r="D302" s="729"/>
      <c r="E302" s="729"/>
      <c r="F302" s="729"/>
      <c r="G302" s="729"/>
      <c r="H302" s="729"/>
    </row>
    <row r="303" spans="1:8" ht="15">
      <c r="A303" s="730" t="s">
        <v>644</v>
      </c>
      <c r="B303" s="729"/>
      <c r="C303" s="729"/>
      <c r="D303" s="729"/>
      <c r="E303" s="729"/>
      <c r="F303" s="729"/>
      <c r="G303" s="729"/>
      <c r="H303" s="729"/>
    </row>
    <row r="304" spans="1:8" ht="15">
      <c r="A304" s="730" t="s">
        <v>645</v>
      </c>
      <c r="B304" s="729"/>
      <c r="C304" s="729"/>
      <c r="D304" s="729"/>
      <c r="E304" s="729"/>
      <c r="F304" s="729"/>
      <c r="G304" s="729"/>
      <c r="H304" s="729"/>
    </row>
    <row r="305" spans="1:8" ht="15">
      <c r="A305" s="730" t="s">
        <v>646</v>
      </c>
      <c r="B305" s="729"/>
      <c r="C305" s="729"/>
      <c r="D305" s="729"/>
      <c r="E305" s="729"/>
      <c r="F305" s="729"/>
      <c r="G305" s="729"/>
      <c r="H305" s="729"/>
    </row>
    <row r="306" spans="1:8" ht="15">
      <c r="A306" s="730" t="s">
        <v>647</v>
      </c>
      <c r="B306" s="729"/>
      <c r="C306" s="729"/>
      <c r="D306" s="729"/>
      <c r="E306" s="729"/>
      <c r="F306" s="729"/>
      <c r="G306" s="729"/>
      <c r="H306" s="729"/>
    </row>
    <row r="307" spans="1:8" ht="15">
      <c r="A307" s="730" t="s">
        <v>648</v>
      </c>
      <c r="B307" s="729"/>
      <c r="C307" s="729"/>
      <c r="D307" s="729"/>
      <c r="E307" s="729"/>
      <c r="F307" s="729"/>
      <c r="G307" s="729"/>
      <c r="H307" s="729"/>
    </row>
    <row r="308" spans="1:8" ht="15">
      <c r="A308" s="729"/>
      <c r="B308" s="729"/>
      <c r="C308" s="729"/>
      <c r="D308" s="729"/>
      <c r="E308" s="729"/>
      <c r="F308" s="729"/>
      <c r="G308" s="729"/>
      <c r="H308" s="729"/>
    </row>
    <row r="309" spans="1:8" ht="15">
      <c r="A309" s="730" t="s">
        <v>628</v>
      </c>
      <c r="B309" s="729"/>
      <c r="C309" s="729"/>
      <c r="D309" s="729"/>
      <c r="E309" s="729"/>
      <c r="F309" s="729"/>
      <c r="G309" s="729"/>
      <c r="H309" s="729"/>
    </row>
    <row r="310" spans="1:8" ht="15">
      <c r="A310" s="730" t="s">
        <v>629</v>
      </c>
      <c r="B310" s="729"/>
      <c r="C310" s="729"/>
      <c r="D310" s="729"/>
      <c r="E310" s="729"/>
      <c r="F310" s="729"/>
      <c r="G310" s="729"/>
      <c r="H310" s="729"/>
    </row>
    <row r="311" spans="1:8" ht="15">
      <c r="A311" s="730" t="s">
        <v>630</v>
      </c>
      <c r="B311" s="729"/>
      <c r="C311" s="729"/>
      <c r="D311" s="729"/>
      <c r="E311" s="729"/>
      <c r="F311" s="729"/>
      <c r="G311" s="729"/>
      <c r="H311" s="729"/>
    </row>
    <row r="312" spans="1:8" ht="15">
      <c r="A312" s="730" t="s">
        <v>631</v>
      </c>
      <c r="B312" s="729"/>
      <c r="C312" s="729"/>
      <c r="D312" s="729"/>
      <c r="E312" s="729"/>
      <c r="F312" s="729"/>
      <c r="G312" s="729"/>
      <c r="H312" s="729"/>
    </row>
    <row r="313" spans="1:8" ht="15">
      <c r="A313" s="730" t="s">
        <v>632</v>
      </c>
      <c r="B313" s="729"/>
      <c r="C313" s="729"/>
      <c r="D313" s="729"/>
      <c r="E313" s="729"/>
      <c r="F313" s="729"/>
      <c r="G313" s="729"/>
      <c r="H313" s="729"/>
    </row>
    <row r="314" spans="1:8" ht="15">
      <c r="A314" s="730" t="s">
        <v>633</v>
      </c>
      <c r="B314" s="729"/>
      <c r="C314" s="729"/>
      <c r="D314" s="729"/>
      <c r="E314" s="729"/>
      <c r="F314" s="729"/>
      <c r="G314" s="729"/>
      <c r="H314" s="729"/>
    </row>
    <row r="315" spans="1:8" ht="15">
      <c r="A315" s="730" t="s">
        <v>634</v>
      </c>
      <c r="B315" s="729"/>
      <c r="C315" s="729"/>
      <c r="D315" s="729"/>
      <c r="E315" s="729"/>
      <c r="F315" s="729"/>
      <c r="G315" s="729"/>
      <c r="H315" s="729"/>
    </row>
    <row r="316" spans="1:8" ht="15">
      <c r="A316" s="730" t="s">
        <v>635</v>
      </c>
      <c r="B316" s="729"/>
      <c r="C316" s="729"/>
      <c r="D316" s="729"/>
      <c r="E316" s="729"/>
      <c r="F316" s="729"/>
      <c r="G316" s="729"/>
      <c r="H316" s="729"/>
    </row>
    <row r="317" spans="1:8" ht="15">
      <c r="A317" s="729"/>
      <c r="B317" s="729"/>
      <c r="C317" s="729"/>
      <c r="D317" s="729"/>
      <c r="E317" s="729"/>
      <c r="F317" s="729"/>
      <c r="G317" s="729"/>
      <c r="H317" s="729"/>
    </row>
    <row r="318" spans="1:8" ht="15">
      <c r="A318" s="730" t="s">
        <v>593</v>
      </c>
      <c r="B318" s="729"/>
      <c r="C318" s="729"/>
      <c r="D318" s="729"/>
      <c r="E318" s="729"/>
      <c r="F318" s="729"/>
      <c r="G318" s="729"/>
      <c r="H318" s="729"/>
    </row>
    <row r="319" spans="1:8" ht="15">
      <c r="A319" s="730" t="s">
        <v>594</v>
      </c>
      <c r="B319" s="729"/>
      <c r="C319" s="729"/>
      <c r="D319" s="729"/>
      <c r="E319" s="729"/>
      <c r="F319" s="729"/>
      <c r="G319" s="729"/>
      <c r="H319" s="729"/>
    </row>
    <row r="320" spans="1:8" ht="15">
      <c r="A320" s="730" t="s">
        <v>595</v>
      </c>
      <c r="B320" s="729"/>
      <c r="C320" s="729"/>
      <c r="D320" s="729"/>
      <c r="E320" s="729"/>
      <c r="F320" s="729"/>
      <c r="G320" s="729"/>
      <c r="H320" s="729"/>
    </row>
    <row r="321" spans="1:8" ht="15">
      <c r="A321" s="730" t="s">
        <v>596</v>
      </c>
      <c r="B321" s="729"/>
      <c r="C321" s="729"/>
      <c r="D321" s="729"/>
      <c r="E321" s="729"/>
      <c r="F321" s="729"/>
      <c r="G321" s="729"/>
      <c r="H321" s="729"/>
    </row>
    <row r="322" spans="1:8" ht="15">
      <c r="A322" s="730" t="s">
        <v>597</v>
      </c>
      <c r="B322" s="729"/>
      <c r="C322" s="729"/>
      <c r="D322" s="729"/>
      <c r="E322" s="729"/>
      <c r="F322" s="729"/>
      <c r="G322" s="729"/>
      <c r="H322" s="729"/>
    </row>
    <row r="323" spans="1:8" ht="15">
      <c r="A323" s="730" t="s">
        <v>598</v>
      </c>
      <c r="B323" s="729"/>
      <c r="C323" s="729"/>
      <c r="D323" s="729"/>
      <c r="E323" s="729"/>
      <c r="F323" s="729"/>
      <c r="G323" s="729"/>
      <c r="H323" s="729"/>
    </row>
    <row r="324" spans="1:8" ht="15">
      <c r="A324" s="730" t="s">
        <v>599</v>
      </c>
      <c r="B324" s="729"/>
      <c r="C324" s="729"/>
      <c r="D324" s="729"/>
      <c r="E324" s="729"/>
      <c r="F324" s="729"/>
      <c r="G324" s="729"/>
      <c r="H324" s="729"/>
    </row>
    <row r="325" spans="1:8" ht="15">
      <c r="A325" s="730" t="s">
        <v>600</v>
      </c>
      <c r="B325" s="729"/>
      <c r="C325" s="729"/>
      <c r="D325" s="729"/>
      <c r="E325" s="729"/>
      <c r="F325" s="729"/>
      <c r="G325" s="729"/>
      <c r="H325" s="729"/>
    </row>
    <row r="326" spans="1:8" ht="15">
      <c r="A326" s="730" t="s">
        <v>601</v>
      </c>
      <c r="B326" s="729"/>
      <c r="C326" s="729"/>
      <c r="D326" s="729"/>
      <c r="E326" s="729"/>
      <c r="F326" s="729"/>
      <c r="G326" s="729"/>
      <c r="H326" s="729"/>
    </row>
    <row r="327" spans="1:8" ht="15">
      <c r="A327" s="730" t="s">
        <v>602</v>
      </c>
      <c r="B327" s="729"/>
      <c r="C327" s="729"/>
      <c r="D327" s="729"/>
      <c r="E327" s="729"/>
      <c r="F327" s="729"/>
      <c r="G327" s="729"/>
      <c r="H327" s="729"/>
    </row>
    <row r="328" spans="1:8" ht="15">
      <c r="A328" s="730" t="s">
        <v>603</v>
      </c>
      <c r="B328" s="729"/>
      <c r="C328" s="729"/>
      <c r="D328" s="729"/>
      <c r="E328" s="729"/>
      <c r="F328" s="729"/>
      <c r="G328" s="729"/>
      <c r="H328" s="729"/>
    </row>
    <row r="329" spans="1:8" ht="15">
      <c r="A329" s="730" t="s">
        <v>604</v>
      </c>
      <c r="B329" s="729"/>
      <c r="C329" s="729"/>
      <c r="D329" s="729"/>
      <c r="E329" s="729"/>
      <c r="F329" s="729"/>
      <c r="G329" s="729"/>
      <c r="H329" s="729"/>
    </row>
    <row r="330" spans="1:8" ht="15">
      <c r="A330" s="730" t="s">
        <v>605</v>
      </c>
      <c r="B330" s="729"/>
      <c r="C330" s="729"/>
      <c r="D330" s="729"/>
      <c r="E330" s="729"/>
      <c r="F330" s="729"/>
      <c r="G330" s="729"/>
      <c r="H330" s="729"/>
    </row>
    <row r="331" spans="1:8" ht="15">
      <c r="A331" s="730" t="s">
        <v>606</v>
      </c>
      <c r="B331" s="729"/>
      <c r="C331" s="729"/>
      <c r="D331" s="729"/>
      <c r="E331" s="729"/>
      <c r="F331" s="729"/>
      <c r="G331" s="729"/>
      <c r="H331" s="729"/>
    </row>
    <row r="332" spans="1:8" ht="15">
      <c r="A332" s="730" t="s">
        <v>607</v>
      </c>
      <c r="B332" s="729"/>
      <c r="C332" s="729"/>
      <c r="D332" s="729"/>
      <c r="E332" s="729"/>
      <c r="F332" s="729"/>
      <c r="G332" s="729"/>
      <c r="H332" s="729"/>
    </row>
    <row r="333" spans="1:8" ht="15">
      <c r="A333" s="730" t="s">
        <v>608</v>
      </c>
      <c r="B333" s="729"/>
      <c r="C333" s="729"/>
      <c r="D333" s="729"/>
      <c r="E333" s="729"/>
      <c r="F333" s="729"/>
      <c r="G333" s="729"/>
      <c r="H333" s="729"/>
    </row>
    <row r="334" spans="1:8" ht="15">
      <c r="A334" s="730" t="s">
        <v>609</v>
      </c>
      <c r="B334" s="729"/>
      <c r="C334" s="729"/>
      <c r="D334" s="729"/>
      <c r="E334" s="729"/>
      <c r="F334" s="729"/>
      <c r="G334" s="729"/>
      <c r="H334" s="729"/>
    </row>
    <row r="335" spans="1:8" ht="15">
      <c r="A335" s="730" t="s">
        <v>610</v>
      </c>
      <c r="B335" s="729"/>
      <c r="C335" s="729"/>
      <c r="D335" s="729"/>
      <c r="E335" s="729"/>
      <c r="F335" s="729"/>
      <c r="G335" s="729"/>
      <c r="H335" s="729"/>
    </row>
    <row r="336" spans="1:8" ht="15">
      <c r="A336" s="730" t="s">
        <v>611</v>
      </c>
      <c r="B336" s="729"/>
      <c r="C336" s="729"/>
      <c r="D336" s="729"/>
      <c r="E336" s="729"/>
      <c r="F336" s="729"/>
      <c r="G336" s="729"/>
      <c r="H336" s="729"/>
    </row>
    <row r="337" spans="1:8" ht="15">
      <c r="A337" s="730" t="s">
        <v>612</v>
      </c>
      <c r="B337" s="729"/>
      <c r="C337" s="729"/>
      <c r="D337" s="729"/>
      <c r="E337" s="729"/>
      <c r="F337" s="729"/>
      <c r="G337" s="729"/>
      <c r="H337" s="729"/>
    </row>
    <row r="338" spans="1:8" ht="15">
      <c r="A338" s="730" t="s">
        <v>613</v>
      </c>
      <c r="B338" s="729"/>
      <c r="C338" s="729"/>
      <c r="D338" s="729"/>
      <c r="E338" s="729"/>
      <c r="F338" s="729"/>
      <c r="G338" s="729"/>
      <c r="H338" s="729"/>
    </row>
    <row r="339" spans="1:8" ht="15">
      <c r="A339" s="730" t="s">
        <v>614</v>
      </c>
      <c r="B339" s="729"/>
      <c r="C339" s="729"/>
      <c r="D339" s="729"/>
      <c r="E339" s="729"/>
      <c r="F339" s="729"/>
      <c r="G339" s="729"/>
      <c r="H339" s="729"/>
    </row>
    <row r="340" spans="1:8" ht="15">
      <c r="A340" s="730" t="s">
        <v>615</v>
      </c>
      <c r="B340" s="729"/>
      <c r="C340" s="729"/>
      <c r="D340" s="729"/>
      <c r="E340" s="729"/>
      <c r="F340" s="729"/>
      <c r="G340" s="729"/>
      <c r="H340" s="729"/>
    </row>
    <row r="341" spans="1:8" ht="15">
      <c r="A341" s="730" t="s">
        <v>616</v>
      </c>
      <c r="B341" s="729"/>
      <c r="C341" s="729"/>
      <c r="D341" s="729"/>
      <c r="E341" s="729"/>
      <c r="F341" s="729"/>
      <c r="G341" s="729"/>
      <c r="H341" s="729"/>
    </row>
    <row r="342" spans="1:8" ht="15">
      <c r="A342" s="730" t="s">
        <v>617</v>
      </c>
      <c r="B342" s="729"/>
      <c r="C342" s="729"/>
      <c r="D342" s="729"/>
      <c r="E342" s="729"/>
      <c r="F342" s="729"/>
      <c r="G342" s="729"/>
      <c r="H342" s="729"/>
    </row>
    <row r="343" spans="1:8" ht="15">
      <c r="A343" s="730" t="s">
        <v>618</v>
      </c>
      <c r="B343" s="729"/>
      <c r="C343" s="729"/>
      <c r="D343" s="729"/>
      <c r="E343" s="729"/>
      <c r="F343" s="729"/>
      <c r="G343" s="729"/>
      <c r="H343" s="729"/>
    </row>
    <row r="344" spans="1:8" ht="15">
      <c r="A344" s="730" t="s">
        <v>619</v>
      </c>
      <c r="B344" s="729"/>
      <c r="C344" s="729"/>
      <c r="D344" s="729"/>
      <c r="E344" s="729"/>
      <c r="F344" s="729"/>
      <c r="G344" s="729"/>
      <c r="H344" s="729"/>
    </row>
    <row r="345" spans="1:8" ht="15">
      <c r="A345" s="730" t="s">
        <v>620</v>
      </c>
      <c r="B345" s="729"/>
      <c r="C345" s="729"/>
      <c r="D345" s="729"/>
      <c r="E345" s="729"/>
      <c r="F345" s="729"/>
      <c r="G345" s="729"/>
      <c r="H345" s="729"/>
    </row>
    <row r="346" spans="1:8" ht="15">
      <c r="A346" s="730" t="s">
        <v>621</v>
      </c>
      <c r="B346" s="729"/>
      <c r="C346" s="729"/>
      <c r="D346" s="729"/>
      <c r="E346" s="729"/>
      <c r="F346" s="729"/>
      <c r="G346" s="729"/>
      <c r="H346" s="729"/>
    </row>
    <row r="347" spans="1:8" ht="15">
      <c r="A347" s="730" t="s">
        <v>622</v>
      </c>
      <c r="B347" s="729"/>
      <c r="C347" s="729"/>
      <c r="D347" s="729"/>
      <c r="E347" s="729"/>
      <c r="F347" s="729"/>
      <c r="G347" s="729"/>
      <c r="H347" s="729"/>
    </row>
    <row r="348" spans="1:8" ht="15">
      <c r="A348" s="730" t="s">
        <v>623</v>
      </c>
      <c r="B348" s="729"/>
      <c r="C348" s="729"/>
      <c r="D348" s="729"/>
      <c r="E348" s="729"/>
      <c r="F348" s="729"/>
      <c r="G348" s="729"/>
      <c r="H348" s="729"/>
    </row>
    <row r="349" spans="1:8" ht="15">
      <c r="A349" s="730" t="s">
        <v>624</v>
      </c>
      <c r="B349" s="729"/>
      <c r="C349" s="729"/>
      <c r="D349" s="729"/>
      <c r="E349" s="729"/>
      <c r="F349" s="729"/>
      <c r="G349" s="729"/>
      <c r="H349" s="729"/>
    </row>
    <row r="350" spans="1:8" ht="15">
      <c r="A350" s="730" t="s">
        <v>625</v>
      </c>
      <c r="B350" s="729"/>
      <c r="C350" s="729"/>
      <c r="D350" s="729"/>
      <c r="E350" s="729"/>
      <c r="F350" s="729"/>
      <c r="G350" s="729"/>
      <c r="H350" s="729"/>
    </row>
    <row r="351" spans="1:8" ht="15">
      <c r="A351" s="730" t="s">
        <v>626</v>
      </c>
      <c r="B351" s="729"/>
      <c r="C351" s="729"/>
      <c r="D351" s="729"/>
      <c r="E351" s="729"/>
      <c r="F351" s="729"/>
      <c r="G351" s="729"/>
      <c r="H351" s="729"/>
    </row>
    <row r="352" spans="1:8" ht="15">
      <c r="A352" s="730" t="s">
        <v>627</v>
      </c>
      <c r="B352" s="729"/>
      <c r="C352" s="729"/>
      <c r="D352" s="729"/>
      <c r="E352" s="729"/>
      <c r="F352" s="729"/>
      <c r="G352" s="729"/>
      <c r="H352" s="729"/>
    </row>
    <row r="353" spans="1:8" ht="15">
      <c r="A353" s="729"/>
      <c r="B353" s="729"/>
      <c r="C353" s="729"/>
      <c r="D353" s="729"/>
      <c r="E353" s="729"/>
      <c r="F353" s="729"/>
      <c r="G353" s="729"/>
      <c r="H353" s="729"/>
    </row>
    <row r="354" spans="1:8" ht="15">
      <c r="A354" s="730" t="s">
        <v>585</v>
      </c>
      <c r="B354" s="729"/>
      <c r="C354" s="729"/>
      <c r="D354" s="729"/>
      <c r="E354" s="729"/>
      <c r="F354" s="729"/>
      <c r="G354" s="729"/>
      <c r="H354" s="729"/>
    </row>
    <row r="355" spans="1:8" ht="15">
      <c r="A355" s="730" t="s">
        <v>589</v>
      </c>
      <c r="B355" s="729"/>
      <c r="C355" s="729"/>
      <c r="D355" s="729"/>
      <c r="E355" s="729"/>
      <c r="F355" s="729"/>
      <c r="G355" s="729"/>
      <c r="H355" s="729"/>
    </row>
    <row r="356" spans="1:8" ht="15">
      <c r="A356" s="730" t="s">
        <v>590</v>
      </c>
      <c r="B356" s="729"/>
      <c r="C356" s="729"/>
      <c r="D356" s="729"/>
      <c r="E356" s="729"/>
      <c r="F356" s="729"/>
      <c r="G356" s="729"/>
      <c r="H356" s="729"/>
    </row>
    <row r="357" spans="1:8" ht="15">
      <c r="A357" s="730" t="s">
        <v>591</v>
      </c>
      <c r="B357" s="729"/>
      <c r="C357" s="729"/>
      <c r="D357" s="729"/>
      <c r="E357" s="729"/>
      <c r="F357" s="729"/>
      <c r="G357" s="729"/>
      <c r="H357" s="729"/>
    </row>
    <row r="358" spans="1:8" ht="15">
      <c r="A358" s="730" t="s">
        <v>592</v>
      </c>
      <c r="B358" s="729"/>
      <c r="C358" s="729"/>
      <c r="D358" s="729"/>
      <c r="E358" s="729"/>
      <c r="F358" s="729"/>
      <c r="G358" s="729"/>
      <c r="H358" s="729"/>
    </row>
    <row r="359" spans="1:8" ht="15">
      <c r="A359" s="729"/>
      <c r="B359" s="729"/>
      <c r="C359" s="729"/>
      <c r="D359" s="729"/>
      <c r="E359" s="729"/>
      <c r="F359" s="729"/>
      <c r="G359" s="729"/>
      <c r="H359" s="729"/>
    </row>
    <row r="360" spans="1:8" ht="15">
      <c r="A360" s="730" t="s">
        <v>585</v>
      </c>
      <c r="B360" s="729"/>
      <c r="C360" s="729"/>
      <c r="D360" s="729"/>
      <c r="E360" s="729"/>
      <c r="F360" s="729"/>
      <c r="G360" s="729"/>
      <c r="H360" s="729"/>
    </row>
    <row r="361" spans="1:8" ht="15">
      <c r="A361" s="730" t="s">
        <v>586</v>
      </c>
      <c r="B361" s="729"/>
      <c r="C361" s="729"/>
      <c r="D361" s="729"/>
      <c r="E361" s="729"/>
      <c r="F361" s="729"/>
      <c r="G361" s="729"/>
      <c r="H361" s="729"/>
    </row>
    <row r="362" spans="1:8" ht="15">
      <c r="A362" s="730" t="s">
        <v>587</v>
      </c>
      <c r="B362" s="729"/>
      <c r="C362" s="729"/>
      <c r="D362" s="729"/>
      <c r="E362" s="729"/>
      <c r="F362" s="729"/>
      <c r="G362" s="729"/>
      <c r="H362" s="729"/>
    </row>
    <row r="363" spans="1:8" ht="15">
      <c r="A363" s="730" t="s">
        <v>588</v>
      </c>
      <c r="B363" s="729"/>
      <c r="C363" s="729"/>
      <c r="D363" s="729"/>
      <c r="E363" s="729"/>
      <c r="F363" s="729"/>
      <c r="G363" s="729"/>
      <c r="H363" s="729"/>
    </row>
    <row r="364" spans="1:8" ht="15">
      <c r="A364" s="729"/>
      <c r="B364" s="729"/>
      <c r="C364" s="729"/>
      <c r="D364" s="729"/>
      <c r="E364" s="729"/>
      <c r="F364" s="729"/>
      <c r="G364" s="729"/>
      <c r="H364" s="729"/>
    </row>
    <row r="365" spans="1:8" ht="15">
      <c r="A365" s="730" t="s">
        <v>579</v>
      </c>
      <c r="B365" s="729"/>
      <c r="C365" s="729"/>
      <c r="D365" s="729"/>
      <c r="E365" s="729"/>
      <c r="F365" s="729"/>
      <c r="G365" s="729"/>
      <c r="H365" s="729"/>
    </row>
    <row r="366" spans="1:8" ht="15">
      <c r="A366" s="730" t="s">
        <v>580</v>
      </c>
      <c r="B366" s="729"/>
      <c r="C366" s="729"/>
      <c r="D366" s="729"/>
      <c r="E366" s="729"/>
      <c r="F366" s="729"/>
      <c r="G366" s="729"/>
      <c r="H366" s="729"/>
    </row>
    <row r="367" spans="1:8" ht="15">
      <c r="A367" s="730" t="s">
        <v>581</v>
      </c>
      <c r="B367" s="729"/>
      <c r="C367" s="729"/>
      <c r="D367" s="729"/>
      <c r="E367" s="729"/>
      <c r="F367" s="729"/>
      <c r="G367" s="729"/>
      <c r="H367" s="729"/>
    </row>
    <row r="368" spans="1:8" ht="15">
      <c r="A368" s="730" t="s">
        <v>582</v>
      </c>
      <c r="B368" s="729"/>
      <c r="C368" s="729"/>
      <c r="D368" s="729"/>
      <c r="E368" s="729"/>
      <c r="F368" s="729"/>
      <c r="G368" s="729"/>
      <c r="H368" s="729"/>
    </row>
    <row r="369" spans="1:8" ht="15">
      <c r="A369" s="730" t="s">
        <v>583</v>
      </c>
      <c r="B369" s="729"/>
      <c r="C369" s="729"/>
      <c r="D369" s="729"/>
      <c r="E369" s="729"/>
      <c r="F369" s="729"/>
      <c r="G369" s="729"/>
      <c r="H369" s="729"/>
    </row>
    <row r="370" spans="1:8" ht="15">
      <c r="A370" s="730" t="s">
        <v>584</v>
      </c>
      <c r="B370" s="729"/>
      <c r="C370" s="729"/>
      <c r="D370" s="729"/>
      <c r="E370" s="729"/>
      <c r="F370" s="729"/>
      <c r="G370" s="729"/>
      <c r="H370" s="729"/>
    </row>
    <row r="371" spans="1:8" ht="15">
      <c r="A371" s="729"/>
      <c r="B371" s="729"/>
      <c r="C371" s="729"/>
      <c r="D371" s="729"/>
      <c r="E371" s="729"/>
      <c r="F371" s="729"/>
      <c r="G371" s="729"/>
      <c r="H371" s="729"/>
    </row>
    <row r="372" spans="1:8" ht="15">
      <c r="A372" s="730" t="s">
        <v>574</v>
      </c>
      <c r="B372" s="729"/>
      <c r="C372" s="729"/>
      <c r="D372" s="729"/>
      <c r="E372" s="729"/>
      <c r="F372" s="729"/>
      <c r="G372" s="729"/>
      <c r="H372" s="729"/>
    </row>
    <row r="373" spans="1:8" ht="15">
      <c r="A373" s="730" t="s">
        <v>575</v>
      </c>
      <c r="B373" s="729"/>
      <c r="C373" s="729"/>
      <c r="D373" s="729"/>
      <c r="E373" s="729"/>
      <c r="F373" s="729"/>
      <c r="G373" s="729"/>
      <c r="H373" s="729"/>
    </row>
    <row r="374" spans="1:8" ht="15">
      <c r="A374" s="730" t="s">
        <v>576</v>
      </c>
      <c r="B374" s="729"/>
      <c r="C374" s="729"/>
      <c r="D374" s="729"/>
      <c r="E374" s="729"/>
      <c r="F374" s="729"/>
      <c r="G374" s="729"/>
      <c r="H374" s="729"/>
    </row>
    <row r="375" spans="1:8" ht="15">
      <c r="A375" s="730" t="s">
        <v>577</v>
      </c>
      <c r="B375" s="729"/>
      <c r="C375" s="729"/>
      <c r="D375" s="729"/>
      <c r="E375" s="729"/>
      <c r="F375" s="729"/>
      <c r="G375" s="729"/>
      <c r="H375" s="729"/>
    </row>
    <row r="376" spans="1:8" ht="15">
      <c r="A376" s="730" t="s">
        <v>578</v>
      </c>
      <c r="B376" s="729"/>
      <c r="C376" s="729"/>
      <c r="D376" s="729"/>
      <c r="E376" s="729"/>
      <c r="F376" s="729"/>
      <c r="G376" s="729"/>
      <c r="H376" s="729"/>
    </row>
    <row r="377" spans="1:8" ht="15">
      <c r="A377" s="729"/>
      <c r="B377" s="729"/>
      <c r="C377" s="729"/>
      <c r="D377" s="729"/>
      <c r="E377" s="729"/>
      <c r="F377" s="729"/>
      <c r="G377" s="729"/>
      <c r="H377" s="729"/>
    </row>
    <row r="378" spans="1:8" ht="15">
      <c r="A378" s="730" t="s">
        <v>572</v>
      </c>
      <c r="B378" s="729"/>
      <c r="C378" s="729"/>
      <c r="D378" s="729"/>
      <c r="E378" s="729"/>
      <c r="F378" s="729"/>
      <c r="G378" s="729"/>
      <c r="H378" s="729"/>
    </row>
    <row r="379" spans="1:8" ht="15">
      <c r="A379" s="730" t="s">
        <v>573</v>
      </c>
      <c r="B379" s="729"/>
      <c r="C379" s="729"/>
      <c r="D379" s="729"/>
      <c r="E379" s="729"/>
      <c r="F379" s="729"/>
      <c r="G379" s="729"/>
      <c r="H379" s="729"/>
    </row>
    <row r="381" spans="1:8">
      <c r="A381" s="725" t="s">
        <v>821</v>
      </c>
    </row>
  </sheetData>
  <mergeCells count="12">
    <mergeCell ref="A122:H122"/>
    <mergeCell ref="A123:H123"/>
    <mergeCell ref="B115:C115"/>
    <mergeCell ref="D115:F115"/>
    <mergeCell ref="G115:H115"/>
    <mergeCell ref="A101:H101"/>
    <mergeCell ref="A102:H102"/>
    <mergeCell ref="A103:H103"/>
    <mergeCell ref="A104:H104"/>
    <mergeCell ref="A106:H106"/>
    <mergeCell ref="A107:H107"/>
    <mergeCell ref="A114:H114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BP90"/>
  <sheetViews>
    <sheetView zoomScale="85" zoomScaleNormal="85" zoomScalePageLayoutView="97" workbookViewId="0"/>
  </sheetViews>
  <sheetFormatPr defaultColWidth="8.85546875" defaultRowHeight="15" outlineLevelRow="1" outlineLevelCol="1"/>
  <cols>
    <col min="1" max="1" width="1.7109375" style="167" customWidth="1"/>
    <col min="2" max="2" width="8.85546875" style="167"/>
    <col min="3" max="3" width="37.7109375" style="167" customWidth="1"/>
    <col min="4" max="5" width="9.140625" style="167" hidden="1" customWidth="1"/>
    <col min="6" max="6" width="9" style="167" hidden="1" customWidth="1"/>
    <col min="7" max="7" width="10.28515625" style="167" hidden="1" customWidth="1" outlineLevel="1"/>
    <col min="8" max="11" width="12" style="167" hidden="1" customWidth="1" outlineLevel="1"/>
    <col min="12" max="12" width="10.28515625" style="167" hidden="1" customWidth="1" collapsed="1"/>
    <col min="13" max="16" width="12" style="167" hidden="1" customWidth="1" outlineLevel="1"/>
    <col min="17" max="17" width="9.85546875" style="167" bestFit="1" customWidth="1" collapsed="1"/>
    <col min="18" max="21" width="12" style="167" hidden="1" customWidth="1" outlineLevel="1"/>
    <col min="22" max="22" width="10.28515625" style="167" bestFit="1" customWidth="1" collapsed="1"/>
    <col min="23" max="26" width="10.28515625" style="167" hidden="1" customWidth="1" outlineLevel="1"/>
    <col min="27" max="27" width="10.28515625" style="167" bestFit="1" customWidth="1" collapsed="1"/>
    <col min="28" max="31" width="10.28515625" style="167" customWidth="1" outlineLevel="1"/>
    <col min="32" max="32" width="10.7109375" style="167" bestFit="1" customWidth="1"/>
    <col min="33" max="36" width="10.7109375" style="167" customWidth="1" outlineLevel="1"/>
    <col min="37" max="37" width="10.7109375" style="167" bestFit="1" customWidth="1"/>
    <col min="38" max="38" width="9.7109375" style="167" bestFit="1" customWidth="1"/>
    <col min="39" max="39" width="9.5703125" style="167" bestFit="1" customWidth="1"/>
    <col min="40" max="41" width="10.28515625" style="167" customWidth="1"/>
    <col min="42" max="42" width="10.85546875" style="167" customWidth="1"/>
    <col min="43" max="43" width="11.28515625" style="167" customWidth="1"/>
    <col min="44" max="44" width="11.7109375" style="167" customWidth="1"/>
    <col min="45" max="45" width="12.140625" style="167" customWidth="1"/>
    <col min="46" max="47" width="12.42578125" style="167" customWidth="1"/>
    <col min="48" max="48" width="12.7109375" style="167" customWidth="1"/>
    <col min="49" max="49" width="11.7109375" style="167" customWidth="1"/>
    <col min="50" max="50" width="9.5703125" style="167" customWidth="1"/>
    <col min="51" max="52" width="9.28515625" style="167" customWidth="1"/>
    <col min="53" max="53" width="12.28515625" style="167" customWidth="1"/>
    <col min="54" max="55" width="8.85546875" style="167" customWidth="1"/>
    <col min="56" max="56" width="39.5703125" customWidth="1" outlineLevel="1"/>
    <col min="57" max="61" width="8.85546875" customWidth="1" outlineLevel="1"/>
    <col min="62" max="65" width="8.85546875" style="167"/>
    <col min="66" max="66" width="9.42578125" style="167" bestFit="1" customWidth="1"/>
    <col min="67" max="67" width="4.5703125" style="167" bestFit="1" customWidth="1"/>
    <col min="68" max="68" width="11.7109375" style="167" bestFit="1" customWidth="1"/>
    <col min="69" max="16384" width="8.85546875" style="167"/>
  </cols>
  <sheetData>
    <row r="1" spans="1:50" ht="9" customHeight="1">
      <c r="A1" s="167">
        <v>0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  <c r="AI1" s="375"/>
      <c r="AJ1" s="375"/>
      <c r="AK1" s="373"/>
      <c r="AL1" s="373"/>
    </row>
    <row r="2" spans="1:50" ht="18.75">
      <c r="B2" s="523" t="s">
        <v>483</v>
      </c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6"/>
      <c r="V2" s="376"/>
      <c r="W2" s="376"/>
      <c r="X2" s="376"/>
      <c r="Y2" s="376"/>
      <c r="Z2" s="376"/>
      <c r="AA2" s="376"/>
      <c r="AB2" s="376"/>
      <c r="AC2" s="376"/>
      <c r="AD2" s="376"/>
      <c r="AE2" s="376"/>
      <c r="AF2" s="376"/>
      <c r="AG2" s="376"/>
      <c r="AH2" s="376"/>
      <c r="AI2" s="376"/>
      <c r="AJ2" s="376"/>
      <c r="AK2" s="374"/>
      <c r="AL2" s="374"/>
    </row>
    <row r="3" spans="1:50" ht="9.9499999999999993" customHeight="1">
      <c r="B3" s="1"/>
      <c r="C3" s="1"/>
      <c r="D3" s="1"/>
      <c r="E3" s="1"/>
      <c r="F3" s="2"/>
      <c r="G3" s="236"/>
      <c r="H3" s="237"/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  <c r="W3" s="237"/>
      <c r="X3" s="237"/>
      <c r="Y3" s="237"/>
      <c r="Z3" s="237"/>
      <c r="AA3" s="237"/>
      <c r="AB3" s="237"/>
      <c r="AC3" s="237"/>
      <c r="AD3" s="237"/>
      <c r="AE3" s="237"/>
      <c r="AF3" s="237"/>
      <c r="AG3" s="237"/>
      <c r="AH3" s="237"/>
      <c r="AI3" s="237"/>
      <c r="AJ3" s="237"/>
      <c r="AK3" s="237"/>
      <c r="AL3" s="237"/>
      <c r="AM3" s="237"/>
      <c r="AN3" s="237"/>
      <c r="AO3" s="237"/>
      <c r="AP3" s="237"/>
      <c r="AQ3" s="237"/>
      <c r="AR3" s="237"/>
      <c r="AS3" s="237"/>
      <c r="AT3" s="237"/>
      <c r="AU3" s="237"/>
      <c r="AV3" s="237"/>
      <c r="AW3" s="237"/>
    </row>
    <row r="4" spans="1:50">
      <c r="B4" s="672" t="s">
        <v>484</v>
      </c>
      <c r="C4" s="673"/>
      <c r="D4" s="174" t="s">
        <v>1</v>
      </c>
      <c r="E4" s="174" t="s">
        <v>2</v>
      </c>
      <c r="F4" s="174" t="s">
        <v>3</v>
      </c>
      <c r="G4" s="593" t="s">
        <v>25</v>
      </c>
      <c r="H4" s="549" t="s">
        <v>4</v>
      </c>
      <c r="I4" s="550" t="s">
        <v>5</v>
      </c>
      <c r="J4" s="550" t="s">
        <v>6</v>
      </c>
      <c r="K4" s="551" t="s">
        <v>7</v>
      </c>
      <c r="L4" s="548" t="s">
        <v>26</v>
      </c>
      <c r="M4" s="549" t="s">
        <v>8</v>
      </c>
      <c r="N4" s="550" t="s">
        <v>217</v>
      </c>
      <c r="O4" s="550" t="s">
        <v>223</v>
      </c>
      <c r="P4" s="551" t="s">
        <v>305</v>
      </c>
      <c r="Q4" s="548" t="s">
        <v>434</v>
      </c>
      <c r="R4" s="549" t="s">
        <v>336</v>
      </c>
      <c r="S4" s="550" t="s">
        <v>482</v>
      </c>
      <c r="T4" s="550" t="s">
        <v>499</v>
      </c>
      <c r="U4" s="551" t="s">
        <v>501</v>
      </c>
      <c r="V4" s="548" t="s">
        <v>502</v>
      </c>
      <c r="W4" s="549" t="s">
        <v>503</v>
      </c>
      <c r="X4" s="550" t="s">
        <v>504</v>
      </c>
      <c r="Y4" s="550" t="s">
        <v>505</v>
      </c>
      <c r="Z4" s="551" t="s">
        <v>507</v>
      </c>
      <c r="AA4" s="548" t="s">
        <v>508</v>
      </c>
      <c r="AB4" s="549" t="s">
        <v>510</v>
      </c>
      <c r="AC4" s="550" t="s">
        <v>513</v>
      </c>
      <c r="AD4" s="550" t="s">
        <v>514</v>
      </c>
      <c r="AE4" s="551" t="s">
        <v>528</v>
      </c>
      <c r="AF4" s="548" t="s">
        <v>529</v>
      </c>
      <c r="AG4" s="549" t="s">
        <v>524</v>
      </c>
      <c r="AH4" s="550" t="s">
        <v>525</v>
      </c>
      <c r="AI4" s="550" t="s">
        <v>526</v>
      </c>
      <c r="AJ4" s="551" t="s">
        <v>527</v>
      </c>
      <c r="AK4" s="548" t="s">
        <v>30</v>
      </c>
      <c r="AL4" s="548" t="s">
        <v>31</v>
      </c>
      <c r="AM4" s="548" t="s">
        <v>32</v>
      </c>
      <c r="AN4" s="548" t="s">
        <v>435</v>
      </c>
      <c r="AO4" s="548" t="s">
        <v>436</v>
      </c>
      <c r="AP4" s="548" t="s">
        <v>437</v>
      </c>
      <c r="AQ4" s="548" t="s">
        <v>438</v>
      </c>
      <c r="AR4" s="548" t="s">
        <v>439</v>
      </c>
      <c r="AS4" s="548" t="s">
        <v>440</v>
      </c>
      <c r="AT4" s="548" t="s">
        <v>441</v>
      </c>
      <c r="AU4" s="548" t="s">
        <v>442</v>
      </c>
      <c r="AV4" s="548" t="s">
        <v>443</v>
      </c>
      <c r="AW4" s="548" t="s">
        <v>444</v>
      </c>
    </row>
    <row r="5" spans="1:50">
      <c r="B5" s="533" t="s">
        <v>224</v>
      </c>
      <c r="C5" s="175"/>
      <c r="D5" s="176">
        <v>0</v>
      </c>
      <c r="E5" s="176">
        <v>0</v>
      </c>
      <c r="F5" s="176">
        <v>0</v>
      </c>
      <c r="G5" s="594">
        <v>0</v>
      </c>
      <c r="H5" s="595">
        <v>0</v>
      </c>
      <c r="I5" s="596">
        <v>0</v>
      </c>
      <c r="J5" s="596">
        <v>0</v>
      </c>
      <c r="K5" s="597">
        <v>0</v>
      </c>
      <c r="L5" s="594">
        <v>0</v>
      </c>
      <c r="M5" s="595">
        <v>0</v>
      </c>
      <c r="N5" s="596">
        <v>0</v>
      </c>
      <c r="O5" s="596">
        <v>0</v>
      </c>
      <c r="P5" s="597">
        <v>0</v>
      </c>
      <c r="Q5" s="594">
        <v>0</v>
      </c>
      <c r="R5" s="666">
        <v>0</v>
      </c>
      <c r="S5" s="667">
        <v>0</v>
      </c>
      <c r="T5" s="667">
        <v>0</v>
      </c>
      <c r="U5" s="668">
        <v>0</v>
      </c>
      <c r="V5" s="594">
        <v>0</v>
      </c>
      <c r="W5" s="666">
        <v>0</v>
      </c>
      <c r="X5" s="667">
        <v>0</v>
      </c>
      <c r="Y5" s="667">
        <v>0</v>
      </c>
      <c r="Z5" s="668">
        <v>0</v>
      </c>
      <c r="AA5" s="594">
        <v>0</v>
      </c>
      <c r="AB5" s="666">
        <v>0</v>
      </c>
      <c r="AC5" s="667">
        <v>0</v>
      </c>
      <c r="AD5" s="667">
        <v>0</v>
      </c>
      <c r="AE5" s="668">
        <v>0</v>
      </c>
      <c r="AF5" s="594">
        <f>Royalties!I42/1000</f>
        <v>0</v>
      </c>
      <c r="AG5" s="666">
        <v>0</v>
      </c>
      <c r="AH5" s="667">
        <v>0</v>
      </c>
      <c r="AI5" s="667">
        <v>0</v>
      </c>
      <c r="AJ5" s="668">
        <v>0</v>
      </c>
      <c r="AK5" s="594">
        <f>Royalties!J42/1000</f>
        <v>0</v>
      </c>
      <c r="AL5" s="594">
        <f>Royalties!K42/1000</f>
        <v>135959.17353535022</v>
      </c>
      <c r="AM5" s="594">
        <f>Royalties!L42/1000</f>
        <v>401648.92072068265</v>
      </c>
      <c r="AN5" s="594">
        <f>Royalties!M42/1000</f>
        <v>891090.20508124377</v>
      </c>
      <c r="AO5" s="594">
        <f>Royalties!N42/1000</f>
        <v>1280266.9958305729</v>
      </c>
      <c r="AP5" s="594">
        <f>Royalties!O42/1000</f>
        <v>1670318.9645734562</v>
      </c>
      <c r="AQ5" s="594">
        <f>Royalties!P42/1000</f>
        <v>2034547.8000622946</v>
      </c>
      <c r="AR5" s="594">
        <f>Royalties!Q42/1000</f>
        <v>2302994.0823130971</v>
      </c>
      <c r="AS5" s="594">
        <f>Royalties!R42/1000</f>
        <v>2555954.8035192923</v>
      </c>
      <c r="AT5" s="594">
        <f>Royalties!S42/1000</f>
        <v>2797105.2369713937</v>
      </c>
      <c r="AU5" s="594">
        <f>Royalties!T42/1000</f>
        <v>3039192.9129093271</v>
      </c>
      <c r="AV5" s="594">
        <f>Royalties!U42/1000</f>
        <v>3277483.155489027</v>
      </c>
      <c r="AW5" s="594">
        <f>Royalties!V42/1000</f>
        <v>3465292.9075352172</v>
      </c>
    </row>
    <row r="6" spans="1:50">
      <c r="B6" s="533" t="s">
        <v>225</v>
      </c>
      <c r="C6" s="175"/>
      <c r="D6" s="176">
        <v>0</v>
      </c>
      <c r="E6" s="176">
        <v>0</v>
      </c>
      <c r="F6" s="176">
        <v>0</v>
      </c>
      <c r="G6" s="594">
        <v>0</v>
      </c>
      <c r="H6" s="595">
        <v>0</v>
      </c>
      <c r="I6" s="596">
        <v>0</v>
      </c>
      <c r="J6" s="596">
        <v>0</v>
      </c>
      <c r="K6" s="597">
        <v>0</v>
      </c>
      <c r="L6" s="594">
        <v>0</v>
      </c>
      <c r="M6" s="595">
        <v>0</v>
      </c>
      <c r="N6" s="596">
        <v>0</v>
      </c>
      <c r="O6" s="596">
        <v>0</v>
      </c>
      <c r="P6" s="597">
        <v>0</v>
      </c>
      <c r="Q6" s="594">
        <v>0</v>
      </c>
      <c r="R6" s="595">
        <v>0</v>
      </c>
      <c r="S6" s="596">
        <v>0</v>
      </c>
      <c r="T6" s="596">
        <v>0</v>
      </c>
      <c r="U6" s="597">
        <v>0</v>
      </c>
      <c r="V6" s="594">
        <v>0</v>
      </c>
      <c r="W6" s="595">
        <v>0</v>
      </c>
      <c r="X6" s="596">
        <v>0</v>
      </c>
      <c r="Y6" s="596">
        <v>0</v>
      </c>
      <c r="Z6" s="597">
        <v>0</v>
      </c>
      <c r="AA6" s="594">
        <v>0</v>
      </c>
      <c r="AB6" s="595">
        <v>0</v>
      </c>
      <c r="AC6" s="596">
        <v>0</v>
      </c>
      <c r="AD6" s="596">
        <v>0</v>
      </c>
      <c r="AE6" s="597">
        <v>0</v>
      </c>
      <c r="AF6" s="594">
        <v>0</v>
      </c>
      <c r="AG6" s="595">
        <v>0</v>
      </c>
      <c r="AH6" s="596">
        <v>0</v>
      </c>
      <c r="AI6" s="596">
        <v>0</v>
      </c>
      <c r="AJ6" s="597">
        <v>0</v>
      </c>
      <c r="AK6" s="594">
        <v>0</v>
      </c>
      <c r="AL6" s="594">
        <f>Royalties!K45/1000</f>
        <v>0</v>
      </c>
      <c r="AM6" s="594">
        <f>Royalties!L45/1000</f>
        <v>0</v>
      </c>
      <c r="AN6" s="594">
        <f>Royalties!M45/1000</f>
        <v>0</v>
      </c>
      <c r="AO6" s="594">
        <f>Royalties!N45/1000</f>
        <v>0</v>
      </c>
      <c r="AP6" s="594">
        <f>Royalties!O45/1000</f>
        <v>0</v>
      </c>
      <c r="AQ6" s="594">
        <f>Royalties!P45/1000</f>
        <v>0</v>
      </c>
      <c r="AR6" s="594">
        <f>Royalties!Q45/1000</f>
        <v>0</v>
      </c>
      <c r="AS6" s="594">
        <f>Royalties!R45/1000</f>
        <v>0</v>
      </c>
      <c r="AT6" s="594">
        <f>Royalties!S45/1000</f>
        <v>0</v>
      </c>
      <c r="AU6" s="594">
        <f>Royalties!T45/1000</f>
        <v>0</v>
      </c>
      <c r="AV6" s="594">
        <f>Royalties!U45/1000</f>
        <v>0</v>
      </c>
      <c r="AW6" s="594">
        <f>Royalties!V45/1000</f>
        <v>0</v>
      </c>
    </row>
    <row r="7" spans="1:50">
      <c r="B7" s="533" t="s">
        <v>21</v>
      </c>
      <c r="C7" s="175"/>
      <c r="D7" s="176"/>
      <c r="E7" s="176"/>
      <c r="F7" s="176"/>
      <c r="G7" s="594">
        <v>0</v>
      </c>
      <c r="H7" s="595">
        <v>0</v>
      </c>
      <c r="I7" s="596">
        <v>0</v>
      </c>
      <c r="J7" s="596">
        <v>0</v>
      </c>
      <c r="K7" s="597">
        <v>0</v>
      </c>
      <c r="L7" s="594">
        <v>0</v>
      </c>
      <c r="M7" s="595">
        <v>0</v>
      </c>
      <c r="N7" s="596">
        <v>0</v>
      </c>
      <c r="O7" s="596">
        <v>0</v>
      </c>
      <c r="P7" s="597">
        <v>0</v>
      </c>
      <c r="Q7" s="594">
        <v>0</v>
      </c>
      <c r="R7" s="595">
        <v>0</v>
      </c>
      <c r="S7" s="596">
        <v>0</v>
      </c>
      <c r="T7" s="596">
        <v>0</v>
      </c>
      <c r="U7" s="597">
        <v>0</v>
      </c>
      <c r="V7" s="594">
        <v>0</v>
      </c>
      <c r="W7" s="595">
        <v>0</v>
      </c>
      <c r="X7" s="596">
        <v>0</v>
      </c>
      <c r="Y7" s="596">
        <v>0</v>
      </c>
      <c r="Z7" s="597">
        <v>0</v>
      </c>
      <c r="AA7" s="594">
        <v>0</v>
      </c>
      <c r="AB7" s="595">
        <v>0</v>
      </c>
      <c r="AC7" s="596">
        <v>0</v>
      </c>
      <c r="AD7" s="596">
        <v>0</v>
      </c>
      <c r="AE7" s="597">
        <v>0</v>
      </c>
      <c r="AF7" s="594">
        <v>0</v>
      </c>
      <c r="AG7" s="595">
        <v>0</v>
      </c>
      <c r="AH7" s="596">
        <v>0</v>
      </c>
      <c r="AI7" s="596">
        <v>0</v>
      </c>
      <c r="AJ7" s="597">
        <v>0</v>
      </c>
      <c r="AK7" s="594">
        <v>0</v>
      </c>
      <c r="AL7" s="594">
        <v>0</v>
      </c>
      <c r="AM7" s="594">
        <v>0</v>
      </c>
      <c r="AN7" s="594">
        <v>0</v>
      </c>
      <c r="AO7" s="594">
        <v>0</v>
      </c>
      <c r="AP7" s="594">
        <v>0</v>
      </c>
      <c r="AQ7" s="594">
        <v>0</v>
      </c>
      <c r="AR7" s="594">
        <v>0</v>
      </c>
      <c r="AS7" s="594">
        <v>0</v>
      </c>
      <c r="AT7" s="594">
        <v>0</v>
      </c>
      <c r="AU7" s="594">
        <v>0</v>
      </c>
      <c r="AV7" s="594">
        <v>0</v>
      </c>
      <c r="AW7" s="594">
        <v>0</v>
      </c>
    </row>
    <row r="8" spans="1:50">
      <c r="B8" s="533" t="s">
        <v>15</v>
      </c>
      <c r="C8" s="175"/>
      <c r="D8" s="176">
        <v>0</v>
      </c>
      <c r="E8" s="176">
        <v>0</v>
      </c>
      <c r="F8" s="176">
        <v>0</v>
      </c>
      <c r="G8" s="594">
        <v>0</v>
      </c>
      <c r="H8" s="598">
        <v>0</v>
      </c>
      <c r="I8" s="599">
        <v>0</v>
      </c>
      <c r="J8" s="599">
        <v>0</v>
      </c>
      <c r="K8" s="600">
        <v>0</v>
      </c>
      <c r="L8" s="594">
        <v>0</v>
      </c>
      <c r="M8" s="598">
        <v>0</v>
      </c>
      <c r="N8" s="599">
        <v>0</v>
      </c>
      <c r="O8" s="599">
        <v>0</v>
      </c>
      <c r="P8" s="600">
        <v>0</v>
      </c>
      <c r="Q8" s="594">
        <v>0</v>
      </c>
      <c r="R8" s="595">
        <v>0</v>
      </c>
      <c r="S8" s="596">
        <v>0</v>
      </c>
      <c r="T8" s="596">
        <v>0</v>
      </c>
      <c r="U8" s="597">
        <v>0</v>
      </c>
      <c r="V8" s="594">
        <v>0</v>
      </c>
      <c r="W8" s="595">
        <v>0</v>
      </c>
      <c r="X8" s="596">
        <v>0</v>
      </c>
      <c r="Y8" s="596">
        <v>0</v>
      </c>
      <c r="Z8" s="597">
        <v>0</v>
      </c>
      <c r="AA8" s="594">
        <v>0</v>
      </c>
      <c r="AB8" s="595">
        <v>0</v>
      </c>
      <c r="AC8" s="596">
        <v>0</v>
      </c>
      <c r="AD8" s="596">
        <v>0</v>
      </c>
      <c r="AE8" s="597">
        <v>0</v>
      </c>
      <c r="AF8" s="594">
        <v>0</v>
      </c>
      <c r="AG8" s="595">
        <v>0</v>
      </c>
      <c r="AH8" s="596">
        <v>0</v>
      </c>
      <c r="AI8" s="596">
        <v>0</v>
      </c>
      <c r="AJ8" s="597">
        <v>0</v>
      </c>
      <c r="AK8" s="594">
        <v>0</v>
      </c>
      <c r="AL8" s="594">
        <v>0</v>
      </c>
      <c r="AM8" s="594">
        <v>0</v>
      </c>
      <c r="AN8" s="594">
        <v>0</v>
      </c>
      <c r="AO8" s="594">
        <v>0</v>
      </c>
      <c r="AP8" s="594">
        <v>0</v>
      </c>
      <c r="AQ8" s="594">
        <v>0</v>
      </c>
      <c r="AR8" s="594">
        <v>0</v>
      </c>
      <c r="AS8" s="594">
        <v>0</v>
      </c>
      <c r="AT8" s="594">
        <v>0</v>
      </c>
      <c r="AU8" s="594">
        <v>0</v>
      </c>
      <c r="AV8" s="594">
        <v>0</v>
      </c>
      <c r="AW8" s="594">
        <v>0</v>
      </c>
    </row>
    <row r="9" spans="1:50">
      <c r="B9" s="227"/>
      <c r="C9" s="175"/>
      <c r="D9" s="176"/>
      <c r="E9" s="176"/>
      <c r="F9" s="176"/>
      <c r="G9" s="594"/>
      <c r="H9" s="601"/>
      <c r="I9" s="601"/>
      <c r="J9" s="601"/>
      <c r="K9" s="601"/>
      <c r="L9" s="601"/>
      <c r="M9" s="594"/>
      <c r="N9" s="594"/>
      <c r="O9" s="594"/>
      <c r="P9" s="594"/>
      <c r="Q9" s="594"/>
      <c r="R9" s="669"/>
      <c r="S9" s="599"/>
      <c r="T9" s="599"/>
      <c r="U9" s="670"/>
      <c r="V9" s="594"/>
      <c r="W9" s="669"/>
      <c r="X9" s="599"/>
      <c r="Y9" s="599"/>
      <c r="Z9" s="670"/>
      <c r="AA9" s="594"/>
      <c r="AB9" s="669"/>
      <c r="AC9" s="599"/>
      <c r="AD9" s="599"/>
      <c r="AE9" s="670"/>
      <c r="AF9" s="594"/>
      <c r="AG9" s="669"/>
      <c r="AH9" s="599"/>
      <c r="AI9" s="599"/>
      <c r="AJ9" s="670"/>
      <c r="AK9" s="594"/>
      <c r="AL9" s="594"/>
      <c r="AM9" s="594"/>
      <c r="AN9" s="594"/>
      <c r="AO9" s="594"/>
      <c r="AP9" s="594"/>
      <c r="AQ9" s="594"/>
      <c r="AR9" s="594"/>
      <c r="AS9" s="594"/>
      <c r="AT9" s="594"/>
      <c r="AU9" s="594"/>
      <c r="AV9" s="594"/>
      <c r="AW9" s="594"/>
    </row>
    <row r="10" spans="1:50" ht="9.9499999999999993" customHeight="1">
      <c r="B10" s="3"/>
      <c r="C10" s="3"/>
      <c r="D10" s="3"/>
      <c r="E10" s="3"/>
      <c r="F10" s="4"/>
      <c r="G10" s="602"/>
      <c r="H10" s="602"/>
      <c r="I10" s="602"/>
      <c r="J10" s="602"/>
      <c r="K10" s="602"/>
      <c r="L10" s="602"/>
      <c r="M10" s="602"/>
      <c r="N10" s="602"/>
      <c r="O10" s="602"/>
      <c r="P10" s="602"/>
      <c r="Q10" s="602"/>
      <c r="R10" s="603"/>
      <c r="S10" s="603"/>
      <c r="T10" s="603"/>
      <c r="U10" s="603"/>
      <c r="V10" s="602"/>
      <c r="W10" s="603"/>
      <c r="X10" s="603"/>
      <c r="Y10" s="603"/>
      <c r="Z10" s="603"/>
      <c r="AA10" s="602"/>
      <c r="AB10" s="603"/>
      <c r="AC10" s="603"/>
      <c r="AD10" s="603"/>
      <c r="AE10" s="603"/>
      <c r="AF10" s="602"/>
      <c r="AG10" s="603"/>
      <c r="AH10" s="603"/>
      <c r="AI10" s="603"/>
      <c r="AJ10" s="603"/>
      <c r="AK10" s="602"/>
      <c r="AL10" s="602"/>
      <c r="AM10" s="602"/>
      <c r="AN10" s="602"/>
      <c r="AO10" s="602"/>
      <c r="AP10" s="602"/>
      <c r="AQ10" s="602"/>
      <c r="AR10" s="602"/>
      <c r="AS10" s="602"/>
      <c r="AT10" s="602"/>
      <c r="AU10" s="602"/>
      <c r="AV10" s="602"/>
      <c r="AW10" s="602"/>
      <c r="AX10" s="78"/>
    </row>
    <row r="11" spans="1:50">
      <c r="B11" s="177"/>
      <c r="C11" s="178"/>
      <c r="D11" s="178"/>
      <c r="E11" s="178"/>
      <c r="F11" s="176"/>
      <c r="G11" s="594"/>
      <c r="H11" s="705" t="s">
        <v>218</v>
      </c>
      <c r="I11" s="706"/>
      <c r="J11" s="706"/>
      <c r="K11" s="707"/>
      <c r="L11" s="594"/>
      <c r="M11" s="705" t="s">
        <v>218</v>
      </c>
      <c r="N11" s="706"/>
      <c r="O11" s="706"/>
      <c r="P11" s="707"/>
      <c r="Q11" s="594"/>
      <c r="R11" s="671"/>
      <c r="S11" s="671"/>
      <c r="T11" s="671"/>
      <c r="U11" s="671"/>
      <c r="V11" s="594"/>
      <c r="W11" s="671"/>
      <c r="X11" s="671"/>
      <c r="Y11" s="671"/>
      <c r="Z11" s="671"/>
      <c r="AA11" s="594"/>
      <c r="AB11" s="671"/>
      <c r="AC11" s="671"/>
      <c r="AD11" s="671"/>
      <c r="AE11" s="671"/>
      <c r="AF11" s="594"/>
      <c r="AG11" s="671"/>
      <c r="AH11" s="671"/>
      <c r="AI11" s="671"/>
      <c r="AJ11" s="671"/>
      <c r="AK11" s="594"/>
      <c r="AL11" s="594"/>
      <c r="AM11" s="562"/>
      <c r="AN11" s="562"/>
      <c r="AO11" s="562"/>
      <c r="AP11" s="562"/>
      <c r="AQ11" s="562"/>
      <c r="AR11" s="562"/>
      <c r="AS11" s="562"/>
      <c r="AT11" s="562"/>
      <c r="AU11" s="562"/>
      <c r="AV11" s="562"/>
      <c r="AW11" s="562"/>
      <c r="AX11" s="238"/>
    </row>
    <row r="12" spans="1:50">
      <c r="B12" s="228"/>
      <c r="C12" s="179"/>
      <c r="D12" s="174" t="s">
        <v>1</v>
      </c>
      <c r="E12" s="174" t="s">
        <v>2</v>
      </c>
      <c r="F12" s="174" t="s">
        <v>3</v>
      </c>
      <c r="G12" s="593" t="str">
        <f>G4</f>
        <v>2012A</v>
      </c>
      <c r="H12" s="549" t="s">
        <v>4</v>
      </c>
      <c r="I12" s="550" t="s">
        <v>5</v>
      </c>
      <c r="J12" s="550" t="s">
        <v>6</v>
      </c>
      <c r="K12" s="551" t="s">
        <v>7</v>
      </c>
      <c r="L12" s="548" t="str">
        <f>L4</f>
        <v>2013A</v>
      </c>
      <c r="M12" s="549" t="str">
        <f t="shared" ref="M12:AW12" si="0">M4</f>
        <v>1Q14A</v>
      </c>
      <c r="N12" s="550" t="str">
        <f t="shared" si="0"/>
        <v>2Q14A</v>
      </c>
      <c r="O12" s="550" t="str">
        <f t="shared" si="0"/>
        <v>3Q14A</v>
      </c>
      <c r="P12" s="551" t="str">
        <f t="shared" si="0"/>
        <v>4Q14A</v>
      </c>
      <c r="Q12" s="548" t="str">
        <f t="shared" si="0"/>
        <v>2014A</v>
      </c>
      <c r="R12" s="549" t="str">
        <f t="shared" si="0"/>
        <v>1Q15A</v>
      </c>
      <c r="S12" s="550" t="str">
        <f t="shared" si="0"/>
        <v>2Q15A</v>
      </c>
      <c r="T12" s="550" t="str">
        <f t="shared" si="0"/>
        <v>3Q15A</v>
      </c>
      <c r="U12" s="551" t="str">
        <f t="shared" si="0"/>
        <v>4Q15A</v>
      </c>
      <c r="V12" s="548" t="str">
        <f t="shared" si="0"/>
        <v>2015A</v>
      </c>
      <c r="W12" s="549" t="str">
        <f t="shared" si="0"/>
        <v>1Q16A</v>
      </c>
      <c r="X12" s="550" t="str">
        <f t="shared" si="0"/>
        <v>2Q16A</v>
      </c>
      <c r="Y12" s="550" t="str">
        <f t="shared" si="0"/>
        <v>3Q16A</v>
      </c>
      <c r="Z12" s="551" t="str">
        <f t="shared" si="0"/>
        <v>4Q16A</v>
      </c>
      <c r="AA12" s="548" t="str">
        <f t="shared" si="0"/>
        <v>2016A</v>
      </c>
      <c r="AB12" s="549" t="str">
        <f t="shared" si="0"/>
        <v>1Q17A</v>
      </c>
      <c r="AC12" s="550" t="str">
        <f t="shared" si="0"/>
        <v>2Q17A</v>
      </c>
      <c r="AD12" s="550" t="str">
        <f t="shared" si="0"/>
        <v>3Q17A</v>
      </c>
      <c r="AE12" s="551" t="str">
        <f t="shared" si="0"/>
        <v>4Q17A</v>
      </c>
      <c r="AF12" s="548" t="str">
        <f t="shared" si="0"/>
        <v>2017A</v>
      </c>
      <c r="AG12" s="549" t="str">
        <f t="shared" si="0"/>
        <v>1Q18E</v>
      </c>
      <c r="AH12" s="550" t="str">
        <f t="shared" si="0"/>
        <v>2Q18E</v>
      </c>
      <c r="AI12" s="550" t="str">
        <f t="shared" si="0"/>
        <v>3Q18E</v>
      </c>
      <c r="AJ12" s="551" t="str">
        <f t="shared" si="0"/>
        <v>4Q18E</v>
      </c>
      <c r="AK12" s="548" t="str">
        <f t="shared" si="0"/>
        <v>2018E</v>
      </c>
      <c r="AL12" s="548" t="str">
        <f t="shared" si="0"/>
        <v>2019E</v>
      </c>
      <c r="AM12" s="548" t="str">
        <f t="shared" si="0"/>
        <v>2020E</v>
      </c>
      <c r="AN12" s="548" t="str">
        <f t="shared" si="0"/>
        <v>2021E</v>
      </c>
      <c r="AO12" s="548" t="str">
        <f t="shared" si="0"/>
        <v>2022E</v>
      </c>
      <c r="AP12" s="548" t="str">
        <f t="shared" si="0"/>
        <v>2023E</v>
      </c>
      <c r="AQ12" s="548" t="str">
        <f t="shared" si="0"/>
        <v>2024E</v>
      </c>
      <c r="AR12" s="548" t="str">
        <f t="shared" si="0"/>
        <v>2025E</v>
      </c>
      <c r="AS12" s="548" t="str">
        <f t="shared" si="0"/>
        <v>2026E</v>
      </c>
      <c r="AT12" s="548" t="str">
        <f t="shared" si="0"/>
        <v>2027E</v>
      </c>
      <c r="AU12" s="548" t="str">
        <f t="shared" si="0"/>
        <v>2028E</v>
      </c>
      <c r="AV12" s="548" t="str">
        <f t="shared" si="0"/>
        <v>2029E</v>
      </c>
      <c r="AW12" s="548" t="str">
        <f t="shared" si="0"/>
        <v>2030E</v>
      </c>
      <c r="AX12" s="174"/>
    </row>
    <row r="13" spans="1:50">
      <c r="B13" s="534" t="s">
        <v>226</v>
      </c>
      <c r="C13" s="179"/>
      <c r="D13" s="179"/>
      <c r="E13" s="179"/>
      <c r="F13" s="176">
        <f t="shared" ref="F13:V13" si="1">F7+F8</f>
        <v>0</v>
      </c>
      <c r="G13" s="594">
        <f t="shared" si="1"/>
        <v>0</v>
      </c>
      <c r="H13" s="595">
        <f t="shared" si="1"/>
        <v>0</v>
      </c>
      <c r="I13" s="596">
        <f t="shared" si="1"/>
        <v>0</v>
      </c>
      <c r="J13" s="596">
        <f t="shared" si="1"/>
        <v>0</v>
      </c>
      <c r="K13" s="597">
        <f t="shared" si="1"/>
        <v>0</v>
      </c>
      <c r="L13" s="594">
        <f t="shared" si="1"/>
        <v>0</v>
      </c>
      <c r="M13" s="595">
        <f t="shared" si="1"/>
        <v>0</v>
      </c>
      <c r="N13" s="596">
        <f t="shared" si="1"/>
        <v>0</v>
      </c>
      <c r="O13" s="596">
        <f t="shared" si="1"/>
        <v>0</v>
      </c>
      <c r="P13" s="597">
        <f t="shared" si="1"/>
        <v>0</v>
      </c>
      <c r="Q13" s="594">
        <f t="shared" si="1"/>
        <v>0</v>
      </c>
      <c r="R13" s="595">
        <f t="shared" si="1"/>
        <v>0</v>
      </c>
      <c r="S13" s="596">
        <f t="shared" si="1"/>
        <v>0</v>
      </c>
      <c r="T13" s="596">
        <f t="shared" si="1"/>
        <v>0</v>
      </c>
      <c r="U13" s="597">
        <f t="shared" si="1"/>
        <v>0</v>
      </c>
      <c r="V13" s="594">
        <f t="shared" si="1"/>
        <v>0</v>
      </c>
      <c r="W13" s="595"/>
      <c r="X13" s="596"/>
      <c r="Y13" s="596"/>
      <c r="Z13" s="597"/>
      <c r="AA13" s="594">
        <f t="shared" ref="AA13:AW13" si="2">AA7+AA8</f>
        <v>0</v>
      </c>
      <c r="AB13" s="595"/>
      <c r="AC13" s="596"/>
      <c r="AD13" s="596"/>
      <c r="AE13" s="597"/>
      <c r="AF13" s="594">
        <f t="shared" si="2"/>
        <v>0</v>
      </c>
      <c r="AG13" s="595"/>
      <c r="AH13" s="596"/>
      <c r="AI13" s="596"/>
      <c r="AJ13" s="597"/>
      <c r="AK13" s="594">
        <f t="shared" si="2"/>
        <v>0</v>
      </c>
      <c r="AL13" s="594">
        <f t="shared" si="2"/>
        <v>0</v>
      </c>
      <c r="AM13" s="594">
        <f t="shared" si="2"/>
        <v>0</v>
      </c>
      <c r="AN13" s="594">
        <f t="shared" si="2"/>
        <v>0</v>
      </c>
      <c r="AO13" s="594">
        <f t="shared" si="2"/>
        <v>0</v>
      </c>
      <c r="AP13" s="594">
        <f t="shared" si="2"/>
        <v>0</v>
      </c>
      <c r="AQ13" s="594">
        <f t="shared" si="2"/>
        <v>0</v>
      </c>
      <c r="AR13" s="594">
        <f t="shared" si="2"/>
        <v>0</v>
      </c>
      <c r="AS13" s="594">
        <f t="shared" si="2"/>
        <v>0</v>
      </c>
      <c r="AT13" s="594">
        <f t="shared" si="2"/>
        <v>0</v>
      </c>
      <c r="AU13" s="594">
        <f t="shared" si="2"/>
        <v>0</v>
      </c>
      <c r="AV13" s="594">
        <f t="shared" si="2"/>
        <v>0</v>
      </c>
      <c r="AW13" s="594">
        <f t="shared" si="2"/>
        <v>0</v>
      </c>
      <c r="AX13" s="176"/>
    </row>
    <row r="14" spans="1:50">
      <c r="B14" s="534" t="s">
        <v>228</v>
      </c>
      <c r="C14" s="179"/>
      <c r="D14" s="179"/>
      <c r="E14" s="179"/>
      <c r="F14" s="176">
        <f t="shared" ref="F14:AA14" si="3">F15+F16</f>
        <v>0</v>
      </c>
      <c r="G14" s="594">
        <f t="shared" si="3"/>
        <v>0</v>
      </c>
      <c r="H14" s="595">
        <f t="shared" si="3"/>
        <v>0</v>
      </c>
      <c r="I14" s="596">
        <f t="shared" si="3"/>
        <v>0</v>
      </c>
      <c r="J14" s="596">
        <f t="shared" si="3"/>
        <v>0</v>
      </c>
      <c r="K14" s="597">
        <f t="shared" si="3"/>
        <v>0</v>
      </c>
      <c r="L14" s="594">
        <f t="shared" si="3"/>
        <v>0</v>
      </c>
      <c r="M14" s="595">
        <f t="shared" si="3"/>
        <v>0</v>
      </c>
      <c r="N14" s="596">
        <f t="shared" si="3"/>
        <v>0</v>
      </c>
      <c r="O14" s="596">
        <f t="shared" si="3"/>
        <v>0</v>
      </c>
      <c r="P14" s="597">
        <f t="shared" si="3"/>
        <v>0</v>
      </c>
      <c r="Q14" s="594">
        <f t="shared" si="3"/>
        <v>0</v>
      </c>
      <c r="R14" s="595">
        <f t="shared" si="3"/>
        <v>0</v>
      </c>
      <c r="S14" s="596">
        <f t="shared" si="3"/>
        <v>0</v>
      </c>
      <c r="T14" s="596">
        <f t="shared" si="3"/>
        <v>0</v>
      </c>
      <c r="U14" s="597">
        <f t="shared" si="3"/>
        <v>0</v>
      </c>
      <c r="V14" s="594">
        <f t="shared" si="3"/>
        <v>0</v>
      </c>
      <c r="W14" s="595"/>
      <c r="X14" s="596"/>
      <c r="Y14" s="596"/>
      <c r="Z14" s="597"/>
      <c r="AA14" s="594">
        <f t="shared" si="3"/>
        <v>0</v>
      </c>
      <c r="AB14" s="595"/>
      <c r="AC14" s="596"/>
      <c r="AD14" s="596"/>
      <c r="AE14" s="597"/>
      <c r="AF14" s="594">
        <f>AF15+AF16</f>
        <v>0</v>
      </c>
      <c r="AG14" s="595"/>
      <c r="AH14" s="596"/>
      <c r="AI14" s="596"/>
      <c r="AJ14" s="597"/>
      <c r="AK14" s="594">
        <f>AK15+AK16</f>
        <v>0</v>
      </c>
      <c r="AL14" s="594">
        <f>AL15+AL16</f>
        <v>27191.83470707004</v>
      </c>
      <c r="AM14" s="594">
        <f>AM15+AM16</f>
        <v>80329.784144136531</v>
      </c>
      <c r="AN14" s="594">
        <f>AN15+AN16</f>
        <v>182128.94306706119</v>
      </c>
      <c r="AO14" s="594">
        <f t="shared" ref="AO14:AW14" si="4">AO15+AO16</f>
        <v>266658.73908272601</v>
      </c>
      <c r="AP14" s="594">
        <f t="shared" si="4"/>
        <v>354173.361851895</v>
      </c>
      <c r="AQ14" s="594">
        <f t="shared" si="4"/>
        <v>438291.4720149507</v>
      </c>
      <c r="AR14" s="594">
        <f t="shared" si="4"/>
        <v>502718.57975514326</v>
      </c>
      <c r="AS14" s="594">
        <f t="shared" si="4"/>
        <v>563988.70087982307</v>
      </c>
      <c r="AT14" s="594">
        <f t="shared" si="4"/>
        <v>624276.30924284842</v>
      </c>
      <c r="AU14" s="594">
        <f t="shared" si="4"/>
        <v>685190.15735642507</v>
      </c>
      <c r="AV14" s="594">
        <f t="shared" si="4"/>
        <v>747145.62042714702</v>
      </c>
      <c r="AW14" s="594">
        <f t="shared" si="4"/>
        <v>795976.15595915646</v>
      </c>
      <c r="AX14" s="176"/>
    </row>
    <row r="15" spans="1:50" ht="15" hidden="1" customHeight="1" outlineLevel="1">
      <c r="B15" s="535" t="s">
        <v>224</v>
      </c>
      <c r="C15" s="179"/>
      <c r="D15" s="179"/>
      <c r="E15" s="179"/>
      <c r="F15" s="176">
        <v>0</v>
      </c>
      <c r="G15" s="594">
        <v>0</v>
      </c>
      <c r="H15" s="595">
        <v>0</v>
      </c>
      <c r="I15" s="596">
        <v>0</v>
      </c>
      <c r="J15" s="596">
        <v>0</v>
      </c>
      <c r="K15" s="597">
        <v>0</v>
      </c>
      <c r="L15" s="594">
        <v>0</v>
      </c>
      <c r="M15" s="595">
        <v>0</v>
      </c>
      <c r="N15" s="596">
        <v>0</v>
      </c>
      <c r="O15" s="596">
        <v>0</v>
      </c>
      <c r="P15" s="597">
        <v>0</v>
      </c>
      <c r="Q15" s="594">
        <v>0</v>
      </c>
      <c r="R15" s="595">
        <v>0</v>
      </c>
      <c r="S15" s="596">
        <v>0</v>
      </c>
      <c r="T15" s="596">
        <v>0</v>
      </c>
      <c r="U15" s="597">
        <v>0</v>
      </c>
      <c r="V15" s="594">
        <v>0</v>
      </c>
      <c r="W15" s="595"/>
      <c r="X15" s="596"/>
      <c r="Y15" s="596"/>
      <c r="Z15" s="597"/>
      <c r="AA15" s="594">
        <v>0</v>
      </c>
      <c r="AB15" s="595"/>
      <c r="AC15" s="596"/>
      <c r="AD15" s="596"/>
      <c r="AE15" s="597"/>
      <c r="AF15" s="594">
        <v>0</v>
      </c>
      <c r="AG15" s="595"/>
      <c r="AH15" s="596"/>
      <c r="AI15" s="596"/>
      <c r="AJ15" s="597"/>
      <c r="AK15" s="594">
        <f>Royalties!J3/1000</f>
        <v>0</v>
      </c>
      <c r="AL15" s="594">
        <f>Royalties!K3/1000</f>
        <v>27191.83470707004</v>
      </c>
      <c r="AM15" s="594">
        <f>Royalties!L3/1000</f>
        <v>80329.784144136531</v>
      </c>
      <c r="AN15" s="594">
        <f>Royalties!M3/1000</f>
        <v>182128.94306706119</v>
      </c>
      <c r="AO15" s="594">
        <f>Royalties!N3/1000</f>
        <v>266658.73908272601</v>
      </c>
      <c r="AP15" s="594">
        <f>Royalties!O3/1000</f>
        <v>354173.361851895</v>
      </c>
      <c r="AQ15" s="594">
        <f>Royalties!P3/1000</f>
        <v>438291.4720149507</v>
      </c>
      <c r="AR15" s="594">
        <f>Royalties!Q3/1000</f>
        <v>502718.57975514326</v>
      </c>
      <c r="AS15" s="594">
        <f>Royalties!R3/1000</f>
        <v>563988.70087982307</v>
      </c>
      <c r="AT15" s="594">
        <f>Royalties!S3/1000</f>
        <v>624276.30924284842</v>
      </c>
      <c r="AU15" s="594">
        <f>Royalties!T3/1000</f>
        <v>685190.15735642507</v>
      </c>
      <c r="AV15" s="594">
        <f>Royalties!U3/1000</f>
        <v>747145.62042714702</v>
      </c>
      <c r="AW15" s="594">
        <f>Royalties!V3/1000</f>
        <v>795976.15595915646</v>
      </c>
      <c r="AX15" s="176"/>
    </row>
    <row r="16" spans="1:50" ht="15" hidden="1" customHeight="1" outlineLevel="1">
      <c r="B16" s="535" t="s">
        <v>225</v>
      </c>
      <c r="C16" s="179"/>
      <c r="D16" s="179"/>
      <c r="E16" s="179"/>
      <c r="F16" s="176">
        <v>0</v>
      </c>
      <c r="G16" s="594">
        <v>0</v>
      </c>
      <c r="H16" s="595">
        <v>0</v>
      </c>
      <c r="I16" s="596">
        <v>0</v>
      </c>
      <c r="J16" s="596">
        <v>0</v>
      </c>
      <c r="K16" s="597">
        <v>0</v>
      </c>
      <c r="L16" s="594">
        <v>0</v>
      </c>
      <c r="M16" s="595">
        <v>0</v>
      </c>
      <c r="N16" s="596">
        <v>0</v>
      </c>
      <c r="O16" s="596">
        <v>0</v>
      </c>
      <c r="P16" s="597">
        <v>0</v>
      </c>
      <c r="Q16" s="594">
        <v>0</v>
      </c>
      <c r="R16" s="595">
        <v>0</v>
      </c>
      <c r="S16" s="596">
        <v>0</v>
      </c>
      <c r="T16" s="596">
        <v>0</v>
      </c>
      <c r="U16" s="597">
        <v>0</v>
      </c>
      <c r="V16" s="594">
        <v>0</v>
      </c>
      <c r="W16" s="595"/>
      <c r="X16" s="596"/>
      <c r="Y16" s="596"/>
      <c r="Z16" s="597"/>
      <c r="AA16" s="594">
        <v>0</v>
      </c>
      <c r="AB16" s="595"/>
      <c r="AC16" s="596"/>
      <c r="AD16" s="596"/>
      <c r="AE16" s="597"/>
      <c r="AF16" s="594">
        <v>0</v>
      </c>
      <c r="AG16" s="595"/>
      <c r="AH16" s="596"/>
      <c r="AI16" s="596"/>
      <c r="AJ16" s="597"/>
      <c r="AK16" s="594">
        <f>Royalties!J20/1000</f>
        <v>0</v>
      </c>
      <c r="AL16" s="594">
        <f>Royalties!K20/1000</f>
        <v>0</v>
      </c>
      <c r="AM16" s="594">
        <f>Royalties!L20/1000</f>
        <v>0</v>
      </c>
      <c r="AN16" s="594">
        <f>Royalties!M20/1000</f>
        <v>0</v>
      </c>
      <c r="AO16" s="594">
        <f>Royalties!N20/1000</f>
        <v>0</v>
      </c>
      <c r="AP16" s="594">
        <f>Royalties!O20/1000</f>
        <v>0</v>
      </c>
      <c r="AQ16" s="594">
        <f>Royalties!P20/1000</f>
        <v>0</v>
      </c>
      <c r="AR16" s="594">
        <f>Royalties!Q20/1000</f>
        <v>0</v>
      </c>
      <c r="AS16" s="594">
        <f>Royalties!R20/1000</f>
        <v>0</v>
      </c>
      <c r="AT16" s="594">
        <f>Royalties!S20/1000</f>
        <v>0</v>
      </c>
      <c r="AU16" s="594">
        <f>Royalties!T20/1000</f>
        <v>0</v>
      </c>
      <c r="AV16" s="594">
        <f>Royalties!U20/1000</f>
        <v>0</v>
      </c>
      <c r="AW16" s="594">
        <f>Royalties!V20/1000</f>
        <v>0</v>
      </c>
      <c r="AX16" s="176"/>
    </row>
    <row r="17" spans="2:52" collapsed="1">
      <c r="B17" s="534" t="s">
        <v>227</v>
      </c>
      <c r="C17" s="179"/>
      <c r="D17" s="179"/>
      <c r="E17" s="179"/>
      <c r="F17" s="176">
        <f t="shared" ref="F17:AM17" si="5">F18+F19</f>
        <v>79166</v>
      </c>
      <c r="G17" s="594">
        <f t="shared" si="5"/>
        <v>15254</v>
      </c>
      <c r="H17" s="595">
        <f t="shared" si="5"/>
        <v>15012</v>
      </c>
      <c r="I17" s="596">
        <f t="shared" si="5"/>
        <v>26428</v>
      </c>
      <c r="J17" s="596">
        <f t="shared" si="5"/>
        <v>4270</v>
      </c>
      <c r="K17" s="597">
        <f t="shared" si="5"/>
        <v>11520</v>
      </c>
      <c r="L17" s="594">
        <f t="shared" si="5"/>
        <v>57230</v>
      </c>
      <c r="M17" s="595">
        <f t="shared" si="5"/>
        <v>3307</v>
      </c>
      <c r="N17" s="596">
        <v>4078</v>
      </c>
      <c r="O17" s="596">
        <f t="shared" si="5"/>
        <v>3508</v>
      </c>
      <c r="P17" s="597">
        <f t="shared" si="5"/>
        <v>3739</v>
      </c>
      <c r="Q17" s="594">
        <f t="shared" si="5"/>
        <v>14632</v>
      </c>
      <c r="R17" s="595">
        <f t="shared" si="5"/>
        <v>4420</v>
      </c>
      <c r="S17" s="596">
        <f t="shared" si="5"/>
        <v>5717</v>
      </c>
      <c r="T17" s="596">
        <f t="shared" si="5"/>
        <v>4155</v>
      </c>
      <c r="U17" s="597">
        <v>3804</v>
      </c>
      <c r="V17" s="594">
        <f t="shared" si="5"/>
        <v>18096</v>
      </c>
      <c r="W17" s="595">
        <v>18201</v>
      </c>
      <c r="X17" s="596">
        <v>3195</v>
      </c>
      <c r="Y17" s="596">
        <v>3005</v>
      </c>
      <c r="Z17" s="597">
        <v>3369</v>
      </c>
      <c r="AA17" s="594">
        <v>27771</v>
      </c>
      <c r="AB17" s="595">
        <v>3705</v>
      </c>
      <c r="AC17" s="596">
        <v>3057</v>
      </c>
      <c r="AD17" s="596">
        <v>3014</v>
      </c>
      <c r="AE17" s="597">
        <v>3705</v>
      </c>
      <c r="AF17" s="594">
        <f>SUM(AB17:AE17)</f>
        <v>13481</v>
      </c>
      <c r="AG17" s="595">
        <v>3700</v>
      </c>
      <c r="AH17" s="596">
        <v>3200</v>
      </c>
      <c r="AI17" s="596">
        <v>3000</v>
      </c>
      <c r="AJ17" s="597">
        <v>3750</v>
      </c>
      <c r="AK17" s="594">
        <f>SUM(AG17:AJ17)</f>
        <v>13650</v>
      </c>
      <c r="AL17" s="594">
        <f t="shared" si="5"/>
        <v>143000</v>
      </c>
      <c r="AM17" s="594">
        <f t="shared" si="5"/>
        <v>57000</v>
      </c>
      <c r="AN17" s="594">
        <f>AN18+AN19</f>
        <v>10000</v>
      </c>
      <c r="AO17" s="594">
        <f>AO18+AO19</f>
        <v>28750</v>
      </c>
      <c r="AP17" s="594">
        <f t="shared" ref="AP17:AW17" si="6">AP18+AP19</f>
        <v>0</v>
      </c>
      <c r="AQ17" s="594">
        <f t="shared" si="6"/>
        <v>15000</v>
      </c>
      <c r="AR17" s="594">
        <f t="shared" si="6"/>
        <v>0</v>
      </c>
      <c r="AS17" s="594">
        <f t="shared" si="6"/>
        <v>18750</v>
      </c>
      <c r="AT17" s="594">
        <f t="shared" si="6"/>
        <v>0</v>
      </c>
      <c r="AU17" s="594">
        <f t="shared" si="6"/>
        <v>0</v>
      </c>
      <c r="AV17" s="594">
        <f t="shared" si="6"/>
        <v>0</v>
      </c>
      <c r="AW17" s="594">
        <f t="shared" si="6"/>
        <v>0</v>
      </c>
      <c r="AX17" s="176"/>
    </row>
    <row r="18" spans="2:52" ht="15" hidden="1" customHeight="1" outlineLevel="1">
      <c r="B18" s="535" t="s">
        <v>271</v>
      </c>
      <c r="C18" s="179"/>
      <c r="D18" s="179"/>
      <c r="E18" s="179"/>
      <c r="F18" s="176">
        <v>74406</v>
      </c>
      <c r="G18" s="594">
        <v>9696</v>
      </c>
      <c r="H18" s="595">
        <v>12515</v>
      </c>
      <c r="I18" s="596">
        <f>36044-J18-H18</f>
        <v>22891</v>
      </c>
      <c r="J18" s="596">
        <v>638</v>
      </c>
      <c r="K18" s="597">
        <f>L18-J18-I18-H18</f>
        <v>7904</v>
      </c>
      <c r="L18" s="594">
        <v>43948</v>
      </c>
      <c r="M18" s="595">
        <v>674</v>
      </c>
      <c r="N18" s="596">
        <v>347</v>
      </c>
      <c r="O18" s="596">
        <v>280</v>
      </c>
      <c r="P18" s="597">
        <f>Q18-M18-N18-O18</f>
        <v>372</v>
      </c>
      <c r="Q18" s="594">
        <v>1673</v>
      </c>
      <c r="R18" s="595">
        <v>371</v>
      </c>
      <c r="S18" s="596">
        <v>431</v>
      </c>
      <c r="T18" s="596">
        <v>205</v>
      </c>
      <c r="U18" s="597">
        <v>0</v>
      </c>
      <c r="V18" s="594">
        <f>SUM(R18:U18)</f>
        <v>1007</v>
      </c>
      <c r="W18" s="595">
        <v>15144</v>
      </c>
      <c r="X18" s="596">
        <v>250</v>
      </c>
      <c r="Y18" s="596">
        <v>225</v>
      </c>
      <c r="Z18" s="597">
        <v>200</v>
      </c>
      <c r="AA18" s="594">
        <f>SUM(W18:Z18)</f>
        <v>15819</v>
      </c>
      <c r="AB18" s="595"/>
      <c r="AC18" s="596"/>
      <c r="AD18" s="596"/>
      <c r="AE18" s="597"/>
      <c r="AF18" s="594">
        <f>SOP!F76+SOP!F147</f>
        <v>10000</v>
      </c>
      <c r="AG18" s="595"/>
      <c r="AH18" s="596"/>
      <c r="AI18" s="596"/>
      <c r="AJ18" s="597"/>
      <c r="AK18" s="594">
        <f>SOP!K76+SOP!K147</f>
        <v>28750</v>
      </c>
      <c r="AL18" s="594">
        <f>SOP!H76+SOP!H147</f>
        <v>143000</v>
      </c>
      <c r="AM18" s="594">
        <f>SOP!I76+SOP!I147</f>
        <v>57000</v>
      </c>
      <c r="AN18" s="594">
        <f>SOP!J76+SOP!J147</f>
        <v>10000</v>
      </c>
      <c r="AO18" s="594">
        <f>SOP!K76+SOP!K147</f>
        <v>28750</v>
      </c>
      <c r="AP18" s="594">
        <f>SOP!L76+SOP!L147</f>
        <v>0</v>
      </c>
      <c r="AQ18" s="594">
        <f>SOP!M76+SOP!M147</f>
        <v>15000</v>
      </c>
      <c r="AR18" s="594">
        <f>SOP!N76+SOP!N147</f>
        <v>0</v>
      </c>
      <c r="AS18" s="594">
        <f>SOP!O76+SOP!O147</f>
        <v>18750</v>
      </c>
      <c r="AT18" s="594">
        <f>SOP!P76+SOP!P147</f>
        <v>0</v>
      </c>
      <c r="AU18" s="594">
        <f>SOP!Q76+SOP!Q147</f>
        <v>0</v>
      </c>
      <c r="AV18" s="594">
        <f>SOP!R76+SOP!R147</f>
        <v>0</v>
      </c>
      <c r="AW18" s="594">
        <f>SOP!S76+SOP!S147</f>
        <v>0</v>
      </c>
      <c r="AX18" s="176"/>
      <c r="AZ18" s="160">
        <f>SOP!C5</f>
        <v>0</v>
      </c>
    </row>
    <row r="19" spans="2:52" ht="15" hidden="1" customHeight="1" outlineLevel="1">
      <c r="B19" s="535" t="s">
        <v>272</v>
      </c>
      <c r="C19" s="179"/>
      <c r="D19" s="179"/>
      <c r="E19" s="179"/>
      <c r="F19" s="176">
        <v>4760</v>
      </c>
      <c r="G19" s="594">
        <v>5558</v>
      </c>
      <c r="H19" s="595">
        <v>2497</v>
      </c>
      <c r="I19" s="596">
        <f>9666-J19-H19</f>
        <v>3537</v>
      </c>
      <c r="J19" s="596">
        <v>3632</v>
      </c>
      <c r="K19" s="597">
        <f>L19-J19-I19-H19</f>
        <v>3616</v>
      </c>
      <c r="L19" s="594">
        <v>13282</v>
      </c>
      <c r="M19" s="595">
        <v>2633</v>
      </c>
      <c r="N19" s="596">
        <v>3731</v>
      </c>
      <c r="O19" s="596">
        <v>3228</v>
      </c>
      <c r="P19" s="597">
        <f>Q19-M19-N19-O19</f>
        <v>3367</v>
      </c>
      <c r="Q19" s="594">
        <v>12959</v>
      </c>
      <c r="R19" s="595">
        <v>4049</v>
      </c>
      <c r="S19" s="596">
        <v>5286</v>
      </c>
      <c r="T19" s="596">
        <v>3950</v>
      </c>
      <c r="U19" s="597">
        <v>3804</v>
      </c>
      <c r="V19" s="594">
        <f>SUM(R19:U19)</f>
        <v>17089</v>
      </c>
      <c r="W19" s="595">
        <v>3057</v>
      </c>
      <c r="X19" s="596">
        <v>3000</v>
      </c>
      <c r="Y19" s="596">
        <v>3000</v>
      </c>
      <c r="Z19" s="597">
        <v>3000</v>
      </c>
      <c r="AA19" s="594">
        <f>SUM(W19:Z19)</f>
        <v>12057</v>
      </c>
      <c r="AB19" s="595"/>
      <c r="AC19" s="596"/>
      <c r="AD19" s="596"/>
      <c r="AE19" s="597"/>
      <c r="AF19" s="594">
        <f>AA19*0.25</f>
        <v>3014.25</v>
      </c>
      <c r="AG19" s="595"/>
      <c r="AH19" s="596"/>
      <c r="AI19" s="596"/>
      <c r="AJ19" s="597"/>
      <c r="AK19" s="594">
        <f>AF19*0.25</f>
        <v>753.5625</v>
      </c>
      <c r="AL19" s="594">
        <v>0</v>
      </c>
      <c r="AM19" s="594">
        <v>0</v>
      </c>
      <c r="AN19" s="594">
        <v>0</v>
      </c>
      <c r="AO19" s="594">
        <v>0</v>
      </c>
      <c r="AP19" s="594">
        <v>0</v>
      </c>
      <c r="AQ19" s="594">
        <v>0</v>
      </c>
      <c r="AR19" s="594">
        <v>0</v>
      </c>
      <c r="AS19" s="594">
        <v>0</v>
      </c>
      <c r="AT19" s="594">
        <v>0</v>
      </c>
      <c r="AU19" s="594">
        <v>0</v>
      </c>
      <c r="AV19" s="594">
        <v>0</v>
      </c>
      <c r="AW19" s="594">
        <v>0</v>
      </c>
      <c r="AX19" s="176"/>
    </row>
    <row r="20" spans="2:52" ht="15" hidden="1" customHeight="1" outlineLevel="1">
      <c r="B20" s="534" t="s">
        <v>273</v>
      </c>
      <c r="C20" s="179"/>
      <c r="D20" s="179"/>
      <c r="E20" s="179"/>
      <c r="F20" s="176">
        <v>1745</v>
      </c>
      <c r="G20" s="594">
        <v>0</v>
      </c>
      <c r="H20" s="595">
        <v>0</v>
      </c>
      <c r="I20" s="596">
        <v>0</v>
      </c>
      <c r="J20" s="596">
        <v>0</v>
      </c>
      <c r="K20" s="597">
        <v>0</v>
      </c>
      <c r="L20" s="594">
        <v>0</v>
      </c>
      <c r="M20" s="595">
        <v>0</v>
      </c>
      <c r="N20" s="596">
        <v>0</v>
      </c>
      <c r="O20" s="596">
        <v>0</v>
      </c>
      <c r="P20" s="597">
        <v>0</v>
      </c>
      <c r="Q20" s="594">
        <v>0</v>
      </c>
      <c r="R20" s="595">
        <v>0</v>
      </c>
      <c r="S20" s="596">
        <v>0</v>
      </c>
      <c r="T20" s="596">
        <v>0</v>
      </c>
      <c r="U20" s="597">
        <v>0</v>
      </c>
      <c r="V20" s="594">
        <v>0</v>
      </c>
      <c r="W20" s="595"/>
      <c r="X20" s="596"/>
      <c r="Y20" s="596"/>
      <c r="Z20" s="597"/>
      <c r="AA20" s="594">
        <v>0</v>
      </c>
      <c r="AB20" s="595"/>
      <c r="AC20" s="596"/>
      <c r="AD20" s="596"/>
      <c r="AE20" s="597"/>
      <c r="AF20" s="594">
        <v>0</v>
      </c>
      <c r="AG20" s="595"/>
      <c r="AH20" s="596"/>
      <c r="AI20" s="596"/>
      <c r="AJ20" s="597"/>
      <c r="AK20" s="594">
        <v>0</v>
      </c>
      <c r="AL20" s="594"/>
      <c r="AM20" s="594">
        <v>0</v>
      </c>
      <c r="AN20" s="594">
        <v>0</v>
      </c>
      <c r="AO20" s="594">
        <v>0</v>
      </c>
      <c r="AP20" s="594">
        <v>0</v>
      </c>
      <c r="AQ20" s="594">
        <v>0</v>
      </c>
      <c r="AR20" s="594">
        <v>0</v>
      </c>
      <c r="AS20" s="594">
        <v>0</v>
      </c>
      <c r="AT20" s="594">
        <v>0</v>
      </c>
      <c r="AU20" s="594">
        <v>0</v>
      </c>
      <c r="AV20" s="594">
        <v>0</v>
      </c>
      <c r="AW20" s="594">
        <v>0</v>
      </c>
      <c r="AX20" s="176"/>
    </row>
    <row r="21" spans="2:52" ht="16.5" collapsed="1">
      <c r="B21" s="533" t="s">
        <v>229</v>
      </c>
      <c r="C21" s="180"/>
      <c r="D21" s="181"/>
      <c r="E21" s="181"/>
      <c r="F21" s="181">
        <f t="shared" ref="F21:P21" si="7">F13+F17+F14+F20</f>
        <v>80911</v>
      </c>
      <c r="G21" s="604">
        <f t="shared" si="7"/>
        <v>15254</v>
      </c>
      <c r="H21" s="605">
        <f t="shared" si="7"/>
        <v>15012</v>
      </c>
      <c r="I21" s="606">
        <f t="shared" si="7"/>
        <v>26428</v>
      </c>
      <c r="J21" s="606">
        <f t="shared" si="7"/>
        <v>4270</v>
      </c>
      <c r="K21" s="607">
        <f t="shared" si="7"/>
        <v>11520</v>
      </c>
      <c r="L21" s="604">
        <f t="shared" si="7"/>
        <v>57230</v>
      </c>
      <c r="M21" s="605">
        <f t="shared" si="7"/>
        <v>3307</v>
      </c>
      <c r="N21" s="606">
        <f t="shared" si="7"/>
        <v>4078</v>
      </c>
      <c r="O21" s="606">
        <f t="shared" si="7"/>
        <v>3508</v>
      </c>
      <c r="P21" s="607">
        <f t="shared" si="7"/>
        <v>3739</v>
      </c>
      <c r="Q21" s="604">
        <f>SUM(M21:P21)</f>
        <v>14632</v>
      </c>
      <c r="R21" s="605">
        <f t="shared" ref="R21:AM21" si="8">R13+R17+R14+R20</f>
        <v>4420</v>
      </c>
      <c r="S21" s="606">
        <f t="shared" si="8"/>
        <v>5717</v>
      </c>
      <c r="T21" s="606">
        <f t="shared" si="8"/>
        <v>4155</v>
      </c>
      <c r="U21" s="607">
        <f t="shared" si="8"/>
        <v>3804</v>
      </c>
      <c r="V21" s="604">
        <f t="shared" si="8"/>
        <v>18096</v>
      </c>
      <c r="W21" s="605">
        <f t="shared" si="8"/>
        <v>18201</v>
      </c>
      <c r="X21" s="606">
        <f t="shared" si="8"/>
        <v>3195</v>
      </c>
      <c r="Y21" s="606">
        <f t="shared" si="8"/>
        <v>3005</v>
      </c>
      <c r="Z21" s="607">
        <f t="shared" si="8"/>
        <v>3369</v>
      </c>
      <c r="AA21" s="604">
        <f t="shared" si="8"/>
        <v>27771</v>
      </c>
      <c r="AB21" s="605">
        <f t="shared" si="8"/>
        <v>3705</v>
      </c>
      <c r="AC21" s="606">
        <f t="shared" si="8"/>
        <v>3057</v>
      </c>
      <c r="AD21" s="606">
        <f t="shared" si="8"/>
        <v>3014</v>
      </c>
      <c r="AE21" s="607">
        <f t="shared" si="8"/>
        <v>3705</v>
      </c>
      <c r="AF21" s="604">
        <f t="shared" si="8"/>
        <v>13481</v>
      </c>
      <c r="AG21" s="605">
        <f t="shared" si="8"/>
        <v>3700</v>
      </c>
      <c r="AH21" s="606">
        <f t="shared" si="8"/>
        <v>3200</v>
      </c>
      <c r="AI21" s="606">
        <f t="shared" si="8"/>
        <v>3000</v>
      </c>
      <c r="AJ21" s="607">
        <f t="shared" si="8"/>
        <v>3750</v>
      </c>
      <c r="AK21" s="604">
        <f t="shared" ref="AK21" si="9">AK13+AK17+AK14+AK20</f>
        <v>13650</v>
      </c>
      <c r="AL21" s="604">
        <f t="shared" si="8"/>
        <v>170191.83470707003</v>
      </c>
      <c r="AM21" s="604">
        <f t="shared" si="8"/>
        <v>137329.78414413653</v>
      </c>
      <c r="AN21" s="604">
        <f>AN13+AN17+AN14+AN20</f>
        <v>192128.94306706119</v>
      </c>
      <c r="AO21" s="604">
        <f>AO13+AO17+AO14+AO20</f>
        <v>295408.73908272601</v>
      </c>
      <c r="AP21" s="604">
        <f t="shared" ref="AP21:AW21" si="10">AP13+AP17+AP14+AP20</f>
        <v>354173.361851895</v>
      </c>
      <c r="AQ21" s="604">
        <f t="shared" si="10"/>
        <v>453291.4720149507</v>
      </c>
      <c r="AR21" s="604">
        <f t="shared" si="10"/>
        <v>502718.57975514326</v>
      </c>
      <c r="AS21" s="604">
        <f t="shared" si="10"/>
        <v>582738.70087982307</v>
      </c>
      <c r="AT21" s="604">
        <f t="shared" si="10"/>
        <v>624276.30924284842</v>
      </c>
      <c r="AU21" s="604">
        <f t="shared" si="10"/>
        <v>685190.15735642507</v>
      </c>
      <c r="AV21" s="604">
        <f t="shared" si="10"/>
        <v>747145.62042714702</v>
      </c>
      <c r="AW21" s="604">
        <f t="shared" si="10"/>
        <v>795976.15595915646</v>
      </c>
      <c r="AX21" s="181"/>
    </row>
    <row r="22" spans="2:52">
      <c r="B22" s="510" t="s">
        <v>230</v>
      </c>
      <c r="C22" s="182"/>
      <c r="D22" s="176"/>
      <c r="E22" s="176"/>
      <c r="F22" s="176">
        <v>0</v>
      </c>
      <c r="G22" s="594">
        <v>0</v>
      </c>
      <c r="H22" s="595">
        <v>0</v>
      </c>
      <c r="I22" s="596">
        <v>0</v>
      </c>
      <c r="J22" s="596">
        <v>0</v>
      </c>
      <c r="K22" s="597">
        <v>0</v>
      </c>
      <c r="L22" s="594">
        <v>0</v>
      </c>
      <c r="M22" s="595">
        <v>0</v>
      </c>
      <c r="N22" s="596">
        <v>0</v>
      </c>
      <c r="O22" s="596">
        <v>0</v>
      </c>
      <c r="P22" s="597">
        <v>0</v>
      </c>
      <c r="Q22" s="594">
        <v>0</v>
      </c>
      <c r="R22" s="595">
        <v>0</v>
      </c>
      <c r="S22" s="596">
        <v>0</v>
      </c>
      <c r="T22" s="596">
        <v>0</v>
      </c>
      <c r="U22" s="597">
        <v>0</v>
      </c>
      <c r="V22" s="594">
        <v>0</v>
      </c>
      <c r="W22" s="595">
        <v>0</v>
      </c>
      <c r="X22" s="596">
        <v>0</v>
      </c>
      <c r="Y22" s="596">
        <v>0</v>
      </c>
      <c r="Z22" s="597">
        <v>0</v>
      </c>
      <c r="AA22" s="594">
        <v>0</v>
      </c>
      <c r="AB22" s="595">
        <v>0</v>
      </c>
      <c r="AC22" s="596">
        <v>0</v>
      </c>
      <c r="AD22" s="596">
        <v>0</v>
      </c>
      <c r="AE22" s="597">
        <v>0</v>
      </c>
      <c r="AF22" s="594">
        <f>SOP!F6+SOP!F46+SOP!F106+SOP!F183+SOP!F200</f>
        <v>0</v>
      </c>
      <c r="AG22" s="595">
        <v>0</v>
      </c>
      <c r="AH22" s="596">
        <v>0</v>
      </c>
      <c r="AI22" s="596">
        <v>0</v>
      </c>
      <c r="AJ22" s="597">
        <v>0</v>
      </c>
      <c r="AK22" s="594">
        <f>SOP!G6+SOP!G46+SOP!G106+SOP!G183+SOP!G200</f>
        <v>0</v>
      </c>
      <c r="AL22" s="594">
        <f>SOP!H6+SOP!H46+SOP!H106+SOP!H183+SOP!H200</f>
        <v>271.91834707070046</v>
      </c>
      <c r="AM22" s="594">
        <f>SOP!I6+SOP!I46+SOP!I106+SOP!I183+SOP!I200</f>
        <v>4683.8669747909325</v>
      </c>
      <c r="AN22" s="594">
        <f>SOP!J6+SOP!J46+SOP!J106+SOP!J183+SOP!J200</f>
        <v>20416.999592751767</v>
      </c>
      <c r="AO22" s="594">
        <f>SOP!K6+SOP!K46+SOP!K106+SOP!K183+SOP!K200</f>
        <v>32507.961668324286</v>
      </c>
      <c r="AP22" s="594">
        <f>SOP!L6+SOP!L46+SOP!L106+SOP!L183+SOP!L200</f>
        <v>43702.337653309369</v>
      </c>
      <c r="AQ22" s="594">
        <f>SOP!M6+SOP!M46+SOP!M106+SOP!M183+SOP!M200</f>
        <v>78166.009537258578</v>
      </c>
      <c r="AR22" s="594">
        <f>SOP!N6+SOP!N46+SOP!N106+SOP!N183+SOP!N200</f>
        <v>110289.96321776815</v>
      </c>
      <c r="AS22" s="594">
        <f>SOP!O6+SOP!O46+SOP!O106+SOP!O183+SOP!O200</f>
        <v>148505.21897520829</v>
      </c>
      <c r="AT22" s="594">
        <f>SOP!P6+SOP!P46+SOP!P106+SOP!P183+SOP!P200</f>
        <v>188086.88470045541</v>
      </c>
      <c r="AU22" s="594">
        <f>SOP!Q6+SOP!Q46+SOP!Q106+SOP!Q183+SOP!Q200</f>
        <v>234690.94647212356</v>
      </c>
      <c r="AV22" s="594">
        <f>SOP!R6+SOP!R46+SOP!R106+SOP!R183+SOP!R200</f>
        <v>270825.5123499186</v>
      </c>
      <c r="AW22" s="594">
        <f>SOP!S6+SOP!S46+SOP!S106+SOP!S183+SOP!S200</f>
        <v>301476.26400351513</v>
      </c>
      <c r="AX22" s="176"/>
    </row>
    <row r="23" spans="2:52" ht="16.5">
      <c r="B23" s="530" t="s">
        <v>231</v>
      </c>
      <c r="C23" s="183"/>
      <c r="D23" s="181">
        <f t="shared" ref="D23:AM23" si="11">D21-D22</f>
        <v>0</v>
      </c>
      <c r="E23" s="181">
        <f t="shared" si="11"/>
        <v>0</v>
      </c>
      <c r="F23" s="181">
        <f t="shared" si="11"/>
        <v>80911</v>
      </c>
      <c r="G23" s="604">
        <f t="shared" si="11"/>
        <v>15254</v>
      </c>
      <c r="H23" s="605">
        <f t="shared" si="11"/>
        <v>15012</v>
      </c>
      <c r="I23" s="606">
        <f t="shared" si="11"/>
        <v>26428</v>
      </c>
      <c r="J23" s="606">
        <f t="shared" si="11"/>
        <v>4270</v>
      </c>
      <c r="K23" s="607">
        <f t="shared" si="11"/>
        <v>11520</v>
      </c>
      <c r="L23" s="604">
        <f t="shared" si="11"/>
        <v>57230</v>
      </c>
      <c r="M23" s="605">
        <f t="shared" si="11"/>
        <v>3307</v>
      </c>
      <c r="N23" s="606">
        <f t="shared" si="11"/>
        <v>4078</v>
      </c>
      <c r="O23" s="606">
        <f t="shared" si="11"/>
        <v>3508</v>
      </c>
      <c r="P23" s="607">
        <f t="shared" si="11"/>
        <v>3739</v>
      </c>
      <c r="Q23" s="604">
        <f t="shared" si="11"/>
        <v>14632</v>
      </c>
      <c r="R23" s="605">
        <f t="shared" si="11"/>
        <v>4420</v>
      </c>
      <c r="S23" s="606">
        <f t="shared" si="11"/>
        <v>5717</v>
      </c>
      <c r="T23" s="606">
        <f t="shared" si="11"/>
        <v>4155</v>
      </c>
      <c r="U23" s="607">
        <f t="shared" si="11"/>
        <v>3804</v>
      </c>
      <c r="V23" s="604">
        <f t="shared" si="11"/>
        <v>18096</v>
      </c>
      <c r="W23" s="605">
        <f t="shared" si="11"/>
        <v>18201</v>
      </c>
      <c r="X23" s="606">
        <f t="shared" si="11"/>
        <v>3195</v>
      </c>
      <c r="Y23" s="606">
        <f t="shared" si="11"/>
        <v>3005</v>
      </c>
      <c r="Z23" s="607">
        <f t="shared" si="11"/>
        <v>3369</v>
      </c>
      <c r="AA23" s="604">
        <f t="shared" si="11"/>
        <v>27771</v>
      </c>
      <c r="AB23" s="605">
        <f t="shared" si="11"/>
        <v>3705</v>
      </c>
      <c r="AC23" s="606">
        <f t="shared" si="11"/>
        <v>3057</v>
      </c>
      <c r="AD23" s="606">
        <f t="shared" si="11"/>
        <v>3014</v>
      </c>
      <c r="AE23" s="607">
        <f t="shared" si="11"/>
        <v>3705</v>
      </c>
      <c r="AF23" s="604">
        <f t="shared" si="11"/>
        <v>13481</v>
      </c>
      <c r="AG23" s="605">
        <f t="shared" si="11"/>
        <v>3700</v>
      </c>
      <c r="AH23" s="606">
        <f t="shared" si="11"/>
        <v>3200</v>
      </c>
      <c r="AI23" s="606">
        <f t="shared" si="11"/>
        <v>3000</v>
      </c>
      <c r="AJ23" s="607">
        <f t="shared" si="11"/>
        <v>3750</v>
      </c>
      <c r="AK23" s="604">
        <f t="shared" si="11"/>
        <v>13650</v>
      </c>
      <c r="AL23" s="604">
        <f t="shared" si="11"/>
        <v>169919.91635999933</v>
      </c>
      <c r="AM23" s="604">
        <f t="shared" si="11"/>
        <v>132645.9171693456</v>
      </c>
      <c r="AN23" s="604">
        <f t="shared" ref="AN23:AW23" si="12">AN21-AN22</f>
        <v>171711.94347430943</v>
      </c>
      <c r="AO23" s="604">
        <f t="shared" si="12"/>
        <v>262900.7774144017</v>
      </c>
      <c r="AP23" s="604">
        <f t="shared" si="12"/>
        <v>310471.02419858566</v>
      </c>
      <c r="AQ23" s="604">
        <f t="shared" si="12"/>
        <v>375125.46247769211</v>
      </c>
      <c r="AR23" s="604">
        <f t="shared" si="12"/>
        <v>392428.61653737514</v>
      </c>
      <c r="AS23" s="604">
        <f t="shared" si="12"/>
        <v>434233.48190461477</v>
      </c>
      <c r="AT23" s="604">
        <f t="shared" si="12"/>
        <v>436189.42454239301</v>
      </c>
      <c r="AU23" s="604">
        <f t="shared" si="12"/>
        <v>450499.21088430152</v>
      </c>
      <c r="AV23" s="604">
        <f t="shared" si="12"/>
        <v>476320.10807722842</v>
      </c>
      <c r="AW23" s="604">
        <f t="shared" si="12"/>
        <v>494499.89195564133</v>
      </c>
      <c r="AX23" s="181"/>
    </row>
    <row r="24" spans="2:52">
      <c r="B24" s="536"/>
      <c r="C24" s="184"/>
      <c r="D24" s="184"/>
      <c r="E24" s="184"/>
      <c r="F24" s="176"/>
      <c r="G24" s="594"/>
      <c r="H24" s="608"/>
      <c r="I24" s="609"/>
      <c r="J24" s="609"/>
      <c r="K24" s="610"/>
      <c r="L24" s="594"/>
      <c r="M24" s="608"/>
      <c r="N24" s="609"/>
      <c r="O24" s="609"/>
      <c r="P24" s="610"/>
      <c r="Q24" s="594"/>
      <c r="R24" s="608"/>
      <c r="S24" s="609"/>
      <c r="T24" s="609"/>
      <c r="U24" s="610"/>
      <c r="V24" s="594"/>
      <c r="W24" s="608"/>
      <c r="X24" s="609"/>
      <c r="Y24" s="609"/>
      <c r="Z24" s="610"/>
      <c r="AA24" s="594"/>
      <c r="AB24" s="608"/>
      <c r="AC24" s="609"/>
      <c r="AD24" s="609"/>
      <c r="AE24" s="610"/>
      <c r="AF24" s="594"/>
      <c r="AG24" s="608"/>
      <c r="AH24" s="609"/>
      <c r="AI24" s="609"/>
      <c r="AJ24" s="610"/>
      <c r="AK24" s="594"/>
      <c r="AL24" s="594"/>
      <c r="AM24" s="562"/>
      <c r="AN24" s="562"/>
      <c r="AO24" s="562"/>
      <c r="AP24" s="562"/>
      <c r="AQ24" s="562"/>
      <c r="AR24" s="562"/>
      <c r="AS24" s="562"/>
      <c r="AT24" s="562"/>
      <c r="AU24" s="562"/>
      <c r="AV24" s="562"/>
      <c r="AW24" s="562"/>
      <c r="AX24" s="238"/>
    </row>
    <row r="25" spans="2:52">
      <c r="B25" s="538" t="s">
        <v>147</v>
      </c>
      <c r="C25" s="182"/>
      <c r="D25" s="176"/>
      <c r="E25" s="176"/>
      <c r="F25" s="176">
        <v>32713</v>
      </c>
      <c r="G25" s="594">
        <v>35319</v>
      </c>
      <c r="H25" s="595">
        <v>8780</v>
      </c>
      <c r="I25" s="596">
        <f>25834-J25-H25</f>
        <v>8911</v>
      </c>
      <c r="J25" s="596">
        <v>8143</v>
      </c>
      <c r="K25" s="597">
        <f>L25-J25-I25-H25</f>
        <v>10217</v>
      </c>
      <c r="L25" s="594">
        <v>36051</v>
      </c>
      <c r="M25" s="595">
        <v>11765</v>
      </c>
      <c r="N25" s="596">
        <f>N31+N30+N29+N28+N27+N26</f>
        <v>12677</v>
      </c>
      <c r="O25" s="596">
        <v>11876</v>
      </c>
      <c r="P25" s="597">
        <f>P31+P30+P29+P28+P27+P26</f>
        <v>14579</v>
      </c>
      <c r="Q25" s="594">
        <f>SUM(Q26:Q31)</f>
        <v>50897</v>
      </c>
      <c r="R25" s="595">
        <v>14779</v>
      </c>
      <c r="S25" s="596">
        <v>14150</v>
      </c>
      <c r="T25" s="596">
        <v>13335</v>
      </c>
      <c r="U25" s="597">
        <v>16146</v>
      </c>
      <c r="V25" s="594">
        <f>SUM(R25:U25)</f>
        <v>58410</v>
      </c>
      <c r="W25" s="595">
        <v>16246</v>
      </c>
      <c r="X25" s="596">
        <v>16138</v>
      </c>
      <c r="Y25" s="596">
        <v>17102</v>
      </c>
      <c r="Z25" s="597">
        <v>19088</v>
      </c>
      <c r="AA25" s="594">
        <f>SUM(W25:Z25)</f>
        <v>68574</v>
      </c>
      <c r="AB25" s="595">
        <v>21727</v>
      </c>
      <c r="AC25" s="596">
        <v>21598</v>
      </c>
      <c r="AD25" s="596">
        <v>21059</v>
      </c>
      <c r="AE25" s="597">
        <v>25339</v>
      </c>
      <c r="AF25" s="594">
        <f>SUM(AB25:AE25)</f>
        <v>89723</v>
      </c>
      <c r="AG25" s="703">
        <v>26500</v>
      </c>
      <c r="AH25" s="611">
        <v>29000</v>
      </c>
      <c r="AI25" s="611">
        <v>32000</v>
      </c>
      <c r="AJ25" s="612">
        <v>35000</v>
      </c>
      <c r="AK25" s="594">
        <f>SUM(AG25:AJ25)</f>
        <v>122500</v>
      </c>
      <c r="AL25" s="594">
        <v>140000</v>
      </c>
      <c r="AM25" s="594">
        <f>AL25*1.1</f>
        <v>154000</v>
      </c>
      <c r="AN25" s="594">
        <f t="shared" ref="AN25:AW25" si="13">AM25*1.05</f>
        <v>161700</v>
      </c>
      <c r="AO25" s="594">
        <f t="shared" si="13"/>
        <v>169785</v>
      </c>
      <c r="AP25" s="594">
        <f t="shared" si="13"/>
        <v>178274.25</v>
      </c>
      <c r="AQ25" s="594">
        <f t="shared" si="13"/>
        <v>187187.96249999999</v>
      </c>
      <c r="AR25" s="594">
        <f t="shared" si="13"/>
        <v>196547.360625</v>
      </c>
      <c r="AS25" s="594">
        <f t="shared" si="13"/>
        <v>206374.72865625002</v>
      </c>
      <c r="AT25" s="594">
        <f t="shared" si="13"/>
        <v>216693.46508906252</v>
      </c>
      <c r="AU25" s="594">
        <f t="shared" si="13"/>
        <v>227528.13834351566</v>
      </c>
      <c r="AV25" s="594">
        <f t="shared" si="13"/>
        <v>238904.54526069146</v>
      </c>
      <c r="AW25" s="594">
        <f t="shared" si="13"/>
        <v>250849.77252372605</v>
      </c>
      <c r="AX25" s="176"/>
    </row>
    <row r="26" spans="2:52" ht="15" hidden="1" customHeight="1" outlineLevel="1">
      <c r="B26" s="537" t="s">
        <v>225</v>
      </c>
      <c r="C26" s="182"/>
      <c r="D26" s="176"/>
      <c r="E26" s="176"/>
      <c r="F26" s="176">
        <v>974</v>
      </c>
      <c r="G26" s="594">
        <v>6</v>
      </c>
      <c r="H26" s="595">
        <v>0</v>
      </c>
      <c r="I26" s="596">
        <v>1</v>
      </c>
      <c r="J26" s="596">
        <v>0</v>
      </c>
      <c r="K26" s="597">
        <f t="shared" ref="K26:K31" si="14">L26-H26-I26-J26</f>
        <v>1</v>
      </c>
      <c r="L26" s="594">
        <v>2</v>
      </c>
      <c r="M26" s="595">
        <v>0</v>
      </c>
      <c r="N26" s="596">
        <v>0</v>
      </c>
      <c r="O26" s="596">
        <v>0</v>
      </c>
      <c r="P26" s="597">
        <v>0</v>
      </c>
      <c r="Q26" s="594">
        <f>SUM(M26:P26)</f>
        <v>0</v>
      </c>
      <c r="R26" s="595">
        <v>0</v>
      </c>
      <c r="S26" s="596">
        <v>0</v>
      </c>
      <c r="T26" s="596">
        <v>0</v>
      </c>
      <c r="U26" s="597">
        <v>0</v>
      </c>
      <c r="V26" s="594">
        <v>0</v>
      </c>
      <c r="W26" s="595"/>
      <c r="X26" s="596"/>
      <c r="Y26" s="596"/>
      <c r="Z26" s="597"/>
      <c r="AA26" s="594">
        <v>0</v>
      </c>
      <c r="AB26" s="595"/>
      <c r="AC26" s="596"/>
      <c r="AD26" s="596"/>
      <c r="AE26" s="597"/>
      <c r="AF26" s="594">
        <v>0</v>
      </c>
      <c r="AG26" s="595"/>
      <c r="AH26" s="596"/>
      <c r="AI26" s="596"/>
      <c r="AJ26" s="597"/>
      <c r="AK26" s="594">
        <v>0</v>
      </c>
      <c r="AL26" s="594">
        <v>0</v>
      </c>
      <c r="AM26" s="594">
        <v>0</v>
      </c>
      <c r="AN26" s="594">
        <v>0</v>
      </c>
      <c r="AO26" s="594">
        <v>0</v>
      </c>
      <c r="AP26" s="594">
        <v>0</v>
      </c>
      <c r="AQ26" s="594">
        <v>0</v>
      </c>
      <c r="AR26" s="594">
        <v>0</v>
      </c>
      <c r="AS26" s="594">
        <v>0</v>
      </c>
      <c r="AT26" s="594">
        <v>0</v>
      </c>
      <c r="AU26" s="594">
        <v>0</v>
      </c>
      <c r="AV26" s="594">
        <v>0</v>
      </c>
      <c r="AW26" s="594">
        <v>0</v>
      </c>
      <c r="AX26" s="176"/>
    </row>
    <row r="27" spans="2:52" ht="15" hidden="1" customHeight="1" outlineLevel="1">
      <c r="B27" s="537" t="s">
        <v>224</v>
      </c>
      <c r="C27" s="182"/>
      <c r="D27" s="176"/>
      <c r="E27" s="176"/>
      <c r="F27" s="176">
        <v>681</v>
      </c>
      <c r="G27" s="594">
        <v>2885</v>
      </c>
      <c r="H27" s="595">
        <v>703</v>
      </c>
      <c r="I27" s="596">
        <f>3182-J27-H27</f>
        <v>1047</v>
      </c>
      <c r="J27" s="596">
        <v>1432</v>
      </c>
      <c r="K27" s="597">
        <f t="shared" si="14"/>
        <v>1899</v>
      </c>
      <c r="L27" s="594">
        <v>5081</v>
      </c>
      <c r="M27" s="595">
        <v>1519</v>
      </c>
      <c r="N27" s="596">
        <v>2630</v>
      </c>
      <c r="O27" s="596">
        <v>1877</v>
      </c>
      <c r="P27" s="597">
        <f t="shared" ref="P27:P32" si="15">Q27-M27-N27-O27</f>
        <v>1918</v>
      </c>
      <c r="Q27" s="594">
        <v>7944</v>
      </c>
      <c r="R27" s="595">
        <v>2544</v>
      </c>
      <c r="S27" s="596">
        <v>2686</v>
      </c>
      <c r="T27" s="611">
        <v>2418</v>
      </c>
      <c r="U27" s="612">
        <v>2000</v>
      </c>
      <c r="V27" s="594">
        <f t="shared" ref="V27:V32" si="16">SUM(R27:U27)</f>
        <v>9648</v>
      </c>
      <c r="W27" s="595"/>
      <c r="X27" s="596"/>
      <c r="Y27" s="596"/>
      <c r="Z27" s="612"/>
      <c r="AA27" s="594">
        <v>508.91252999999989</v>
      </c>
      <c r="AB27" s="595"/>
      <c r="AC27" s="596"/>
      <c r="AD27" s="596"/>
      <c r="AE27" s="597"/>
      <c r="AF27" s="594">
        <v>0</v>
      </c>
      <c r="AG27" s="595"/>
      <c r="AH27" s="596"/>
      <c r="AI27" s="596"/>
      <c r="AJ27" s="612"/>
      <c r="AK27" s="594">
        <v>0</v>
      </c>
      <c r="AL27" s="594">
        <v>0</v>
      </c>
      <c r="AM27" s="594">
        <v>0</v>
      </c>
      <c r="AN27" s="594">
        <v>0</v>
      </c>
      <c r="AO27" s="594">
        <v>0</v>
      </c>
      <c r="AP27" s="594">
        <v>0</v>
      </c>
      <c r="AQ27" s="594">
        <v>0</v>
      </c>
      <c r="AR27" s="594">
        <v>0</v>
      </c>
      <c r="AS27" s="594">
        <v>0</v>
      </c>
      <c r="AT27" s="594">
        <v>0</v>
      </c>
      <c r="AU27" s="594">
        <v>0</v>
      </c>
      <c r="AV27" s="594">
        <v>0</v>
      </c>
      <c r="AW27" s="594">
        <v>0</v>
      </c>
      <c r="AX27" s="176"/>
    </row>
    <row r="28" spans="2:52" ht="15" hidden="1" customHeight="1" outlineLevel="1">
      <c r="B28" s="537" t="s">
        <v>21</v>
      </c>
      <c r="C28" s="182"/>
      <c r="D28" s="176"/>
      <c r="E28" s="176"/>
      <c r="F28" s="176">
        <v>1323</v>
      </c>
      <c r="G28" s="594">
        <v>3422</v>
      </c>
      <c r="H28" s="595">
        <v>1076</v>
      </c>
      <c r="I28" s="596">
        <f>3413-J28-H28</f>
        <v>1076</v>
      </c>
      <c r="J28" s="596">
        <v>1261</v>
      </c>
      <c r="K28" s="597">
        <f t="shared" si="14"/>
        <v>1223</v>
      </c>
      <c r="L28" s="594">
        <v>4636</v>
      </c>
      <c r="M28" s="595">
        <v>1428</v>
      </c>
      <c r="N28" s="596">
        <v>1557</v>
      </c>
      <c r="O28" s="596">
        <v>1226</v>
      </c>
      <c r="P28" s="597">
        <f t="shared" si="15"/>
        <v>3315</v>
      </c>
      <c r="Q28" s="594">
        <v>7526</v>
      </c>
      <c r="R28" s="595">
        <v>2244</v>
      </c>
      <c r="S28" s="596">
        <v>1847</v>
      </c>
      <c r="T28" s="611">
        <v>2463</v>
      </c>
      <c r="U28" s="612">
        <v>2500</v>
      </c>
      <c r="V28" s="594">
        <f t="shared" si="16"/>
        <v>9054</v>
      </c>
      <c r="W28" s="595"/>
      <c r="X28" s="596"/>
      <c r="Y28" s="596"/>
      <c r="Z28" s="612"/>
      <c r="AA28" s="594">
        <v>17982</v>
      </c>
      <c r="AB28" s="595"/>
      <c r="AC28" s="596"/>
      <c r="AD28" s="596"/>
      <c r="AE28" s="597"/>
      <c r="AF28" s="594">
        <f>AA28*1.5</f>
        <v>26973</v>
      </c>
      <c r="AG28" s="595"/>
      <c r="AH28" s="596"/>
      <c r="AI28" s="596"/>
      <c r="AJ28" s="612"/>
      <c r="AK28" s="594">
        <f>AF28*1.05</f>
        <v>28321.65</v>
      </c>
      <c r="AL28" s="594">
        <v>16992.990000000002</v>
      </c>
      <c r="AM28" s="594">
        <f>AL28*0.75</f>
        <v>12744.7425</v>
      </c>
      <c r="AN28" s="594">
        <f t="shared" ref="AN28:AW28" si="17">AM28*0.75</f>
        <v>9558.5568750000002</v>
      </c>
      <c r="AO28" s="594">
        <f t="shared" si="17"/>
        <v>7168.9176562499997</v>
      </c>
      <c r="AP28" s="594">
        <f t="shared" si="17"/>
        <v>5376.6882421874998</v>
      </c>
      <c r="AQ28" s="594">
        <f t="shared" si="17"/>
        <v>4032.5161816406248</v>
      </c>
      <c r="AR28" s="594">
        <f t="shared" si="17"/>
        <v>3024.3871362304685</v>
      </c>
      <c r="AS28" s="594">
        <f t="shared" si="17"/>
        <v>2268.2903521728513</v>
      </c>
      <c r="AT28" s="594">
        <f t="shared" si="17"/>
        <v>1701.2177641296385</v>
      </c>
      <c r="AU28" s="594">
        <f t="shared" si="17"/>
        <v>1275.9133230972288</v>
      </c>
      <c r="AV28" s="594">
        <f t="shared" si="17"/>
        <v>956.93499232292163</v>
      </c>
      <c r="AW28" s="594">
        <f t="shared" si="17"/>
        <v>717.70124424219125</v>
      </c>
      <c r="AX28" s="176"/>
    </row>
    <row r="29" spans="2:52" ht="15" hidden="1" customHeight="1" outlineLevel="1">
      <c r="B29" s="537" t="s">
        <v>15</v>
      </c>
      <c r="C29" s="182"/>
      <c r="D29" s="176"/>
      <c r="E29" s="176"/>
      <c r="F29" s="176">
        <v>0</v>
      </c>
      <c r="G29" s="594">
        <v>0</v>
      </c>
      <c r="H29" s="595">
        <v>0</v>
      </c>
      <c r="I29" s="596">
        <v>0</v>
      </c>
      <c r="J29" s="596">
        <v>0</v>
      </c>
      <c r="K29" s="597">
        <f t="shared" si="14"/>
        <v>105</v>
      </c>
      <c r="L29" s="594">
        <v>105</v>
      </c>
      <c r="M29" s="595">
        <v>1355</v>
      </c>
      <c r="N29" s="596">
        <v>1195</v>
      </c>
      <c r="O29" s="596">
        <v>982</v>
      </c>
      <c r="P29" s="597">
        <f t="shared" si="15"/>
        <v>1579</v>
      </c>
      <c r="Q29" s="594">
        <v>5111</v>
      </c>
      <c r="R29" s="595">
        <v>1042</v>
      </c>
      <c r="S29" s="596">
        <v>725</v>
      </c>
      <c r="T29" s="611">
        <v>291</v>
      </c>
      <c r="U29" s="612">
        <v>1000</v>
      </c>
      <c r="V29" s="594">
        <f t="shared" si="16"/>
        <v>3058</v>
      </c>
      <c r="W29" s="595"/>
      <c r="X29" s="596"/>
      <c r="Y29" s="596"/>
      <c r="Z29" s="612"/>
      <c r="AA29" s="594">
        <v>5114.7749999999996</v>
      </c>
      <c r="AB29" s="595"/>
      <c r="AC29" s="596"/>
      <c r="AD29" s="596"/>
      <c r="AE29" s="597"/>
      <c r="AF29" s="594">
        <f>AA29*1.3</f>
        <v>6649.2074999999995</v>
      </c>
      <c r="AG29" s="595"/>
      <c r="AH29" s="596"/>
      <c r="AI29" s="596"/>
      <c r="AJ29" s="612"/>
      <c r="AK29" s="594">
        <f>AF29*1.1</f>
        <v>7314.1282499999998</v>
      </c>
      <c r="AL29" s="594">
        <v>5851.3026</v>
      </c>
      <c r="AM29" s="594">
        <f t="shared" ref="AM29:AW29" si="18">AL29*0.8</f>
        <v>4681.0420800000002</v>
      </c>
      <c r="AN29" s="594">
        <f t="shared" si="18"/>
        <v>3744.8336640000002</v>
      </c>
      <c r="AO29" s="594">
        <f t="shared" si="18"/>
        <v>2995.8669312000002</v>
      </c>
      <c r="AP29" s="594">
        <f t="shared" si="18"/>
        <v>2396.6935449600001</v>
      </c>
      <c r="AQ29" s="594">
        <f t="shared" si="18"/>
        <v>1917.3548359680001</v>
      </c>
      <c r="AR29" s="594">
        <f t="shared" si="18"/>
        <v>1533.8838687744001</v>
      </c>
      <c r="AS29" s="594">
        <f t="shared" si="18"/>
        <v>1227.1070950195201</v>
      </c>
      <c r="AT29" s="594">
        <f t="shared" si="18"/>
        <v>981.68567601561608</v>
      </c>
      <c r="AU29" s="594">
        <f t="shared" si="18"/>
        <v>785.34854081249296</v>
      </c>
      <c r="AV29" s="594">
        <f t="shared" si="18"/>
        <v>628.27883264999446</v>
      </c>
      <c r="AW29" s="594">
        <f t="shared" si="18"/>
        <v>502.6230661199956</v>
      </c>
      <c r="AX29" s="176"/>
    </row>
    <row r="30" spans="2:52" ht="15" hidden="1" customHeight="1" outlineLevel="1">
      <c r="B30" s="537" t="s">
        <v>264</v>
      </c>
      <c r="C30" s="182"/>
      <c r="D30" s="176"/>
      <c r="E30" s="176"/>
      <c r="F30" s="176">
        <v>4240</v>
      </c>
      <c r="G30" s="594">
        <v>3453</v>
      </c>
      <c r="H30" s="595">
        <v>502</v>
      </c>
      <c r="I30" s="596">
        <f>997-J30-H30</f>
        <v>500</v>
      </c>
      <c r="J30" s="596">
        <v>-5</v>
      </c>
      <c r="K30" s="597">
        <f t="shared" si="14"/>
        <v>26</v>
      </c>
      <c r="L30" s="594">
        <v>1023</v>
      </c>
      <c r="M30" s="595">
        <v>6</v>
      </c>
      <c r="N30" s="596">
        <v>8</v>
      </c>
      <c r="O30" s="596">
        <v>-7</v>
      </c>
      <c r="P30" s="597">
        <f t="shared" si="15"/>
        <v>1</v>
      </c>
      <c r="Q30" s="594">
        <v>8</v>
      </c>
      <c r="R30" s="595">
        <v>0</v>
      </c>
      <c r="S30" s="596">
        <f>R30*1.025</f>
        <v>0</v>
      </c>
      <c r="T30" s="596">
        <f>S30*1.025</f>
        <v>0</v>
      </c>
      <c r="U30" s="597">
        <f>T30*1.025</f>
        <v>0</v>
      </c>
      <c r="V30" s="594">
        <f t="shared" si="16"/>
        <v>0</v>
      </c>
      <c r="W30" s="595"/>
      <c r="X30" s="596"/>
      <c r="Y30" s="596"/>
      <c r="Z30" s="597"/>
      <c r="AA30" s="594">
        <f>V30*1.05</f>
        <v>0</v>
      </c>
      <c r="AB30" s="595"/>
      <c r="AC30" s="596"/>
      <c r="AD30" s="596"/>
      <c r="AE30" s="597"/>
      <c r="AF30" s="594">
        <v>0</v>
      </c>
      <c r="AG30" s="595"/>
      <c r="AH30" s="596"/>
      <c r="AI30" s="596"/>
      <c r="AJ30" s="597"/>
      <c r="AK30" s="594">
        <v>0</v>
      </c>
      <c r="AL30" s="594">
        <v>0</v>
      </c>
      <c r="AM30" s="594">
        <v>0</v>
      </c>
      <c r="AN30" s="594">
        <f>AM30</f>
        <v>0</v>
      </c>
      <c r="AO30" s="594">
        <f t="shared" ref="AO30:AW30" si="19">AN30</f>
        <v>0</v>
      </c>
      <c r="AP30" s="594">
        <f t="shared" si="19"/>
        <v>0</v>
      </c>
      <c r="AQ30" s="594">
        <f t="shared" si="19"/>
        <v>0</v>
      </c>
      <c r="AR30" s="594">
        <f t="shared" si="19"/>
        <v>0</v>
      </c>
      <c r="AS30" s="594">
        <f t="shared" si="19"/>
        <v>0</v>
      </c>
      <c r="AT30" s="594">
        <f t="shared" si="19"/>
        <v>0</v>
      </c>
      <c r="AU30" s="594">
        <f t="shared" si="19"/>
        <v>0</v>
      </c>
      <c r="AV30" s="594">
        <f t="shared" si="19"/>
        <v>0</v>
      </c>
      <c r="AW30" s="594">
        <f t="shared" si="19"/>
        <v>0</v>
      </c>
      <c r="AX30" s="176"/>
    </row>
    <row r="31" spans="2:52" ht="15" hidden="1" customHeight="1" outlineLevel="1">
      <c r="B31" s="537" t="s">
        <v>265</v>
      </c>
      <c r="C31" s="182"/>
      <c r="D31" s="176"/>
      <c r="E31" s="176"/>
      <c r="F31" s="176">
        <v>25495</v>
      </c>
      <c r="G31" s="594">
        <v>25553</v>
      </c>
      <c r="H31" s="595">
        <v>6499</v>
      </c>
      <c r="I31" s="596">
        <f>18241-J31-H31</f>
        <v>6287</v>
      </c>
      <c r="J31" s="596">
        <v>5455</v>
      </c>
      <c r="K31" s="597">
        <f t="shared" si="14"/>
        <v>6963</v>
      </c>
      <c r="L31" s="594">
        <v>25204</v>
      </c>
      <c r="M31" s="595">
        <v>7457</v>
      </c>
      <c r="N31" s="596">
        <v>7287</v>
      </c>
      <c r="O31" s="596">
        <v>7798</v>
      </c>
      <c r="P31" s="597">
        <f t="shared" si="15"/>
        <v>7766</v>
      </c>
      <c r="Q31" s="594">
        <v>30308</v>
      </c>
      <c r="R31" s="595">
        <v>8949</v>
      </c>
      <c r="S31" s="596">
        <v>8892</v>
      </c>
      <c r="T31" s="596">
        <v>8163</v>
      </c>
      <c r="U31" s="612">
        <v>9161</v>
      </c>
      <c r="V31" s="594">
        <f t="shared" si="16"/>
        <v>35165</v>
      </c>
      <c r="W31" s="595"/>
      <c r="X31" s="596"/>
      <c r="Y31" s="596"/>
      <c r="Z31" s="612"/>
      <c r="AA31" s="594">
        <f>V31*1.2</f>
        <v>42198</v>
      </c>
      <c r="AB31" s="595"/>
      <c r="AC31" s="596"/>
      <c r="AD31" s="596"/>
      <c r="AE31" s="597"/>
      <c r="AF31" s="594">
        <f>AA31*1.1</f>
        <v>46417.8</v>
      </c>
      <c r="AG31" s="595"/>
      <c r="AH31" s="596"/>
      <c r="AI31" s="596"/>
      <c r="AJ31" s="612"/>
      <c r="AK31" s="594">
        <f>AF31*1.1</f>
        <v>51059.580000000009</v>
      </c>
      <c r="AL31" s="594">
        <v>56165.538000000015</v>
      </c>
      <c r="AM31" s="594">
        <f>AL31*1.05</f>
        <v>58973.814900000019</v>
      </c>
      <c r="AN31" s="594">
        <f>AM31*1.05</f>
        <v>61922.505645000027</v>
      </c>
      <c r="AO31" s="594">
        <f>AN31*1.05</f>
        <v>65018.630927250029</v>
      </c>
      <c r="AP31" s="594">
        <f>AO31*1.03</f>
        <v>66969.189855067525</v>
      </c>
      <c r="AQ31" s="594">
        <f>AP31*1.03</f>
        <v>68978.26555071956</v>
      </c>
      <c r="AR31" s="594">
        <f t="shared" ref="AR31:AW31" si="20">AQ31*1.03</f>
        <v>71047.613517241145</v>
      </c>
      <c r="AS31" s="594">
        <f t="shared" si="20"/>
        <v>73179.041922758377</v>
      </c>
      <c r="AT31" s="594">
        <f t="shared" si="20"/>
        <v>75374.41318044113</v>
      </c>
      <c r="AU31" s="594">
        <f t="shared" si="20"/>
        <v>77635.64557585436</v>
      </c>
      <c r="AV31" s="594">
        <f t="shared" si="20"/>
        <v>79964.714943129991</v>
      </c>
      <c r="AW31" s="594">
        <f t="shared" si="20"/>
        <v>82363.656391423894</v>
      </c>
      <c r="AX31" s="176"/>
    </row>
    <row r="32" spans="2:52" collapsed="1">
      <c r="B32" s="538" t="s">
        <v>269</v>
      </c>
      <c r="C32" s="182"/>
      <c r="D32" s="176"/>
      <c r="E32" s="176"/>
      <c r="F32" s="176">
        <v>8142</v>
      </c>
      <c r="G32" s="594">
        <v>8824</v>
      </c>
      <c r="H32" s="595">
        <v>3096</v>
      </c>
      <c r="I32" s="596">
        <f>9472-J32-H32</f>
        <v>3365</v>
      </c>
      <c r="J32" s="596">
        <v>3011</v>
      </c>
      <c r="K32" s="597">
        <f>L32-J32-I32-H32</f>
        <v>4755</v>
      </c>
      <c r="L32" s="594">
        <v>14227</v>
      </c>
      <c r="M32" s="595">
        <v>3750</v>
      </c>
      <c r="N32" s="596">
        <v>3712</v>
      </c>
      <c r="O32" s="596">
        <v>3023</v>
      </c>
      <c r="P32" s="597">
        <f t="shared" si="15"/>
        <v>3714</v>
      </c>
      <c r="Q32" s="594">
        <v>14199</v>
      </c>
      <c r="R32" s="595">
        <v>4700</v>
      </c>
      <c r="S32" s="596">
        <v>4661</v>
      </c>
      <c r="T32" s="596">
        <v>5433</v>
      </c>
      <c r="U32" s="597">
        <v>5773</v>
      </c>
      <c r="V32" s="594">
        <f t="shared" si="16"/>
        <v>20567</v>
      </c>
      <c r="W32" s="595">
        <v>5911</v>
      </c>
      <c r="X32" s="596">
        <v>6712</v>
      </c>
      <c r="Y32" s="596">
        <v>6411</v>
      </c>
      <c r="Z32" s="597">
        <v>6267</v>
      </c>
      <c r="AA32" s="594">
        <f>SUM(W32:Z32)</f>
        <v>25301</v>
      </c>
      <c r="AB32" s="595">
        <v>7836</v>
      </c>
      <c r="AC32" s="596">
        <f>11370</f>
        <v>11370</v>
      </c>
      <c r="AD32" s="596">
        <v>7533</v>
      </c>
      <c r="AE32" s="597">
        <v>7002</v>
      </c>
      <c r="AF32" s="594">
        <f>SUM(AB32:AE32)</f>
        <v>33741</v>
      </c>
      <c r="AG32" s="703">
        <v>8000</v>
      </c>
      <c r="AH32" s="611">
        <v>8500</v>
      </c>
      <c r="AI32" s="611">
        <v>9000</v>
      </c>
      <c r="AJ32" s="612">
        <v>9500</v>
      </c>
      <c r="AK32" s="594">
        <f>SUM(AG32:AJ32)</f>
        <v>35000</v>
      </c>
      <c r="AL32" s="594">
        <v>45000</v>
      </c>
      <c r="AM32" s="594">
        <v>55000</v>
      </c>
      <c r="AN32" s="594">
        <f>AM32*1.3</f>
        <v>71500</v>
      </c>
      <c r="AO32" s="594">
        <f>AN32*1.3</f>
        <v>92950</v>
      </c>
      <c r="AP32" s="594">
        <f>AO32*1.3</f>
        <v>120835</v>
      </c>
      <c r="AQ32" s="594">
        <f>AP32*1.3</f>
        <v>157085.5</v>
      </c>
      <c r="AR32" s="594">
        <f>AQ32*1.2</f>
        <v>188502.6</v>
      </c>
      <c r="AS32" s="594">
        <f>AR32*1.1</f>
        <v>207352.86000000002</v>
      </c>
      <c r="AT32" s="594">
        <f>AS32*1.1</f>
        <v>228088.14600000004</v>
      </c>
      <c r="AU32" s="594">
        <f>AT32*1.1</f>
        <v>250896.96060000005</v>
      </c>
      <c r="AV32" s="594">
        <f>AU32*1.1</f>
        <v>275986.6566600001</v>
      </c>
      <c r="AW32" s="594">
        <f>AV32*1.1</f>
        <v>303585.32232600014</v>
      </c>
      <c r="AX32" s="176"/>
    </row>
    <row r="33" spans="2:55" ht="15" customHeight="1">
      <c r="B33" s="538" t="s">
        <v>270</v>
      </c>
      <c r="C33" s="182"/>
      <c r="D33" s="176"/>
      <c r="E33" s="176"/>
      <c r="F33" s="176">
        <v>1500</v>
      </c>
      <c r="G33" s="594">
        <v>0</v>
      </c>
      <c r="H33" s="595">
        <v>0</v>
      </c>
      <c r="I33" s="596">
        <v>0</v>
      </c>
      <c r="J33" s="596">
        <v>0</v>
      </c>
      <c r="K33" s="597">
        <v>0</v>
      </c>
      <c r="L33" s="594">
        <v>0</v>
      </c>
      <c r="M33" s="595">
        <v>0</v>
      </c>
      <c r="N33" s="596">
        <v>0</v>
      </c>
      <c r="O33" s="596">
        <v>0</v>
      </c>
      <c r="P33" s="597">
        <v>0</v>
      </c>
      <c r="Q33" s="594">
        <v>0</v>
      </c>
      <c r="R33" s="595">
        <v>0</v>
      </c>
      <c r="S33" s="596">
        <v>0</v>
      </c>
      <c r="T33" s="596">
        <v>0</v>
      </c>
      <c r="U33" s="597">
        <v>0</v>
      </c>
      <c r="V33" s="594">
        <v>0</v>
      </c>
      <c r="W33" s="595">
        <v>0</v>
      </c>
      <c r="X33" s="596">
        <v>0</v>
      </c>
      <c r="Y33" s="596">
        <v>0</v>
      </c>
      <c r="Z33" s="597">
        <v>0</v>
      </c>
      <c r="AA33" s="594">
        <v>0</v>
      </c>
      <c r="AB33" s="595">
        <v>0</v>
      </c>
      <c r="AC33" s="596">
        <v>0</v>
      </c>
      <c r="AD33" s="596">
        <v>0</v>
      </c>
      <c r="AE33" s="597">
        <v>0</v>
      </c>
      <c r="AF33" s="594">
        <v>0</v>
      </c>
      <c r="AG33" s="595"/>
      <c r="AH33" s="596"/>
      <c r="AI33" s="596"/>
      <c r="AJ33" s="597"/>
      <c r="AK33" s="594">
        <v>0</v>
      </c>
      <c r="AL33" s="594">
        <v>0</v>
      </c>
      <c r="AM33" s="594">
        <v>0</v>
      </c>
      <c r="AN33" s="594">
        <f>AM33</f>
        <v>0</v>
      </c>
      <c r="AO33" s="594">
        <f t="shared" ref="AO33:AW33" si="21">AN33</f>
        <v>0</v>
      </c>
      <c r="AP33" s="594">
        <f t="shared" si="21"/>
        <v>0</v>
      </c>
      <c r="AQ33" s="594">
        <f t="shared" si="21"/>
        <v>0</v>
      </c>
      <c r="AR33" s="594">
        <f t="shared" si="21"/>
        <v>0</v>
      </c>
      <c r="AS33" s="594">
        <f t="shared" si="21"/>
        <v>0</v>
      </c>
      <c r="AT33" s="594">
        <f t="shared" si="21"/>
        <v>0</v>
      </c>
      <c r="AU33" s="594">
        <f t="shared" si="21"/>
        <v>0</v>
      </c>
      <c r="AV33" s="594">
        <f t="shared" si="21"/>
        <v>0</v>
      </c>
      <c r="AW33" s="594">
        <f t="shared" si="21"/>
        <v>0</v>
      </c>
      <c r="AX33" s="176"/>
    </row>
    <row r="34" spans="2:55">
      <c r="B34" s="538" t="s">
        <v>450</v>
      </c>
      <c r="C34" s="182"/>
      <c r="D34" s="176"/>
      <c r="E34" s="176"/>
      <c r="F34" s="176">
        <v>0</v>
      </c>
      <c r="G34" s="594">
        <v>0</v>
      </c>
      <c r="H34" s="595">
        <v>0</v>
      </c>
      <c r="I34" s="596">
        <v>0</v>
      </c>
      <c r="J34" s="596">
        <v>0</v>
      </c>
      <c r="K34" s="597">
        <v>0</v>
      </c>
      <c r="L34" s="594">
        <v>0</v>
      </c>
      <c r="M34" s="595">
        <v>0</v>
      </c>
      <c r="N34" s="596">
        <v>5000</v>
      </c>
      <c r="O34" s="596">
        <v>0</v>
      </c>
      <c r="P34" s="597">
        <v>0</v>
      </c>
      <c r="Q34" s="594">
        <f>SUM(M34:P34)</f>
        <v>5000</v>
      </c>
      <c r="R34" s="595">
        <v>0</v>
      </c>
      <c r="S34" s="596">
        <v>0</v>
      </c>
      <c r="T34" s="596">
        <v>0</v>
      </c>
      <c r="U34" s="597">
        <v>0</v>
      </c>
      <c r="V34" s="594">
        <v>0</v>
      </c>
      <c r="W34" s="595">
        <v>0</v>
      </c>
      <c r="X34" s="596">
        <v>0</v>
      </c>
      <c r="Y34" s="596">
        <v>0</v>
      </c>
      <c r="Z34" s="597">
        <v>0</v>
      </c>
      <c r="AA34" s="594">
        <v>0</v>
      </c>
      <c r="AB34" s="595">
        <v>0</v>
      </c>
      <c r="AC34" s="596">
        <v>0</v>
      </c>
      <c r="AD34" s="596">
        <v>0</v>
      </c>
      <c r="AE34" s="597">
        <v>0</v>
      </c>
      <c r="AF34" s="594">
        <v>0</v>
      </c>
      <c r="AG34" s="595"/>
      <c r="AH34" s="596"/>
      <c r="AI34" s="596"/>
      <c r="AJ34" s="597"/>
      <c r="AK34" s="594">
        <v>0</v>
      </c>
      <c r="AL34" s="594">
        <v>0</v>
      </c>
      <c r="AM34" s="594">
        <v>0</v>
      </c>
      <c r="AN34" s="594">
        <f>AM34</f>
        <v>0</v>
      </c>
      <c r="AO34" s="594">
        <f t="shared" ref="AO34:AW34" si="22">AN34</f>
        <v>0</v>
      </c>
      <c r="AP34" s="594">
        <f t="shared" si="22"/>
        <v>0</v>
      </c>
      <c r="AQ34" s="594">
        <f t="shared" si="22"/>
        <v>0</v>
      </c>
      <c r="AR34" s="594">
        <f t="shared" si="22"/>
        <v>0</v>
      </c>
      <c r="AS34" s="594">
        <f t="shared" si="22"/>
        <v>0</v>
      </c>
      <c r="AT34" s="594">
        <f t="shared" si="22"/>
        <v>0</v>
      </c>
      <c r="AU34" s="594">
        <f t="shared" si="22"/>
        <v>0</v>
      </c>
      <c r="AV34" s="594">
        <f t="shared" si="22"/>
        <v>0</v>
      </c>
      <c r="AW34" s="594">
        <f t="shared" si="22"/>
        <v>0</v>
      </c>
      <c r="AX34" s="176"/>
    </row>
    <row r="35" spans="2:55" ht="15" customHeight="1">
      <c r="B35" s="538" t="s">
        <v>279</v>
      </c>
      <c r="C35" s="185"/>
      <c r="D35" s="186"/>
      <c r="E35" s="186"/>
      <c r="F35" s="176">
        <f>F36+F37</f>
        <v>1427</v>
      </c>
      <c r="G35" s="594">
        <f t="shared" ref="G35:M35" si="23">G36+G37</f>
        <v>1206</v>
      </c>
      <c r="H35" s="613">
        <f t="shared" si="23"/>
        <v>428</v>
      </c>
      <c r="I35" s="614">
        <f t="shared" si="23"/>
        <v>520</v>
      </c>
      <c r="J35" s="614">
        <f t="shared" si="23"/>
        <v>493</v>
      </c>
      <c r="K35" s="615">
        <f t="shared" si="23"/>
        <v>735</v>
      </c>
      <c r="L35" s="594">
        <f t="shared" si="23"/>
        <v>2176</v>
      </c>
      <c r="M35" s="613">
        <f t="shared" si="23"/>
        <v>1018</v>
      </c>
      <c r="N35" s="614">
        <f t="shared" ref="N35:AM35" si="24">N36+N37</f>
        <v>1114</v>
      </c>
      <c r="O35" s="614">
        <f t="shared" si="24"/>
        <v>1194</v>
      </c>
      <c r="P35" s="615">
        <f t="shared" si="24"/>
        <v>1452</v>
      </c>
      <c r="Q35" s="594">
        <f t="shared" si="24"/>
        <v>4778</v>
      </c>
      <c r="R35" s="613">
        <v>2572</v>
      </c>
      <c r="S35" s="614">
        <f t="shared" si="24"/>
        <v>2660</v>
      </c>
      <c r="T35" s="614">
        <f t="shared" si="24"/>
        <v>3064</v>
      </c>
      <c r="U35" s="615">
        <f t="shared" si="24"/>
        <v>2573.4700000000003</v>
      </c>
      <c r="V35" s="594">
        <f t="shared" si="24"/>
        <v>12075</v>
      </c>
      <c r="W35" s="613">
        <f t="shared" si="24"/>
        <v>4248</v>
      </c>
      <c r="X35" s="614">
        <f t="shared" si="24"/>
        <v>2928.33</v>
      </c>
      <c r="Y35" s="614">
        <f t="shared" si="24"/>
        <v>2906.71</v>
      </c>
      <c r="Z35" s="615">
        <f t="shared" si="24"/>
        <v>2995.4800000000005</v>
      </c>
      <c r="AA35" s="594">
        <f t="shared" si="24"/>
        <v>18557</v>
      </c>
      <c r="AB35" s="613">
        <v>6583</v>
      </c>
      <c r="AC35" s="614">
        <v>9588</v>
      </c>
      <c r="AD35" s="614">
        <v>5706</v>
      </c>
      <c r="AE35" s="615">
        <f t="shared" si="24"/>
        <v>4984.6000000000004</v>
      </c>
      <c r="AF35" s="594">
        <f t="shared" si="24"/>
        <v>20781.650000000001</v>
      </c>
      <c r="AG35" s="613">
        <v>5000</v>
      </c>
      <c r="AH35" s="614">
        <v>5000</v>
      </c>
      <c r="AI35" s="614">
        <v>5000</v>
      </c>
      <c r="AJ35" s="615">
        <v>6025</v>
      </c>
      <c r="AK35" s="594">
        <f>SUM(AG35:AJ35)</f>
        <v>21025</v>
      </c>
      <c r="AL35" s="594">
        <f t="shared" si="24"/>
        <v>32200.000000000007</v>
      </c>
      <c r="AM35" s="594">
        <f t="shared" si="24"/>
        <v>29150</v>
      </c>
      <c r="AN35" s="594">
        <f t="shared" ref="AN35:AW35" si="25">AN36+AN37</f>
        <v>34045</v>
      </c>
      <c r="AO35" s="594">
        <f t="shared" si="25"/>
        <v>40216</v>
      </c>
      <c r="AP35" s="594">
        <f t="shared" si="25"/>
        <v>48036.175000000003</v>
      </c>
      <c r="AQ35" s="594">
        <f t="shared" si="25"/>
        <v>57990.171249999999</v>
      </c>
      <c r="AR35" s="594">
        <f t="shared" si="25"/>
        <v>66780.386062500009</v>
      </c>
      <c r="AS35" s="594">
        <f t="shared" si="25"/>
        <v>72475.687865625005</v>
      </c>
      <c r="AT35" s="594">
        <f t="shared" si="25"/>
        <v>78691.383008906269</v>
      </c>
      <c r="AU35" s="594">
        <f t="shared" si="25"/>
        <v>85477.053984351573</v>
      </c>
      <c r="AV35" s="594">
        <f t="shared" si="25"/>
        <v>92887.118691069176</v>
      </c>
      <c r="AW35" s="594">
        <f t="shared" si="25"/>
        <v>100981.30783387265</v>
      </c>
      <c r="AX35" s="176"/>
    </row>
    <row r="36" spans="2:55" ht="15" hidden="1" customHeight="1" outlineLevel="1">
      <c r="B36" s="539" t="s">
        <v>9</v>
      </c>
      <c r="C36" s="185"/>
      <c r="D36" s="176"/>
      <c r="E36" s="176"/>
      <c r="F36" s="176">
        <v>686</v>
      </c>
      <c r="G36" s="594">
        <v>514</v>
      </c>
      <c r="H36" s="613">
        <v>151</v>
      </c>
      <c r="I36" s="614">
        <f>460-J36-H36</f>
        <v>160</v>
      </c>
      <c r="J36" s="614">
        <v>149</v>
      </c>
      <c r="K36" s="615">
        <f>L36-J36-I36-H36</f>
        <v>179</v>
      </c>
      <c r="L36" s="594">
        <v>639</v>
      </c>
      <c r="M36" s="613">
        <v>400</v>
      </c>
      <c r="N36" s="614">
        <v>453</v>
      </c>
      <c r="O36" s="614">
        <v>486</v>
      </c>
      <c r="P36" s="615">
        <f>Q36-M36-N36-O36</f>
        <v>726</v>
      </c>
      <c r="Q36" s="616">
        <v>2065</v>
      </c>
      <c r="R36" s="613">
        <v>1083</v>
      </c>
      <c r="S36" s="614">
        <v>1019</v>
      </c>
      <c r="T36" s="614">
        <v>1201</v>
      </c>
      <c r="U36" s="615">
        <f>U25*U65</f>
        <v>1130.22</v>
      </c>
      <c r="V36" s="616">
        <v>4852</v>
      </c>
      <c r="W36" s="613">
        <v>1824</v>
      </c>
      <c r="X36" s="614">
        <f>X25*X65</f>
        <v>1048.97</v>
      </c>
      <c r="Y36" s="614">
        <f>Y25*Y65</f>
        <v>1111.6300000000001</v>
      </c>
      <c r="Z36" s="615">
        <f>Z25*Z65</f>
        <v>1240.72</v>
      </c>
      <c r="AA36" s="616">
        <v>8171</v>
      </c>
      <c r="AB36" s="613">
        <v>3662</v>
      </c>
      <c r="AC36" s="614">
        <v>3433</v>
      </c>
      <c r="AD36" s="614">
        <v>3173</v>
      </c>
      <c r="AE36" s="615">
        <f t="shared" ref="AE36:AM36" si="26">AE25*AE65</f>
        <v>2533.9</v>
      </c>
      <c r="AF36" s="616">
        <f t="shared" si="26"/>
        <v>8972.3000000000011</v>
      </c>
      <c r="AG36" s="613"/>
      <c r="AH36" s="614"/>
      <c r="AI36" s="614"/>
      <c r="AJ36" s="615"/>
      <c r="AK36" s="616">
        <f t="shared" si="26"/>
        <v>12250</v>
      </c>
      <c r="AL36" s="616">
        <f t="shared" si="26"/>
        <v>19600.000000000004</v>
      </c>
      <c r="AM36" s="616">
        <f t="shared" si="26"/>
        <v>15400</v>
      </c>
      <c r="AN36" s="616">
        <f t="shared" ref="AN36:AW36" si="27">AN25*AN65</f>
        <v>16170</v>
      </c>
      <c r="AO36" s="616">
        <f t="shared" si="27"/>
        <v>16978.5</v>
      </c>
      <c r="AP36" s="616">
        <f t="shared" si="27"/>
        <v>17827.424999999999</v>
      </c>
      <c r="AQ36" s="616">
        <f t="shared" si="27"/>
        <v>18718.796249999999</v>
      </c>
      <c r="AR36" s="616">
        <f t="shared" si="27"/>
        <v>19654.7360625</v>
      </c>
      <c r="AS36" s="616">
        <f t="shared" si="27"/>
        <v>20637.472865625004</v>
      </c>
      <c r="AT36" s="616">
        <f t="shared" si="27"/>
        <v>21669.346508906252</v>
      </c>
      <c r="AU36" s="616">
        <f t="shared" si="27"/>
        <v>22752.813834351567</v>
      </c>
      <c r="AV36" s="616">
        <f t="shared" si="27"/>
        <v>23890.454526069148</v>
      </c>
      <c r="AW36" s="616">
        <f t="shared" si="27"/>
        <v>25084.977252372606</v>
      </c>
      <c r="AX36" s="186"/>
    </row>
    <row r="37" spans="2:55" ht="15" hidden="1" customHeight="1" outlineLevel="1">
      <c r="B37" s="539" t="s">
        <v>10</v>
      </c>
      <c r="C37" s="185"/>
      <c r="D37" s="176"/>
      <c r="E37" s="176"/>
      <c r="F37" s="176">
        <v>741</v>
      </c>
      <c r="G37" s="594">
        <v>692</v>
      </c>
      <c r="H37" s="613">
        <v>277</v>
      </c>
      <c r="I37" s="614">
        <f>981-J37-H37</f>
        <v>360</v>
      </c>
      <c r="J37" s="614">
        <v>344</v>
      </c>
      <c r="K37" s="615">
        <f>L37-J37-I37-H37</f>
        <v>556</v>
      </c>
      <c r="L37" s="594">
        <v>1537</v>
      </c>
      <c r="M37" s="613">
        <v>618</v>
      </c>
      <c r="N37" s="614">
        <v>661</v>
      </c>
      <c r="O37" s="614">
        <v>708</v>
      </c>
      <c r="P37" s="615">
        <f>Q37-M37-N37-O37</f>
        <v>726</v>
      </c>
      <c r="Q37" s="616">
        <v>2713</v>
      </c>
      <c r="R37" s="613">
        <v>1489</v>
      </c>
      <c r="S37" s="614">
        <v>1641</v>
      </c>
      <c r="T37" s="614">
        <v>1863</v>
      </c>
      <c r="U37" s="615">
        <f>U32*U66</f>
        <v>1443.25</v>
      </c>
      <c r="V37" s="616">
        <v>7223</v>
      </c>
      <c r="W37" s="613">
        <v>2424</v>
      </c>
      <c r="X37" s="614">
        <f>X32*X66</f>
        <v>1879.3600000000001</v>
      </c>
      <c r="Y37" s="614">
        <f>Y32*Y66</f>
        <v>1795.0800000000002</v>
      </c>
      <c r="Z37" s="615">
        <f>Z32*Z66</f>
        <v>1754.7600000000002</v>
      </c>
      <c r="AA37" s="616">
        <v>10386</v>
      </c>
      <c r="AB37" s="613">
        <v>2921</v>
      </c>
      <c r="AC37" s="614">
        <v>6155</v>
      </c>
      <c r="AD37" s="614">
        <v>2533</v>
      </c>
      <c r="AE37" s="615">
        <f t="shared" ref="AE37:AM37" si="28">AE32*AE66</f>
        <v>2450.6999999999998</v>
      </c>
      <c r="AF37" s="616">
        <f t="shared" si="28"/>
        <v>11809.349999999999</v>
      </c>
      <c r="AG37" s="613"/>
      <c r="AH37" s="614"/>
      <c r="AI37" s="614"/>
      <c r="AJ37" s="615"/>
      <c r="AK37" s="616">
        <f t="shared" si="28"/>
        <v>10500</v>
      </c>
      <c r="AL37" s="616">
        <f t="shared" si="28"/>
        <v>12600.000000000002</v>
      </c>
      <c r="AM37" s="616">
        <f t="shared" si="28"/>
        <v>13750</v>
      </c>
      <c r="AN37" s="616">
        <f t="shared" ref="AN37:AW37" si="29">AN32*AN66</f>
        <v>17875</v>
      </c>
      <c r="AO37" s="616">
        <f t="shared" si="29"/>
        <v>23237.5</v>
      </c>
      <c r="AP37" s="616">
        <f t="shared" si="29"/>
        <v>30208.75</v>
      </c>
      <c r="AQ37" s="616">
        <f t="shared" si="29"/>
        <v>39271.375</v>
      </c>
      <c r="AR37" s="616">
        <f t="shared" si="29"/>
        <v>47125.65</v>
      </c>
      <c r="AS37" s="616">
        <f t="shared" si="29"/>
        <v>51838.215000000004</v>
      </c>
      <c r="AT37" s="616">
        <f t="shared" si="29"/>
        <v>57022.036500000009</v>
      </c>
      <c r="AU37" s="616">
        <f t="shared" si="29"/>
        <v>62724.240150000012</v>
      </c>
      <c r="AV37" s="616">
        <f t="shared" si="29"/>
        <v>68996.664165000024</v>
      </c>
      <c r="AW37" s="616">
        <f t="shared" si="29"/>
        <v>75896.330581500035</v>
      </c>
      <c r="AX37" s="186"/>
    </row>
    <row r="38" spans="2:55" ht="16.5" collapsed="1">
      <c r="B38" s="533" t="s">
        <v>232</v>
      </c>
      <c r="C38" s="175"/>
      <c r="D38" s="187"/>
      <c r="E38" s="187"/>
      <c r="F38" s="187">
        <f t="shared" ref="F38:AM38" si="30">F25+F32+F33+F34</f>
        <v>42355</v>
      </c>
      <c r="G38" s="617">
        <f t="shared" si="30"/>
        <v>44143</v>
      </c>
      <c r="H38" s="618">
        <f t="shared" si="30"/>
        <v>11876</v>
      </c>
      <c r="I38" s="619">
        <f t="shared" si="30"/>
        <v>12276</v>
      </c>
      <c r="J38" s="619">
        <f t="shared" si="30"/>
        <v>11154</v>
      </c>
      <c r="K38" s="620">
        <f t="shared" si="30"/>
        <v>14972</v>
      </c>
      <c r="L38" s="617">
        <f t="shared" si="30"/>
        <v>50278</v>
      </c>
      <c r="M38" s="618">
        <f t="shared" si="30"/>
        <v>15515</v>
      </c>
      <c r="N38" s="619">
        <f t="shared" si="30"/>
        <v>21389</v>
      </c>
      <c r="O38" s="619">
        <f t="shared" si="30"/>
        <v>14899</v>
      </c>
      <c r="P38" s="620">
        <f t="shared" si="30"/>
        <v>18293</v>
      </c>
      <c r="Q38" s="617">
        <f t="shared" si="30"/>
        <v>70096</v>
      </c>
      <c r="R38" s="618">
        <f t="shared" si="30"/>
        <v>19479</v>
      </c>
      <c r="S38" s="619">
        <f t="shared" si="30"/>
        <v>18811</v>
      </c>
      <c r="T38" s="619">
        <f t="shared" si="30"/>
        <v>18768</v>
      </c>
      <c r="U38" s="620">
        <f t="shared" si="30"/>
        <v>21919</v>
      </c>
      <c r="V38" s="617">
        <f t="shared" si="30"/>
        <v>78977</v>
      </c>
      <c r="W38" s="618">
        <f t="shared" si="30"/>
        <v>22157</v>
      </c>
      <c r="X38" s="619">
        <f t="shared" si="30"/>
        <v>22850</v>
      </c>
      <c r="Y38" s="619">
        <f t="shared" si="30"/>
        <v>23513</v>
      </c>
      <c r="Z38" s="620">
        <f t="shared" si="30"/>
        <v>25355</v>
      </c>
      <c r="AA38" s="617">
        <f t="shared" si="30"/>
        <v>93875</v>
      </c>
      <c r="AB38" s="618">
        <f t="shared" si="30"/>
        <v>29563</v>
      </c>
      <c r="AC38" s="619">
        <f t="shared" si="30"/>
        <v>32968</v>
      </c>
      <c r="AD38" s="619">
        <f t="shared" si="30"/>
        <v>28592</v>
      </c>
      <c r="AE38" s="620">
        <f t="shared" si="30"/>
        <v>32341</v>
      </c>
      <c r="AF38" s="617">
        <f t="shared" si="30"/>
        <v>123464</v>
      </c>
      <c r="AG38" s="618">
        <f t="shared" si="30"/>
        <v>34500</v>
      </c>
      <c r="AH38" s="619">
        <f t="shared" si="30"/>
        <v>37500</v>
      </c>
      <c r="AI38" s="619">
        <f t="shared" si="30"/>
        <v>41000</v>
      </c>
      <c r="AJ38" s="620">
        <f t="shared" si="30"/>
        <v>44500</v>
      </c>
      <c r="AK38" s="617">
        <f t="shared" si="30"/>
        <v>157500</v>
      </c>
      <c r="AL38" s="617">
        <f t="shared" si="30"/>
        <v>185000</v>
      </c>
      <c r="AM38" s="617">
        <f t="shared" si="30"/>
        <v>209000</v>
      </c>
      <c r="AN38" s="617">
        <f t="shared" ref="AN38:AW38" si="31">AN25+AN32+AN33+AN34</f>
        <v>233200</v>
      </c>
      <c r="AO38" s="617">
        <f t="shared" si="31"/>
        <v>262735</v>
      </c>
      <c r="AP38" s="617">
        <f t="shared" si="31"/>
        <v>299109.25</v>
      </c>
      <c r="AQ38" s="617">
        <f t="shared" si="31"/>
        <v>344273.46250000002</v>
      </c>
      <c r="AR38" s="617">
        <f t="shared" si="31"/>
        <v>385049.96062500001</v>
      </c>
      <c r="AS38" s="617">
        <f t="shared" si="31"/>
        <v>413727.58865625004</v>
      </c>
      <c r="AT38" s="617">
        <f t="shared" si="31"/>
        <v>444781.61108906253</v>
      </c>
      <c r="AU38" s="617">
        <f t="shared" si="31"/>
        <v>478425.09894351568</v>
      </c>
      <c r="AV38" s="617">
        <f t="shared" si="31"/>
        <v>514891.20192069153</v>
      </c>
      <c r="AW38" s="617">
        <f t="shared" si="31"/>
        <v>554435.09484972619</v>
      </c>
      <c r="AX38" s="187"/>
    </row>
    <row r="39" spans="2:55">
      <c r="B39" s="530" t="s">
        <v>362</v>
      </c>
      <c r="C39" s="183"/>
      <c r="D39" s="176"/>
      <c r="E39" s="176"/>
      <c r="F39" s="176">
        <f t="shared" ref="F39:AM39" si="32">F23-F38</f>
        <v>38556</v>
      </c>
      <c r="G39" s="621">
        <f t="shared" si="32"/>
        <v>-28889</v>
      </c>
      <c r="H39" s="622">
        <f t="shared" si="32"/>
        <v>3136</v>
      </c>
      <c r="I39" s="623">
        <f t="shared" si="32"/>
        <v>14152</v>
      </c>
      <c r="J39" s="623">
        <f t="shared" si="32"/>
        <v>-6884</v>
      </c>
      <c r="K39" s="624">
        <f t="shared" si="32"/>
        <v>-3452</v>
      </c>
      <c r="L39" s="621">
        <f t="shared" si="32"/>
        <v>6952</v>
      </c>
      <c r="M39" s="622">
        <f t="shared" si="32"/>
        <v>-12208</v>
      </c>
      <c r="N39" s="623">
        <f t="shared" si="32"/>
        <v>-17311</v>
      </c>
      <c r="O39" s="623">
        <f t="shared" si="32"/>
        <v>-11391</v>
      </c>
      <c r="P39" s="624">
        <f t="shared" si="32"/>
        <v>-14554</v>
      </c>
      <c r="Q39" s="621">
        <f t="shared" si="32"/>
        <v>-55464</v>
      </c>
      <c r="R39" s="622">
        <f t="shared" si="32"/>
        <v>-15059</v>
      </c>
      <c r="S39" s="623">
        <f t="shared" si="32"/>
        <v>-13094</v>
      </c>
      <c r="T39" s="623">
        <f t="shared" si="32"/>
        <v>-14613</v>
      </c>
      <c r="U39" s="624">
        <f t="shared" si="32"/>
        <v>-18115</v>
      </c>
      <c r="V39" s="621">
        <f t="shared" si="32"/>
        <v>-60881</v>
      </c>
      <c r="W39" s="622">
        <f t="shared" si="32"/>
        <v>-3956</v>
      </c>
      <c r="X39" s="623">
        <f t="shared" si="32"/>
        <v>-19655</v>
      </c>
      <c r="Y39" s="623">
        <f t="shared" si="32"/>
        <v>-20508</v>
      </c>
      <c r="Z39" s="624">
        <f t="shared" si="32"/>
        <v>-21986</v>
      </c>
      <c r="AA39" s="621">
        <f t="shared" si="32"/>
        <v>-66104</v>
      </c>
      <c r="AB39" s="622">
        <f t="shared" si="32"/>
        <v>-25858</v>
      </c>
      <c r="AC39" s="623">
        <f t="shared" si="32"/>
        <v>-29911</v>
      </c>
      <c r="AD39" s="623">
        <f t="shared" si="32"/>
        <v>-25578</v>
      </c>
      <c r="AE39" s="624">
        <f t="shared" si="32"/>
        <v>-28636</v>
      </c>
      <c r="AF39" s="621">
        <f t="shared" si="32"/>
        <v>-109983</v>
      </c>
      <c r="AG39" s="622">
        <f t="shared" si="32"/>
        <v>-30800</v>
      </c>
      <c r="AH39" s="623">
        <f t="shared" si="32"/>
        <v>-34300</v>
      </c>
      <c r="AI39" s="623">
        <f t="shared" si="32"/>
        <v>-38000</v>
      </c>
      <c r="AJ39" s="624">
        <f t="shared" si="32"/>
        <v>-40750</v>
      </c>
      <c r="AK39" s="621">
        <f t="shared" si="32"/>
        <v>-143850</v>
      </c>
      <c r="AL39" s="621">
        <f t="shared" si="32"/>
        <v>-15080.083640000666</v>
      </c>
      <c r="AM39" s="621">
        <f t="shared" si="32"/>
        <v>-76354.082830654399</v>
      </c>
      <c r="AN39" s="621">
        <f t="shared" ref="AN39:AW39" si="33">AN23-AN38</f>
        <v>-61488.056525690568</v>
      </c>
      <c r="AO39" s="621">
        <f t="shared" si="33"/>
        <v>165.77741440170212</v>
      </c>
      <c r="AP39" s="621">
        <f t="shared" si="33"/>
        <v>11361.774198585656</v>
      </c>
      <c r="AQ39" s="621">
        <f t="shared" si="33"/>
        <v>30851.999977692089</v>
      </c>
      <c r="AR39" s="621">
        <f t="shared" si="33"/>
        <v>7378.6559123751358</v>
      </c>
      <c r="AS39" s="621">
        <f t="shared" si="33"/>
        <v>20505.893248364737</v>
      </c>
      <c r="AT39" s="621">
        <f t="shared" si="33"/>
        <v>-8592.1865466695162</v>
      </c>
      <c r="AU39" s="621">
        <f t="shared" si="33"/>
        <v>-27925.888059214165</v>
      </c>
      <c r="AV39" s="621">
        <f t="shared" si="33"/>
        <v>-38571.09384346311</v>
      </c>
      <c r="AW39" s="621">
        <f t="shared" si="33"/>
        <v>-59935.202894084854</v>
      </c>
      <c r="AX39" s="188"/>
    </row>
    <row r="40" spans="2:55">
      <c r="B40" s="540" t="s">
        <v>266</v>
      </c>
      <c r="C40" s="183"/>
      <c r="D40" s="176"/>
      <c r="E40" s="176"/>
      <c r="F40" s="176">
        <v>-485</v>
      </c>
      <c r="G40" s="594">
        <v>-2255</v>
      </c>
      <c r="H40" s="595">
        <v>-1066</v>
      </c>
      <c r="I40" s="596">
        <f>-12571-J40-H40</f>
        <v>-356</v>
      </c>
      <c r="J40" s="596">
        <v>-11149</v>
      </c>
      <c r="K40" s="597">
        <f>L40-J40-I40-H40</f>
        <v>-14226</v>
      </c>
      <c r="L40" s="594">
        <v>-26797</v>
      </c>
      <c r="M40" s="595">
        <v>3997</v>
      </c>
      <c r="N40" s="596">
        <v>740</v>
      </c>
      <c r="O40" s="596">
        <v>3394</v>
      </c>
      <c r="P40" s="597">
        <f>Q40-M40-N40-O40</f>
        <v>-3087</v>
      </c>
      <c r="Q40" s="594">
        <v>5044</v>
      </c>
      <c r="R40" s="595">
        <v>422</v>
      </c>
      <c r="S40" s="596">
        <v>2557</v>
      </c>
      <c r="T40" s="596">
        <v>2616</v>
      </c>
      <c r="U40" s="597">
        <v>-8967</v>
      </c>
      <c r="V40" s="594">
        <f>SUM(R40:U40)</f>
        <v>-3372</v>
      </c>
      <c r="W40" s="595">
        <v>8683</v>
      </c>
      <c r="X40" s="596">
        <v>-2864</v>
      </c>
      <c r="Y40" s="596">
        <v>-282</v>
      </c>
      <c r="Z40" s="597">
        <v>2742</v>
      </c>
      <c r="AA40" s="594">
        <f>SUM(W40:Z40)</f>
        <v>8279</v>
      </c>
      <c r="AB40" s="595">
        <v>-45</v>
      </c>
      <c r="AC40" s="596">
        <v>-228</v>
      </c>
      <c r="AD40" s="596">
        <v>-410</v>
      </c>
      <c r="AE40" s="597">
        <v>770</v>
      </c>
      <c r="AF40" s="594">
        <f>SUM(AB40:AE40)</f>
        <v>87</v>
      </c>
      <c r="AG40" s="703">
        <v>-200</v>
      </c>
      <c r="AH40" s="611">
        <v>-200</v>
      </c>
      <c r="AI40" s="611">
        <v>-200</v>
      </c>
      <c r="AJ40" s="612">
        <v>-200</v>
      </c>
      <c r="AK40" s="594">
        <f>SUM(AG40:AJ40)</f>
        <v>-800</v>
      </c>
      <c r="AL40" s="621">
        <v>0</v>
      </c>
      <c r="AM40" s="621">
        <v>0</v>
      </c>
      <c r="AN40" s="621">
        <f t="shared" ref="AN40:AO42" si="34">AM40</f>
        <v>0</v>
      </c>
      <c r="AO40" s="621">
        <f t="shared" si="34"/>
        <v>0</v>
      </c>
      <c r="AP40" s="621">
        <f t="shared" ref="AP40:AW40" si="35">AO40</f>
        <v>0</v>
      </c>
      <c r="AQ40" s="621">
        <f t="shared" si="35"/>
        <v>0</v>
      </c>
      <c r="AR40" s="621">
        <f t="shared" si="35"/>
        <v>0</v>
      </c>
      <c r="AS40" s="621">
        <f t="shared" si="35"/>
        <v>0</v>
      </c>
      <c r="AT40" s="621">
        <f t="shared" si="35"/>
        <v>0</v>
      </c>
      <c r="AU40" s="621">
        <f t="shared" si="35"/>
        <v>0</v>
      </c>
      <c r="AV40" s="621">
        <f t="shared" si="35"/>
        <v>0</v>
      </c>
      <c r="AW40" s="621">
        <f t="shared" si="35"/>
        <v>0</v>
      </c>
      <c r="AX40" s="188"/>
    </row>
    <row r="41" spans="2:55">
      <c r="B41" s="540" t="s">
        <v>267</v>
      </c>
      <c r="C41" s="189"/>
      <c r="D41" s="176"/>
      <c r="E41" s="176"/>
      <c r="F41" s="176">
        <v>17</v>
      </c>
      <c r="G41" s="594">
        <v>91</v>
      </c>
      <c r="H41" s="595">
        <v>12</v>
      </c>
      <c r="I41" s="596">
        <f>25-J41-H41</f>
        <v>8</v>
      </c>
      <c r="J41" s="596">
        <v>5</v>
      </c>
      <c r="K41" s="597">
        <f>L41-J41-I41-H41</f>
        <v>14</v>
      </c>
      <c r="L41" s="594">
        <v>39</v>
      </c>
      <c r="M41" s="595">
        <v>13</v>
      </c>
      <c r="N41" s="596">
        <v>21</v>
      </c>
      <c r="O41" s="596">
        <v>25</v>
      </c>
      <c r="P41" s="597">
        <f>Q41-M41-N41-O41</f>
        <v>24</v>
      </c>
      <c r="Q41" s="594">
        <v>83</v>
      </c>
      <c r="R41" s="595">
        <v>63</v>
      </c>
      <c r="S41" s="596">
        <v>154</v>
      </c>
      <c r="T41" s="596">
        <v>139</v>
      </c>
      <c r="U41" s="612"/>
      <c r="V41" s="594">
        <f>SUM(R41:U41)</f>
        <v>356</v>
      </c>
      <c r="W41" s="595">
        <v>334</v>
      </c>
      <c r="X41" s="596">
        <v>503</v>
      </c>
      <c r="Y41" s="596">
        <v>0</v>
      </c>
      <c r="Z41" s="612">
        <v>0</v>
      </c>
      <c r="AA41" s="594">
        <f>SUM(W41:Z41)</f>
        <v>837</v>
      </c>
      <c r="AB41" s="595">
        <v>502</v>
      </c>
      <c r="AC41" s="596">
        <v>476</v>
      </c>
      <c r="AD41" s="596">
        <v>496</v>
      </c>
      <c r="AE41" s="612">
        <v>0</v>
      </c>
      <c r="AF41" s="594">
        <f>SUM(AB41:AE41)</f>
        <v>1474</v>
      </c>
      <c r="AG41" s="703">
        <v>500</v>
      </c>
      <c r="AH41" s="611">
        <v>500</v>
      </c>
      <c r="AI41" s="611">
        <v>500</v>
      </c>
      <c r="AJ41" s="612">
        <v>500</v>
      </c>
      <c r="AK41" s="594">
        <f>SUM(AG41:AJ41)</f>
        <v>2000</v>
      </c>
      <c r="AL41" s="594">
        <v>1500</v>
      </c>
      <c r="AM41" s="594">
        <f>AL41</f>
        <v>1500</v>
      </c>
      <c r="AN41" s="594">
        <f t="shared" si="34"/>
        <v>1500</v>
      </c>
      <c r="AO41" s="594">
        <f t="shared" si="34"/>
        <v>1500</v>
      </c>
      <c r="AP41" s="594">
        <f t="shared" ref="AP41:AW41" si="36">AO41</f>
        <v>1500</v>
      </c>
      <c r="AQ41" s="594">
        <f t="shared" si="36"/>
        <v>1500</v>
      </c>
      <c r="AR41" s="594">
        <f t="shared" si="36"/>
        <v>1500</v>
      </c>
      <c r="AS41" s="594">
        <f t="shared" si="36"/>
        <v>1500</v>
      </c>
      <c r="AT41" s="594">
        <f t="shared" si="36"/>
        <v>1500</v>
      </c>
      <c r="AU41" s="594">
        <f t="shared" si="36"/>
        <v>1500</v>
      </c>
      <c r="AV41" s="594">
        <f t="shared" si="36"/>
        <v>1500</v>
      </c>
      <c r="AW41" s="594">
        <f t="shared" si="36"/>
        <v>1500</v>
      </c>
      <c r="AX41" s="176"/>
    </row>
    <row r="42" spans="2:55">
      <c r="B42" s="540" t="s">
        <v>268</v>
      </c>
      <c r="C42" s="189"/>
      <c r="D42" s="176"/>
      <c r="E42" s="176"/>
      <c r="F42" s="176">
        <v>-1822</v>
      </c>
      <c r="G42" s="594">
        <v>-1529</v>
      </c>
      <c r="H42" s="595">
        <v>-435</v>
      </c>
      <c r="I42" s="596">
        <f>-1646-J42-H42</f>
        <v>-726</v>
      </c>
      <c r="J42" s="596">
        <v>-485</v>
      </c>
      <c r="K42" s="597">
        <f>L42-J42-I42-H42</f>
        <v>-446</v>
      </c>
      <c r="L42" s="594">
        <v>-2092</v>
      </c>
      <c r="M42" s="595">
        <v>-922</v>
      </c>
      <c r="N42" s="596">
        <v>0</v>
      </c>
      <c r="O42" s="596">
        <v>0</v>
      </c>
      <c r="P42" s="597">
        <f>Q42-M42-N42-O42</f>
        <v>0</v>
      </c>
      <c r="Q42" s="594">
        <v>-922</v>
      </c>
      <c r="R42" s="595">
        <v>0</v>
      </c>
      <c r="S42" s="596">
        <v>0</v>
      </c>
      <c r="T42" s="596">
        <v>0</v>
      </c>
      <c r="U42" s="597">
        <v>0</v>
      </c>
      <c r="V42" s="594">
        <v>0</v>
      </c>
      <c r="W42" s="595">
        <v>0</v>
      </c>
      <c r="X42" s="596">
        <v>0</v>
      </c>
      <c r="Y42" s="596">
        <v>0</v>
      </c>
      <c r="Z42" s="597">
        <v>0</v>
      </c>
      <c r="AA42" s="594">
        <v>0</v>
      </c>
      <c r="AB42" s="595">
        <v>0</v>
      </c>
      <c r="AC42" s="596">
        <v>0</v>
      </c>
      <c r="AD42" s="596">
        <v>0</v>
      </c>
      <c r="AE42" s="597">
        <v>0</v>
      </c>
      <c r="AF42" s="594">
        <v>0</v>
      </c>
      <c r="AG42" s="595"/>
      <c r="AH42" s="596"/>
      <c r="AI42" s="596"/>
      <c r="AJ42" s="597"/>
      <c r="AK42" s="594">
        <v>0</v>
      </c>
      <c r="AL42" s="594">
        <v>0</v>
      </c>
      <c r="AM42" s="594">
        <v>0</v>
      </c>
      <c r="AN42" s="594">
        <f t="shared" si="34"/>
        <v>0</v>
      </c>
      <c r="AO42" s="594">
        <f t="shared" si="34"/>
        <v>0</v>
      </c>
      <c r="AP42" s="594">
        <f t="shared" ref="AP42:AW42" si="37">AO42</f>
        <v>0</v>
      </c>
      <c r="AQ42" s="594">
        <f t="shared" si="37"/>
        <v>0</v>
      </c>
      <c r="AR42" s="594">
        <f t="shared" si="37"/>
        <v>0</v>
      </c>
      <c r="AS42" s="594">
        <f t="shared" si="37"/>
        <v>0</v>
      </c>
      <c r="AT42" s="594">
        <f t="shared" si="37"/>
        <v>0</v>
      </c>
      <c r="AU42" s="594">
        <f t="shared" si="37"/>
        <v>0</v>
      </c>
      <c r="AV42" s="594">
        <f t="shared" si="37"/>
        <v>0</v>
      </c>
      <c r="AW42" s="594">
        <f t="shared" si="37"/>
        <v>0</v>
      </c>
      <c r="AX42" s="176"/>
    </row>
    <row r="43" spans="2:55" ht="16.5">
      <c r="B43" s="530" t="s">
        <v>233</v>
      </c>
      <c r="C43" s="183"/>
      <c r="D43" s="187"/>
      <c r="E43" s="187"/>
      <c r="F43" s="187">
        <f>F39+F40+F41+F42</f>
        <v>36266</v>
      </c>
      <c r="G43" s="617">
        <f t="shared" ref="G43:M43" si="38">G39+G40+G41+G42</f>
        <v>-32582</v>
      </c>
      <c r="H43" s="618">
        <f t="shared" si="38"/>
        <v>1647</v>
      </c>
      <c r="I43" s="619">
        <f t="shared" si="38"/>
        <v>13078</v>
      </c>
      <c r="J43" s="619">
        <f t="shared" si="38"/>
        <v>-18513</v>
      </c>
      <c r="K43" s="620">
        <f t="shared" si="38"/>
        <v>-18110</v>
      </c>
      <c r="L43" s="617">
        <f t="shared" si="38"/>
        <v>-21898</v>
      </c>
      <c r="M43" s="618">
        <f t="shared" si="38"/>
        <v>-9120</v>
      </c>
      <c r="N43" s="619">
        <f t="shared" ref="N43:AM43" si="39">N39+N40+N41+N42</f>
        <v>-16550</v>
      </c>
      <c r="O43" s="619">
        <f t="shared" si="39"/>
        <v>-7972</v>
      </c>
      <c r="P43" s="620">
        <f t="shared" si="39"/>
        <v>-17617</v>
      </c>
      <c r="Q43" s="617">
        <f t="shared" si="39"/>
        <v>-51259</v>
      </c>
      <c r="R43" s="618">
        <f t="shared" si="39"/>
        <v>-14574</v>
      </c>
      <c r="S43" s="619">
        <f t="shared" si="39"/>
        <v>-10383</v>
      </c>
      <c r="T43" s="619">
        <f t="shared" si="39"/>
        <v>-11858</v>
      </c>
      <c r="U43" s="620">
        <f t="shared" si="39"/>
        <v>-27082</v>
      </c>
      <c r="V43" s="617">
        <f t="shared" si="39"/>
        <v>-63897</v>
      </c>
      <c r="W43" s="618">
        <f t="shared" si="39"/>
        <v>5061</v>
      </c>
      <c r="X43" s="619">
        <f t="shared" si="39"/>
        <v>-22016</v>
      </c>
      <c r="Y43" s="619">
        <f t="shared" si="39"/>
        <v>-20790</v>
      </c>
      <c r="Z43" s="620">
        <f t="shared" si="39"/>
        <v>-19244</v>
      </c>
      <c r="AA43" s="617">
        <f t="shared" si="39"/>
        <v>-56988</v>
      </c>
      <c r="AB43" s="618">
        <f t="shared" si="39"/>
        <v>-25401</v>
      </c>
      <c r="AC43" s="619">
        <f t="shared" si="39"/>
        <v>-29663</v>
      </c>
      <c r="AD43" s="619">
        <f t="shared" si="39"/>
        <v>-25492</v>
      </c>
      <c r="AE43" s="620">
        <f t="shared" si="39"/>
        <v>-27866</v>
      </c>
      <c r="AF43" s="617">
        <f t="shared" si="39"/>
        <v>-108422</v>
      </c>
      <c r="AG43" s="618">
        <f t="shared" si="39"/>
        <v>-30500</v>
      </c>
      <c r="AH43" s="619">
        <f t="shared" si="39"/>
        <v>-34000</v>
      </c>
      <c r="AI43" s="619">
        <f t="shared" si="39"/>
        <v>-37700</v>
      </c>
      <c r="AJ43" s="620">
        <f t="shared" si="39"/>
        <v>-40450</v>
      </c>
      <c r="AK43" s="617">
        <f t="shared" si="39"/>
        <v>-142650</v>
      </c>
      <c r="AL43" s="617">
        <f t="shared" si="39"/>
        <v>-13580.083640000666</v>
      </c>
      <c r="AM43" s="617">
        <f t="shared" si="39"/>
        <v>-74854.082830654399</v>
      </c>
      <c r="AN43" s="617">
        <f>AN39+AN40+AN41+AN42</f>
        <v>-59988.056525690568</v>
      </c>
      <c r="AO43" s="617">
        <f>AO39+AO40+AO41+AO42</f>
        <v>1665.7774144017021</v>
      </c>
      <c r="AP43" s="617">
        <f t="shared" ref="AP43:AW43" si="40">AP39+AP40+AP41+AP42</f>
        <v>12861.774198585656</v>
      </c>
      <c r="AQ43" s="617">
        <f t="shared" si="40"/>
        <v>32351.999977692089</v>
      </c>
      <c r="AR43" s="617">
        <f t="shared" si="40"/>
        <v>8878.6559123751358</v>
      </c>
      <c r="AS43" s="617">
        <f t="shared" si="40"/>
        <v>22005.893248364737</v>
      </c>
      <c r="AT43" s="617">
        <f t="shared" si="40"/>
        <v>-7092.1865466695162</v>
      </c>
      <c r="AU43" s="617">
        <f t="shared" si="40"/>
        <v>-26425.888059214165</v>
      </c>
      <c r="AV43" s="617">
        <f t="shared" si="40"/>
        <v>-37071.09384346311</v>
      </c>
      <c r="AW43" s="617">
        <f t="shared" si="40"/>
        <v>-58435.202894084854</v>
      </c>
      <c r="AX43" s="187"/>
    </row>
    <row r="44" spans="2:55">
      <c r="B44" s="510" t="s">
        <v>234</v>
      </c>
      <c r="C44" s="182"/>
      <c r="D44" s="176">
        <v>0</v>
      </c>
      <c r="E44" s="176">
        <v>0</v>
      </c>
      <c r="F44" s="176">
        <v>0</v>
      </c>
      <c r="G44" s="594">
        <v>0</v>
      </c>
      <c r="H44" s="595">
        <v>0</v>
      </c>
      <c r="I44" s="596">
        <v>0</v>
      </c>
      <c r="J44" s="596">
        <v>0</v>
      </c>
      <c r="K44" s="597">
        <v>0</v>
      </c>
      <c r="L44" s="594">
        <v>0</v>
      </c>
      <c r="M44" s="595">
        <v>0</v>
      </c>
      <c r="N44" s="596">
        <v>0</v>
      </c>
      <c r="O44" s="596">
        <v>0</v>
      </c>
      <c r="P44" s="597">
        <v>0</v>
      </c>
      <c r="Q44" s="594">
        <v>0</v>
      </c>
      <c r="R44" s="595">
        <v>0</v>
      </c>
      <c r="S44" s="596">
        <v>0</v>
      </c>
      <c r="T44" s="596">
        <v>0</v>
      </c>
      <c r="U44" s="597">
        <v>0</v>
      </c>
      <c r="V44" s="594">
        <v>0</v>
      </c>
      <c r="W44" s="595">
        <v>0</v>
      </c>
      <c r="X44" s="596">
        <v>0</v>
      </c>
      <c r="Y44" s="596">
        <v>-20</v>
      </c>
      <c r="Z44" s="597">
        <v>44</v>
      </c>
      <c r="AA44" s="594">
        <f>SUM(W44:Z44)</f>
        <v>24</v>
      </c>
      <c r="AB44" s="595">
        <v>6</v>
      </c>
      <c r="AC44" s="596">
        <v>6</v>
      </c>
      <c r="AD44" s="596">
        <v>-41</v>
      </c>
      <c r="AE44" s="597">
        <v>60</v>
      </c>
      <c r="AF44" s="594">
        <f>SUM(AB44:AE44)</f>
        <v>31</v>
      </c>
      <c r="AG44" s="595">
        <v>0</v>
      </c>
      <c r="AH44" s="596">
        <v>0</v>
      </c>
      <c r="AI44" s="596">
        <v>0</v>
      </c>
      <c r="AJ44" s="597">
        <v>0</v>
      </c>
      <c r="AK44" s="594">
        <v>0</v>
      </c>
      <c r="AL44" s="594">
        <v>0</v>
      </c>
      <c r="AM44" s="594">
        <f t="shared" ref="AM44:AW44" si="41">AM43*AM45</f>
        <v>0</v>
      </c>
      <c r="AN44" s="594">
        <f t="shared" si="41"/>
        <v>-8998.2084788535849</v>
      </c>
      <c r="AO44" s="594">
        <f t="shared" si="41"/>
        <v>416.44435360042553</v>
      </c>
      <c r="AP44" s="594">
        <f t="shared" si="41"/>
        <v>4501.6209695049793</v>
      </c>
      <c r="AQ44" s="594">
        <f t="shared" si="41"/>
        <v>11323.199992192231</v>
      </c>
      <c r="AR44" s="594">
        <f t="shared" si="41"/>
        <v>3107.5295693312974</v>
      </c>
      <c r="AS44" s="594">
        <f t="shared" si="41"/>
        <v>7702.062636927657</v>
      </c>
      <c r="AT44" s="594">
        <f t="shared" si="41"/>
        <v>-2482.2652913343304</v>
      </c>
      <c r="AU44" s="594">
        <f t="shared" si="41"/>
        <v>-9249.060820724957</v>
      </c>
      <c r="AV44" s="594">
        <f t="shared" si="41"/>
        <v>-12974.882845212087</v>
      </c>
      <c r="AW44" s="594">
        <f t="shared" si="41"/>
        <v>-20452.321012929697</v>
      </c>
      <c r="AX44" s="176"/>
      <c r="BA44" s="176"/>
      <c r="BB44" s="176"/>
      <c r="BC44" s="176"/>
    </row>
    <row r="45" spans="2:55">
      <c r="B45" s="541" t="s">
        <v>11</v>
      </c>
      <c r="C45" s="190"/>
      <c r="D45" s="191"/>
      <c r="E45" s="191"/>
      <c r="F45" s="191">
        <v>0</v>
      </c>
      <c r="G45" s="625">
        <v>0</v>
      </c>
      <c r="H45" s="626">
        <v>0</v>
      </c>
      <c r="I45" s="627">
        <v>0</v>
      </c>
      <c r="J45" s="627">
        <v>0</v>
      </c>
      <c r="K45" s="628">
        <v>0</v>
      </c>
      <c r="L45" s="625">
        <v>0</v>
      </c>
      <c r="M45" s="626">
        <v>0</v>
      </c>
      <c r="N45" s="627">
        <v>0</v>
      </c>
      <c r="O45" s="627">
        <v>0</v>
      </c>
      <c r="P45" s="628">
        <v>0</v>
      </c>
      <c r="Q45" s="625">
        <v>0</v>
      </c>
      <c r="R45" s="626">
        <v>0</v>
      </c>
      <c r="S45" s="627">
        <v>0</v>
      </c>
      <c r="T45" s="627">
        <v>0</v>
      </c>
      <c r="U45" s="628">
        <v>0</v>
      </c>
      <c r="V45" s="625">
        <v>0</v>
      </c>
      <c r="W45" s="626">
        <v>0</v>
      </c>
      <c r="X45" s="627">
        <v>0</v>
      </c>
      <c r="Y45" s="627">
        <v>0</v>
      </c>
      <c r="Z45" s="628">
        <v>0</v>
      </c>
      <c r="AA45" s="625">
        <v>0</v>
      </c>
      <c r="AB45" s="626">
        <v>0</v>
      </c>
      <c r="AC45" s="627">
        <v>0</v>
      </c>
      <c r="AD45" s="627">
        <v>0</v>
      </c>
      <c r="AE45" s="628">
        <v>0</v>
      </c>
      <c r="AF45" s="625">
        <v>0</v>
      </c>
      <c r="AG45" s="626">
        <v>0</v>
      </c>
      <c r="AH45" s="627">
        <v>0</v>
      </c>
      <c r="AI45" s="627">
        <v>0</v>
      </c>
      <c r="AJ45" s="628">
        <v>0</v>
      </c>
      <c r="AK45" s="625">
        <v>0</v>
      </c>
      <c r="AL45" s="625">
        <v>0</v>
      </c>
      <c r="AM45" s="629">
        <v>0</v>
      </c>
      <c r="AN45" s="629">
        <v>0.15</v>
      </c>
      <c r="AO45" s="629">
        <v>0.25</v>
      </c>
      <c r="AP45" s="629">
        <v>0.35</v>
      </c>
      <c r="AQ45" s="629">
        <f t="shared" ref="AQ45:AW45" si="42">AP45</f>
        <v>0.35</v>
      </c>
      <c r="AR45" s="629">
        <f t="shared" si="42"/>
        <v>0.35</v>
      </c>
      <c r="AS45" s="629">
        <f t="shared" si="42"/>
        <v>0.35</v>
      </c>
      <c r="AT45" s="629">
        <f t="shared" si="42"/>
        <v>0.35</v>
      </c>
      <c r="AU45" s="629">
        <f t="shared" si="42"/>
        <v>0.35</v>
      </c>
      <c r="AV45" s="629">
        <f t="shared" si="42"/>
        <v>0.35</v>
      </c>
      <c r="AW45" s="629">
        <f t="shared" si="42"/>
        <v>0.35</v>
      </c>
      <c r="AX45" s="239"/>
    </row>
    <row r="46" spans="2:55">
      <c r="B46" s="530" t="s">
        <v>355</v>
      </c>
      <c r="C46" s="183"/>
      <c r="D46" s="192"/>
      <c r="E46" s="192"/>
      <c r="F46" s="192">
        <f>F43-F44</f>
        <v>36266</v>
      </c>
      <c r="G46" s="630">
        <f t="shared" ref="G46:M46" si="43">G43-G44</f>
        <v>-32582</v>
      </c>
      <c r="H46" s="631">
        <f t="shared" si="43"/>
        <v>1647</v>
      </c>
      <c r="I46" s="632">
        <f t="shared" si="43"/>
        <v>13078</v>
      </c>
      <c r="J46" s="632">
        <f t="shared" si="43"/>
        <v>-18513</v>
      </c>
      <c r="K46" s="633">
        <f t="shared" si="43"/>
        <v>-18110</v>
      </c>
      <c r="L46" s="630">
        <f t="shared" si="43"/>
        <v>-21898</v>
      </c>
      <c r="M46" s="631">
        <f t="shared" si="43"/>
        <v>-9120</v>
      </c>
      <c r="N46" s="632">
        <f t="shared" ref="N46:AL46" si="44">N43-N44</f>
        <v>-16550</v>
      </c>
      <c r="O46" s="632">
        <f t="shared" si="44"/>
        <v>-7972</v>
      </c>
      <c r="P46" s="633">
        <f t="shared" si="44"/>
        <v>-17617</v>
      </c>
      <c r="Q46" s="630">
        <f t="shared" si="44"/>
        <v>-51259</v>
      </c>
      <c r="R46" s="631">
        <f t="shared" si="44"/>
        <v>-14574</v>
      </c>
      <c r="S46" s="632">
        <f t="shared" si="44"/>
        <v>-10383</v>
      </c>
      <c r="T46" s="632">
        <f t="shared" si="44"/>
        <v>-11858</v>
      </c>
      <c r="U46" s="633">
        <f t="shared" si="44"/>
        <v>-27082</v>
      </c>
      <c r="V46" s="630">
        <f t="shared" si="44"/>
        <v>-63897</v>
      </c>
      <c r="W46" s="631">
        <f t="shared" si="44"/>
        <v>5061</v>
      </c>
      <c r="X46" s="632">
        <f t="shared" si="44"/>
        <v>-22016</v>
      </c>
      <c r="Y46" s="632">
        <f t="shared" si="44"/>
        <v>-20770</v>
      </c>
      <c r="Z46" s="633">
        <f t="shared" si="44"/>
        <v>-19288</v>
      </c>
      <c r="AA46" s="630">
        <f t="shared" si="44"/>
        <v>-57012</v>
      </c>
      <c r="AB46" s="631">
        <f t="shared" si="44"/>
        <v>-25407</v>
      </c>
      <c r="AC46" s="632">
        <f t="shared" si="44"/>
        <v>-29669</v>
      </c>
      <c r="AD46" s="632">
        <f t="shared" si="44"/>
        <v>-25451</v>
      </c>
      <c r="AE46" s="633">
        <f t="shared" si="44"/>
        <v>-27926</v>
      </c>
      <c r="AF46" s="630">
        <f t="shared" si="44"/>
        <v>-108453</v>
      </c>
      <c r="AG46" s="631">
        <f t="shared" si="44"/>
        <v>-30500</v>
      </c>
      <c r="AH46" s="632">
        <f t="shared" si="44"/>
        <v>-34000</v>
      </c>
      <c r="AI46" s="632">
        <f t="shared" si="44"/>
        <v>-37700</v>
      </c>
      <c r="AJ46" s="633">
        <f t="shared" si="44"/>
        <v>-40450</v>
      </c>
      <c r="AK46" s="630">
        <f t="shared" si="44"/>
        <v>-142650</v>
      </c>
      <c r="AL46" s="630">
        <f t="shared" si="44"/>
        <v>-13580.083640000666</v>
      </c>
      <c r="AM46" s="630">
        <f>AM43-AM44</f>
        <v>-74854.082830654399</v>
      </c>
      <c r="AN46" s="630">
        <f>AN43-AN44</f>
        <v>-50989.848046836982</v>
      </c>
      <c r="AO46" s="630">
        <f>AO43-AO44</f>
        <v>1249.3330608012766</v>
      </c>
      <c r="AP46" s="630">
        <f t="shared" ref="AP46:AW46" si="45">AP43-AP44</f>
        <v>8360.1532290806754</v>
      </c>
      <c r="AQ46" s="630">
        <f t="shared" si="45"/>
        <v>21028.799985499856</v>
      </c>
      <c r="AR46" s="630">
        <f t="shared" si="45"/>
        <v>5771.1263430438385</v>
      </c>
      <c r="AS46" s="630">
        <f t="shared" si="45"/>
        <v>14303.830611437079</v>
      </c>
      <c r="AT46" s="630">
        <f t="shared" si="45"/>
        <v>-4609.9212553351863</v>
      </c>
      <c r="AU46" s="630">
        <f t="shared" si="45"/>
        <v>-17176.827238489208</v>
      </c>
      <c r="AV46" s="630">
        <f t="shared" si="45"/>
        <v>-24096.210998251023</v>
      </c>
      <c r="AW46" s="630">
        <f t="shared" si="45"/>
        <v>-37982.881881155161</v>
      </c>
      <c r="AX46" s="192"/>
    </row>
    <row r="47" spans="2:55">
      <c r="B47" s="510" t="s">
        <v>274</v>
      </c>
      <c r="C47" s="183"/>
      <c r="D47" s="192"/>
      <c r="E47" s="192"/>
      <c r="F47" s="176">
        <v>-21757</v>
      </c>
      <c r="G47" s="594">
        <v>-27061</v>
      </c>
      <c r="H47" s="595"/>
      <c r="I47" s="596"/>
      <c r="J47" s="596">
        <v>-6272</v>
      </c>
      <c r="K47" s="597"/>
      <c r="L47" s="594">
        <v>-19870</v>
      </c>
      <c r="M47" s="595">
        <v>0</v>
      </c>
      <c r="N47" s="596">
        <v>0</v>
      </c>
      <c r="O47" s="596">
        <v>0</v>
      </c>
      <c r="P47" s="597">
        <v>0</v>
      </c>
      <c r="Q47" s="594">
        <v>0</v>
      </c>
      <c r="R47" s="595">
        <v>0</v>
      </c>
      <c r="S47" s="596">
        <v>0</v>
      </c>
      <c r="T47" s="596">
        <v>0</v>
      </c>
      <c r="U47" s="597">
        <v>0</v>
      </c>
      <c r="V47" s="594">
        <v>0</v>
      </c>
      <c r="W47" s="595">
        <v>0</v>
      </c>
      <c r="X47" s="596">
        <v>0</v>
      </c>
      <c r="Y47" s="596">
        <v>0</v>
      </c>
      <c r="Z47" s="597">
        <v>0</v>
      </c>
      <c r="AA47" s="594">
        <v>0</v>
      </c>
      <c r="AB47" s="595">
        <v>0</v>
      </c>
      <c r="AC47" s="596">
        <v>0</v>
      </c>
      <c r="AD47" s="596">
        <v>0</v>
      </c>
      <c r="AE47" s="597">
        <v>0</v>
      </c>
      <c r="AF47" s="594">
        <v>0</v>
      </c>
      <c r="AG47" s="595">
        <v>0</v>
      </c>
      <c r="AH47" s="596">
        <v>0</v>
      </c>
      <c r="AI47" s="596">
        <v>0</v>
      </c>
      <c r="AJ47" s="597">
        <v>0</v>
      </c>
      <c r="AK47" s="594">
        <v>0</v>
      </c>
      <c r="AL47" s="594">
        <v>0</v>
      </c>
      <c r="AM47" s="594">
        <v>0</v>
      </c>
      <c r="AN47" s="594">
        <f>AM47</f>
        <v>0</v>
      </c>
      <c r="AO47" s="594">
        <f t="shared" ref="AO47:AW47" si="46">AN47</f>
        <v>0</v>
      </c>
      <c r="AP47" s="594">
        <f t="shared" si="46"/>
        <v>0</v>
      </c>
      <c r="AQ47" s="594">
        <f t="shared" si="46"/>
        <v>0</v>
      </c>
      <c r="AR47" s="594">
        <f t="shared" si="46"/>
        <v>0</v>
      </c>
      <c r="AS47" s="594">
        <f t="shared" si="46"/>
        <v>0</v>
      </c>
      <c r="AT47" s="594">
        <f t="shared" si="46"/>
        <v>0</v>
      </c>
      <c r="AU47" s="594">
        <f t="shared" si="46"/>
        <v>0</v>
      </c>
      <c r="AV47" s="594">
        <f t="shared" si="46"/>
        <v>0</v>
      </c>
      <c r="AW47" s="594">
        <f t="shared" si="46"/>
        <v>0</v>
      </c>
      <c r="AX47" s="176"/>
    </row>
    <row r="48" spans="2:55">
      <c r="B48" s="510" t="s">
        <v>275</v>
      </c>
      <c r="C48" s="183"/>
      <c r="D48" s="192"/>
      <c r="E48" s="192"/>
      <c r="F48" s="176">
        <v>0</v>
      </c>
      <c r="G48" s="594">
        <v>0</v>
      </c>
      <c r="H48" s="595"/>
      <c r="I48" s="596"/>
      <c r="J48" s="596">
        <v>0</v>
      </c>
      <c r="K48" s="597"/>
      <c r="L48" s="594">
        <v>2765</v>
      </c>
      <c r="M48" s="595">
        <v>0</v>
      </c>
      <c r="N48" s="596">
        <v>0</v>
      </c>
      <c r="O48" s="596">
        <v>0</v>
      </c>
      <c r="P48" s="597">
        <v>0</v>
      </c>
      <c r="Q48" s="594">
        <v>0</v>
      </c>
      <c r="R48" s="595">
        <v>0</v>
      </c>
      <c r="S48" s="596">
        <v>0</v>
      </c>
      <c r="T48" s="596">
        <v>0</v>
      </c>
      <c r="U48" s="597">
        <v>0</v>
      </c>
      <c r="V48" s="594">
        <v>0</v>
      </c>
      <c r="W48" s="595">
        <v>0</v>
      </c>
      <c r="X48" s="596">
        <v>0</v>
      </c>
      <c r="Y48" s="596">
        <v>0</v>
      </c>
      <c r="Z48" s="597">
        <v>0</v>
      </c>
      <c r="AA48" s="594">
        <v>0</v>
      </c>
      <c r="AB48" s="595">
        <v>0</v>
      </c>
      <c r="AC48" s="596">
        <v>0</v>
      </c>
      <c r="AD48" s="596">
        <v>0</v>
      </c>
      <c r="AE48" s="597">
        <v>0</v>
      </c>
      <c r="AF48" s="594">
        <v>0</v>
      </c>
      <c r="AG48" s="595">
        <v>0</v>
      </c>
      <c r="AH48" s="596">
        <v>0</v>
      </c>
      <c r="AI48" s="596">
        <v>0</v>
      </c>
      <c r="AJ48" s="597">
        <v>0</v>
      </c>
      <c r="AK48" s="594">
        <v>0</v>
      </c>
      <c r="AL48" s="594">
        <v>0</v>
      </c>
      <c r="AM48" s="594">
        <v>0</v>
      </c>
      <c r="AN48" s="594">
        <f>AM48</f>
        <v>0</v>
      </c>
      <c r="AO48" s="594">
        <f t="shared" ref="AO48:AW48" si="47">AN48</f>
        <v>0</v>
      </c>
      <c r="AP48" s="594">
        <f t="shared" si="47"/>
        <v>0</v>
      </c>
      <c r="AQ48" s="594">
        <f t="shared" si="47"/>
        <v>0</v>
      </c>
      <c r="AR48" s="594">
        <f t="shared" si="47"/>
        <v>0</v>
      </c>
      <c r="AS48" s="594">
        <f t="shared" si="47"/>
        <v>0</v>
      </c>
      <c r="AT48" s="594">
        <f t="shared" si="47"/>
        <v>0</v>
      </c>
      <c r="AU48" s="594">
        <f t="shared" si="47"/>
        <v>0</v>
      </c>
      <c r="AV48" s="594">
        <f t="shared" si="47"/>
        <v>0</v>
      </c>
      <c r="AW48" s="594">
        <f t="shared" si="47"/>
        <v>0</v>
      </c>
      <c r="AX48" s="176"/>
    </row>
    <row r="49" spans="2:68" ht="15" hidden="1" customHeight="1">
      <c r="B49" s="510" t="s">
        <v>214</v>
      </c>
      <c r="C49" s="183"/>
      <c r="D49" s="192"/>
      <c r="E49" s="192"/>
      <c r="F49" s="176">
        <v>-12395</v>
      </c>
      <c r="G49" s="594">
        <v>0</v>
      </c>
      <c r="H49" s="595"/>
      <c r="I49" s="596"/>
      <c r="J49" s="596">
        <v>0</v>
      </c>
      <c r="K49" s="597"/>
      <c r="L49" s="594">
        <v>0</v>
      </c>
      <c r="M49" s="595">
        <v>0</v>
      </c>
      <c r="N49" s="596">
        <v>0</v>
      </c>
      <c r="O49" s="596">
        <v>0</v>
      </c>
      <c r="P49" s="597">
        <v>0</v>
      </c>
      <c r="Q49" s="594">
        <v>0</v>
      </c>
      <c r="R49" s="595">
        <v>0</v>
      </c>
      <c r="S49" s="596">
        <v>0</v>
      </c>
      <c r="T49" s="596">
        <v>0</v>
      </c>
      <c r="U49" s="597">
        <v>0</v>
      </c>
      <c r="V49" s="594">
        <v>0</v>
      </c>
      <c r="W49" s="595"/>
      <c r="X49" s="596"/>
      <c r="Y49" s="596"/>
      <c r="Z49" s="597"/>
      <c r="AA49" s="594">
        <v>0</v>
      </c>
      <c r="AB49" s="595"/>
      <c r="AC49" s="596"/>
      <c r="AD49" s="596"/>
      <c r="AE49" s="597"/>
      <c r="AF49" s="594">
        <v>0</v>
      </c>
      <c r="AG49" s="595"/>
      <c r="AH49" s="596"/>
      <c r="AI49" s="596"/>
      <c r="AJ49" s="597"/>
      <c r="AK49" s="594">
        <v>0</v>
      </c>
      <c r="AL49" s="594">
        <v>0</v>
      </c>
      <c r="AM49" s="594">
        <v>0</v>
      </c>
      <c r="AN49" s="594"/>
      <c r="AO49" s="594"/>
      <c r="AP49" s="594"/>
      <c r="AQ49" s="594"/>
      <c r="AR49" s="594"/>
      <c r="AS49" s="594"/>
      <c r="AT49" s="594"/>
      <c r="AU49" s="594"/>
      <c r="AV49" s="594"/>
      <c r="AW49" s="594"/>
      <c r="AX49" s="176"/>
    </row>
    <row r="50" spans="2:68">
      <c r="B50" s="530" t="s">
        <v>356</v>
      </c>
      <c r="C50" s="183"/>
      <c r="D50" s="192"/>
      <c r="E50" s="192"/>
      <c r="F50" s="192">
        <f t="shared" ref="F50:K50" si="48">F46+F47+F48+F49</f>
        <v>2114</v>
      </c>
      <c r="G50" s="630">
        <f t="shared" si="48"/>
        <v>-59643</v>
      </c>
      <c r="H50" s="631">
        <f t="shared" si="48"/>
        <v>1647</v>
      </c>
      <c r="I50" s="632">
        <f t="shared" si="48"/>
        <v>13078</v>
      </c>
      <c r="J50" s="632">
        <f t="shared" si="48"/>
        <v>-24785</v>
      </c>
      <c r="K50" s="633">
        <f t="shared" si="48"/>
        <v>-18110</v>
      </c>
      <c r="L50" s="630">
        <f>L46+L47+L48+L49</f>
        <v>-39003</v>
      </c>
      <c r="M50" s="631">
        <f t="shared" ref="M50:AW50" si="49">M46+M47+M48+M49</f>
        <v>-9120</v>
      </c>
      <c r="N50" s="632">
        <f t="shared" si="49"/>
        <v>-16550</v>
      </c>
      <c r="O50" s="632">
        <f t="shared" si="49"/>
        <v>-7972</v>
      </c>
      <c r="P50" s="633">
        <f t="shared" si="49"/>
        <v>-17617</v>
      </c>
      <c r="Q50" s="630">
        <f t="shared" si="49"/>
        <v>-51259</v>
      </c>
      <c r="R50" s="631">
        <f t="shared" si="49"/>
        <v>-14574</v>
      </c>
      <c r="S50" s="632">
        <f t="shared" si="49"/>
        <v>-10383</v>
      </c>
      <c r="T50" s="632">
        <f t="shared" si="49"/>
        <v>-11858</v>
      </c>
      <c r="U50" s="633">
        <f t="shared" si="49"/>
        <v>-27082</v>
      </c>
      <c r="V50" s="630">
        <f t="shared" si="49"/>
        <v>-63897</v>
      </c>
      <c r="W50" s="631">
        <f t="shared" si="49"/>
        <v>5061</v>
      </c>
      <c r="X50" s="632">
        <f t="shared" si="49"/>
        <v>-22016</v>
      </c>
      <c r="Y50" s="632">
        <f t="shared" si="49"/>
        <v>-20770</v>
      </c>
      <c r="Z50" s="633">
        <f t="shared" si="49"/>
        <v>-19288</v>
      </c>
      <c r="AA50" s="630">
        <f t="shared" si="49"/>
        <v>-57012</v>
      </c>
      <c r="AB50" s="631">
        <f t="shared" si="49"/>
        <v>-25407</v>
      </c>
      <c r="AC50" s="632">
        <f t="shared" si="49"/>
        <v>-29669</v>
      </c>
      <c r="AD50" s="632">
        <f t="shared" si="49"/>
        <v>-25451</v>
      </c>
      <c r="AE50" s="633">
        <f t="shared" si="49"/>
        <v>-27926</v>
      </c>
      <c r="AF50" s="630">
        <f t="shared" si="49"/>
        <v>-108453</v>
      </c>
      <c r="AG50" s="631">
        <f t="shared" si="49"/>
        <v>-30500</v>
      </c>
      <c r="AH50" s="632">
        <f t="shared" si="49"/>
        <v>-34000</v>
      </c>
      <c r="AI50" s="632">
        <f t="shared" si="49"/>
        <v>-37700</v>
      </c>
      <c r="AJ50" s="633">
        <f t="shared" si="49"/>
        <v>-40450</v>
      </c>
      <c r="AK50" s="630">
        <f t="shared" si="49"/>
        <v>-142650</v>
      </c>
      <c r="AL50" s="630">
        <f t="shared" si="49"/>
        <v>-13580.083640000666</v>
      </c>
      <c r="AM50" s="630">
        <f t="shared" si="49"/>
        <v>-74854.082830654399</v>
      </c>
      <c r="AN50" s="630">
        <f t="shared" si="49"/>
        <v>-50989.848046836982</v>
      </c>
      <c r="AO50" s="630">
        <f t="shared" si="49"/>
        <v>1249.3330608012766</v>
      </c>
      <c r="AP50" s="630">
        <f t="shared" si="49"/>
        <v>8360.1532290806754</v>
      </c>
      <c r="AQ50" s="630">
        <f t="shared" si="49"/>
        <v>21028.799985499856</v>
      </c>
      <c r="AR50" s="630">
        <f t="shared" si="49"/>
        <v>5771.1263430438385</v>
      </c>
      <c r="AS50" s="630">
        <f t="shared" si="49"/>
        <v>14303.830611437079</v>
      </c>
      <c r="AT50" s="630">
        <f t="shared" si="49"/>
        <v>-4609.9212553351863</v>
      </c>
      <c r="AU50" s="630">
        <f t="shared" si="49"/>
        <v>-17176.827238489208</v>
      </c>
      <c r="AV50" s="630">
        <f t="shared" si="49"/>
        <v>-24096.210998251023</v>
      </c>
      <c r="AW50" s="630">
        <f t="shared" si="49"/>
        <v>-37982.881881155161</v>
      </c>
      <c r="AX50" s="192"/>
      <c r="AY50" s="69"/>
    </row>
    <row r="51" spans="2:68">
      <c r="B51" s="542" t="s">
        <v>357</v>
      </c>
      <c r="C51" s="193"/>
      <c r="D51" s="176"/>
      <c r="E51" s="176"/>
      <c r="F51" s="176">
        <v>2328</v>
      </c>
      <c r="G51" s="594">
        <v>2401</v>
      </c>
      <c r="H51" s="595">
        <v>9740</v>
      </c>
      <c r="I51" s="596">
        <v>31191079</v>
      </c>
      <c r="J51" s="596">
        <v>4406</v>
      </c>
      <c r="K51" s="597">
        <v>28123000</v>
      </c>
      <c r="L51" s="594">
        <v>9407</v>
      </c>
      <c r="M51" s="595">
        <v>30321</v>
      </c>
      <c r="N51" s="596">
        <v>31552</v>
      </c>
      <c r="O51" s="596">
        <v>31855</v>
      </c>
      <c r="P51" s="597">
        <v>32293</v>
      </c>
      <c r="Q51" s="594">
        <v>31515</v>
      </c>
      <c r="R51" s="595">
        <v>32633</v>
      </c>
      <c r="S51" s="596">
        <v>32870</v>
      </c>
      <c r="T51" s="596">
        <v>33097</v>
      </c>
      <c r="U51" s="597">
        <v>33268</v>
      </c>
      <c r="V51" s="594">
        <v>33303</v>
      </c>
      <c r="W51" s="595">
        <v>36911</v>
      </c>
      <c r="X51" s="596">
        <v>37272</v>
      </c>
      <c r="Y51" s="596">
        <v>37616</v>
      </c>
      <c r="Z51" s="597">
        <v>37914</v>
      </c>
      <c r="AA51" s="594">
        <v>37430</v>
      </c>
      <c r="AB51" s="595">
        <v>38404</v>
      </c>
      <c r="AC51" s="596">
        <v>38631</v>
      </c>
      <c r="AD51" s="596">
        <v>39361</v>
      </c>
      <c r="AE51" s="597">
        <v>45217</v>
      </c>
      <c r="AF51" s="594">
        <v>40420</v>
      </c>
      <c r="AG51" s="595">
        <v>45450</v>
      </c>
      <c r="AH51" s="596">
        <v>45500</v>
      </c>
      <c r="AI51" s="596">
        <v>45550</v>
      </c>
      <c r="AJ51" s="597">
        <v>45600</v>
      </c>
      <c r="AK51" s="594">
        <f>AVERAGE(AG51:AJ51)</f>
        <v>45525</v>
      </c>
      <c r="AL51" s="594">
        <f>'XLRN - BS'!Q130</f>
        <v>46006.015957337499</v>
      </c>
      <c r="AM51" s="594">
        <f>'XLRN - BS'!R130</f>
        <v>46504.106235627434</v>
      </c>
      <c r="AN51" s="594">
        <f>'XLRN - BS'!S130</f>
        <v>46994.72515974303</v>
      </c>
      <c r="AO51" s="594">
        <f>'XLRN - BS'!T130</f>
        <v>47477.984799996877</v>
      </c>
      <c r="AP51" s="594">
        <f>'XLRN - BS'!U130</f>
        <v>47953.995545646918</v>
      </c>
      <c r="AQ51" s="594">
        <f>'XLRN - BS'!V130</f>
        <v>48422.866130112219</v>
      </c>
      <c r="AR51" s="594">
        <f>'XLRN - BS'!W130</f>
        <v>48884.703655810532</v>
      </c>
      <c r="AS51" s="594">
        <f>'XLRN - BS'!X130</f>
        <v>49339.613618623378</v>
      </c>
      <c r="AT51" s="594">
        <f>'XLRN - BS'!Y130</f>
        <v>49787.699931994022</v>
      </c>
      <c r="AU51" s="594">
        <f>'XLRN - BS'!Z130</f>
        <v>50229.064950664113</v>
      </c>
      <c r="AV51" s="594">
        <f>'XLRN - BS'!AA130</f>
        <v>50663.809494054149</v>
      </c>
      <c r="AW51" s="594">
        <f>'XLRN - BS'!AB130</f>
        <v>51092.03286929334</v>
      </c>
      <c r="AX51" s="176"/>
      <c r="BA51" s="71"/>
    </row>
    <row r="52" spans="2:68" ht="15.75" thickBot="1">
      <c r="B52" s="542" t="s">
        <v>358</v>
      </c>
      <c r="C52" s="193"/>
      <c r="D52" s="176"/>
      <c r="E52" s="176"/>
      <c r="F52" s="176">
        <v>2717</v>
      </c>
      <c r="G52" s="594">
        <v>2401</v>
      </c>
      <c r="H52" s="595">
        <v>9740</v>
      </c>
      <c r="I52" s="596">
        <v>31191079</v>
      </c>
      <c r="J52" s="596">
        <v>4406</v>
      </c>
      <c r="K52" s="597">
        <v>28123000</v>
      </c>
      <c r="L52" s="594">
        <v>9407</v>
      </c>
      <c r="M52" s="595">
        <v>30321</v>
      </c>
      <c r="N52" s="596">
        <v>31552</v>
      </c>
      <c r="O52" s="596">
        <v>31855</v>
      </c>
      <c r="P52" s="597">
        <v>32293</v>
      </c>
      <c r="Q52" s="594">
        <v>31515</v>
      </c>
      <c r="R52" s="595">
        <v>32633</v>
      </c>
      <c r="S52" s="596">
        <v>32870</v>
      </c>
      <c r="T52" s="596">
        <v>33097</v>
      </c>
      <c r="U52" s="597">
        <f>U51</f>
        <v>33268</v>
      </c>
      <c r="V52" s="594">
        <v>33303</v>
      </c>
      <c r="W52" s="595">
        <v>38666</v>
      </c>
      <c r="X52" s="596">
        <f>X51</f>
        <v>37272</v>
      </c>
      <c r="Y52" s="596">
        <f>Y51</f>
        <v>37616</v>
      </c>
      <c r="Z52" s="597">
        <f>Z51</f>
        <v>37914</v>
      </c>
      <c r="AA52" s="594">
        <f>IF(AA50&lt;0,AA51,'XLRN - BS'!N131)</f>
        <v>37430</v>
      </c>
      <c r="AB52" s="595">
        <f t="shared" ref="AB52:AG52" si="50">AB51</f>
        <v>38404</v>
      </c>
      <c r="AC52" s="596">
        <f t="shared" si="50"/>
        <v>38631</v>
      </c>
      <c r="AD52" s="596">
        <f t="shared" si="50"/>
        <v>39361</v>
      </c>
      <c r="AE52" s="597">
        <f t="shared" si="50"/>
        <v>45217</v>
      </c>
      <c r="AF52" s="594">
        <f t="shared" si="50"/>
        <v>40420</v>
      </c>
      <c r="AG52" s="595">
        <f t="shared" si="50"/>
        <v>45450</v>
      </c>
      <c r="AH52" s="596">
        <f t="shared" ref="AH52:AJ52" si="51">AH51</f>
        <v>45500</v>
      </c>
      <c r="AI52" s="596">
        <f t="shared" si="51"/>
        <v>45550</v>
      </c>
      <c r="AJ52" s="597">
        <f t="shared" si="51"/>
        <v>45600</v>
      </c>
      <c r="AK52" s="594">
        <f>IF(AK50&lt;0,AK51,'XLRN - BS'!P131)</f>
        <v>45525</v>
      </c>
      <c r="AL52" s="594">
        <f>IF(AL50&lt;0,AL51,'XLRN - BS'!Q131)</f>
        <v>46006.015957337499</v>
      </c>
      <c r="AM52" s="594">
        <f>IF(AM50&lt;0,AM51,'XLRN - BS'!R131)</f>
        <v>46504.106235627434</v>
      </c>
      <c r="AN52" s="594">
        <f>IF(AN50&lt;0,AN51,'XLRN - BS'!S131)</f>
        <v>46994.72515974303</v>
      </c>
      <c r="AO52" s="594">
        <f>IF(AO50&lt;0,AO51,'XLRN - BS'!T131)</f>
        <v>49147.019958548175</v>
      </c>
      <c r="AP52" s="594">
        <f>IF(AP50&lt;0,AP51,'XLRN - BS'!U131)</f>
        <v>49597.995176819946</v>
      </c>
      <c r="AQ52" s="594">
        <f>IF(AQ50&lt;0,AQ51,'XLRN - BS'!V131)</f>
        <v>50042.205766817649</v>
      </c>
      <c r="AR52" s="594">
        <f>IF(AR50&lt;0,AR51,'XLRN - BS'!W131)</f>
        <v>50479.75319796538</v>
      </c>
      <c r="AS52" s="594">
        <f>IF(AS50&lt;0,AS51,'XLRN - BS'!X131)</f>
        <v>50910.737417645905</v>
      </c>
      <c r="AT52" s="594">
        <f>IF(AT50&lt;0,AT51,'XLRN - BS'!Y131)</f>
        <v>49787.699931994022</v>
      </c>
      <c r="AU52" s="594">
        <f>IF(AU50&lt;0,AU51,'XLRN - BS'!Z131)</f>
        <v>50229.064950664113</v>
      </c>
      <c r="AV52" s="594">
        <f>IF(AV50&lt;0,AV51,'XLRN - BS'!AA131)</f>
        <v>50663.809494054149</v>
      </c>
      <c r="AW52" s="594">
        <f>IF(AW50&lt;0,AW51,'XLRN - BS'!AB131)</f>
        <v>51092.03286929334</v>
      </c>
      <c r="AX52" s="176"/>
      <c r="BN52" s="126" t="s">
        <v>465</v>
      </c>
      <c r="BO52" s="126" t="s">
        <v>466</v>
      </c>
      <c r="BP52" s="126" t="s">
        <v>467</v>
      </c>
    </row>
    <row r="53" spans="2:68" ht="15.75" thickBot="1">
      <c r="B53" s="543" t="s">
        <v>363</v>
      </c>
      <c r="C53" s="194"/>
      <c r="D53" s="195"/>
      <c r="E53" s="195"/>
      <c r="F53" s="195">
        <f t="shared" ref="F53:AM53" si="52">F50/F52</f>
        <v>0.77806404122193595</v>
      </c>
      <c r="G53" s="634">
        <f t="shared" si="52"/>
        <v>-24.840899625156187</v>
      </c>
      <c r="H53" s="635">
        <f t="shared" si="52"/>
        <v>0.16909650924024641</v>
      </c>
      <c r="I53" s="636">
        <f t="shared" si="52"/>
        <v>4.1928655305576313E-4</v>
      </c>
      <c r="J53" s="636">
        <f t="shared" si="52"/>
        <v>-5.6252837040399459</v>
      </c>
      <c r="K53" s="637">
        <f t="shared" si="52"/>
        <v>-6.4395690360203391E-4</v>
      </c>
      <c r="L53" s="634">
        <f t="shared" si="52"/>
        <v>-4.1461677474221323</v>
      </c>
      <c r="M53" s="635">
        <f t="shared" si="52"/>
        <v>-0.30078163648956169</v>
      </c>
      <c r="N53" s="636">
        <f t="shared" si="52"/>
        <v>-0.52453093306288034</v>
      </c>
      <c r="O53" s="636">
        <f t="shared" si="52"/>
        <v>-0.25025898603045049</v>
      </c>
      <c r="P53" s="637">
        <f t="shared" si="52"/>
        <v>-0.5455361843123897</v>
      </c>
      <c r="Q53" s="634">
        <f t="shared" si="52"/>
        <v>-1.626495319689037</v>
      </c>
      <c r="R53" s="635">
        <f t="shared" si="52"/>
        <v>-0.44660313179909905</v>
      </c>
      <c r="S53" s="636">
        <f t="shared" si="52"/>
        <v>-0.31588074231822333</v>
      </c>
      <c r="T53" s="636">
        <f t="shared" si="52"/>
        <v>-0.35828020666525667</v>
      </c>
      <c r="U53" s="637">
        <f t="shared" si="52"/>
        <v>-0.81405554887579656</v>
      </c>
      <c r="V53" s="634">
        <f t="shared" si="52"/>
        <v>-1.9186559769390146</v>
      </c>
      <c r="W53" s="635">
        <f t="shared" si="52"/>
        <v>0.13089018776185796</v>
      </c>
      <c r="X53" s="636">
        <f t="shared" si="52"/>
        <v>-0.59068469628675679</v>
      </c>
      <c r="Y53" s="636">
        <f t="shared" si="52"/>
        <v>-0.55215865589111013</v>
      </c>
      <c r="Z53" s="637">
        <f t="shared" si="52"/>
        <v>-0.50873028432768896</v>
      </c>
      <c r="AA53" s="634">
        <f t="shared" si="52"/>
        <v>-1.5231632380443494</v>
      </c>
      <c r="AB53" s="635">
        <f t="shared" si="52"/>
        <v>-0.66157171128007497</v>
      </c>
      <c r="AC53" s="636">
        <f t="shared" si="52"/>
        <v>-0.76801014729103567</v>
      </c>
      <c r="AD53" s="636">
        <f t="shared" si="52"/>
        <v>-0.64660450699931404</v>
      </c>
      <c r="AE53" s="637">
        <f t="shared" si="52"/>
        <v>-0.61759957538094079</v>
      </c>
      <c r="AF53" s="634">
        <f t="shared" si="52"/>
        <v>-2.6831519049975259</v>
      </c>
      <c r="AG53" s="635">
        <f t="shared" si="52"/>
        <v>-0.67106710671067105</v>
      </c>
      <c r="AH53" s="636">
        <f t="shared" si="52"/>
        <v>-0.74725274725274726</v>
      </c>
      <c r="AI53" s="636">
        <f t="shared" si="52"/>
        <v>-0.827661909989023</v>
      </c>
      <c r="AJ53" s="637">
        <f t="shared" si="52"/>
        <v>-0.88706140350877194</v>
      </c>
      <c r="AK53" s="634">
        <f t="shared" si="52"/>
        <v>-3.1334431630971995</v>
      </c>
      <c r="AL53" s="634">
        <f t="shared" si="52"/>
        <v>-0.29518060534939189</v>
      </c>
      <c r="AM53" s="634">
        <f t="shared" si="52"/>
        <v>-1.6096230825592699</v>
      </c>
      <c r="AN53" s="634">
        <f t="shared" ref="AN53:AW53" si="53">AN50/AN52</f>
        <v>-1.0850121555879697</v>
      </c>
      <c r="AO53" s="634">
        <f t="shared" si="53"/>
        <v>2.5420321758165505E-2</v>
      </c>
      <c r="AP53" s="634">
        <f t="shared" si="53"/>
        <v>0.16855828948884341</v>
      </c>
      <c r="AQ53" s="634">
        <f t="shared" si="53"/>
        <v>0.42022128447910634</v>
      </c>
      <c r="AR53" s="634">
        <f t="shared" si="53"/>
        <v>0.11432556574536595</v>
      </c>
      <c r="AS53" s="634">
        <f t="shared" si="53"/>
        <v>0.28095901448245969</v>
      </c>
      <c r="AT53" s="634">
        <f t="shared" si="53"/>
        <v>-9.2591569034760929E-2</v>
      </c>
      <c r="AU53" s="634">
        <f t="shared" si="53"/>
        <v>-0.3419698785028269</v>
      </c>
      <c r="AV53" s="634">
        <f t="shared" si="53"/>
        <v>-0.47560993219585923</v>
      </c>
      <c r="AW53" s="634">
        <f t="shared" si="53"/>
        <v>-0.74342083781096002</v>
      </c>
      <c r="AX53" s="441"/>
      <c r="BN53" s="664">
        <f>(AW53/AN53)^(1/9)-1</f>
        <v>-4.1139188156247397E-2</v>
      </c>
      <c r="BO53" s="661">
        <v>1.2</v>
      </c>
      <c r="BP53" s="665">
        <f>BN53*BO53*100</f>
        <v>-4.9367025787496877</v>
      </c>
    </row>
    <row r="54" spans="2:68">
      <c r="B54" s="196"/>
      <c r="D54" s="197"/>
      <c r="E54" s="197"/>
      <c r="F54" s="197"/>
      <c r="G54" s="197"/>
      <c r="H54" s="197"/>
      <c r="I54" s="197"/>
      <c r="J54" s="197"/>
      <c r="K54" s="197"/>
      <c r="L54" s="197"/>
      <c r="M54" s="231"/>
      <c r="N54" s="231"/>
      <c r="O54" s="231"/>
      <c r="P54" s="231"/>
      <c r="Q54" s="197"/>
      <c r="R54" s="197"/>
      <c r="S54" s="197"/>
      <c r="T54" s="197"/>
      <c r="U54" s="197"/>
      <c r="V54" s="641"/>
      <c r="W54" s="641"/>
      <c r="X54" s="641"/>
      <c r="Y54" s="641"/>
      <c r="Z54" s="641"/>
      <c r="AA54" s="197"/>
      <c r="AB54" s="197"/>
      <c r="AC54" s="197"/>
      <c r="AD54" s="197"/>
      <c r="AE54" s="197"/>
      <c r="AF54" s="197"/>
      <c r="AG54" s="197"/>
      <c r="AH54" s="197"/>
      <c r="AI54" s="197"/>
      <c r="AJ54" s="197"/>
      <c r="AK54" s="197"/>
      <c r="AL54" s="197"/>
      <c r="AM54" s="197"/>
      <c r="AN54" s="197"/>
      <c r="AO54" s="197"/>
      <c r="AP54" s="197"/>
      <c r="AQ54" s="197"/>
      <c r="AR54" s="197"/>
      <c r="AS54" s="197"/>
      <c r="AT54" s="197"/>
      <c r="AU54" s="197"/>
      <c r="AV54" s="197"/>
      <c r="AW54" s="197"/>
      <c r="AX54" s="197"/>
    </row>
    <row r="55" spans="2:68" ht="9.9499999999999993" customHeight="1">
      <c r="B55" s="6"/>
      <c r="C55" s="6"/>
      <c r="D55" s="6"/>
      <c r="E55" s="6"/>
      <c r="F55" s="9"/>
      <c r="G55" s="7"/>
      <c r="H55" s="8"/>
      <c r="I55" s="9"/>
      <c r="J55" s="9"/>
      <c r="K55" s="9"/>
      <c r="L55" s="7"/>
      <c r="M55" s="8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2:68" ht="18">
      <c r="B56" s="198"/>
      <c r="C56" s="198"/>
      <c r="D56" s="198"/>
      <c r="E56" s="198"/>
      <c r="F56" s="198"/>
      <c r="G56" s="199"/>
      <c r="H56" s="708" t="s">
        <v>218</v>
      </c>
      <c r="I56" s="709"/>
      <c r="J56" s="709"/>
      <c r="K56" s="710"/>
      <c r="L56" s="199"/>
      <c r="M56" s="708" t="s">
        <v>218</v>
      </c>
      <c r="N56" s="709"/>
      <c r="O56" s="709"/>
      <c r="P56" s="710"/>
      <c r="Q56" s="199"/>
      <c r="R56" s="704"/>
      <c r="S56" s="704"/>
      <c r="T56" s="704"/>
      <c r="U56" s="704"/>
      <c r="V56" s="199"/>
      <c r="W56" s="704"/>
      <c r="X56" s="704"/>
      <c r="Y56" s="704"/>
      <c r="Z56" s="704"/>
      <c r="AA56" s="199"/>
      <c r="AB56" s="704"/>
      <c r="AC56" s="704"/>
      <c r="AD56" s="704"/>
      <c r="AE56" s="704"/>
      <c r="AF56" s="199"/>
      <c r="AG56" s="704"/>
      <c r="AH56" s="704"/>
      <c r="AI56" s="704"/>
      <c r="AJ56" s="704"/>
      <c r="AK56" s="199"/>
      <c r="AL56" s="199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</row>
    <row r="57" spans="2:68">
      <c r="D57" s="174" t="s">
        <v>1</v>
      </c>
      <c r="E57" s="174" t="s">
        <v>2</v>
      </c>
      <c r="F57" s="174" t="s">
        <v>3</v>
      </c>
      <c r="G57" s="225" t="str">
        <f>G12</f>
        <v>2012A</v>
      </c>
      <c r="H57" s="232" t="s">
        <v>4</v>
      </c>
      <c r="I57" s="233" t="s">
        <v>5</v>
      </c>
      <c r="J57" s="233" t="s">
        <v>6</v>
      </c>
      <c r="K57" s="234" t="s">
        <v>7</v>
      </c>
      <c r="L57" s="226" t="str">
        <f>L12</f>
        <v>2013A</v>
      </c>
      <c r="M57" s="233" t="str">
        <f t="shared" ref="M57:AW57" si="54">M12</f>
        <v>1Q14A</v>
      </c>
      <c r="N57" s="233" t="str">
        <f t="shared" si="54"/>
        <v>2Q14A</v>
      </c>
      <c r="O57" s="233" t="str">
        <f t="shared" si="54"/>
        <v>3Q14A</v>
      </c>
      <c r="P57" s="233" t="str">
        <f t="shared" si="54"/>
        <v>4Q14A</v>
      </c>
      <c r="Q57" s="226" t="str">
        <f t="shared" si="54"/>
        <v>2014A</v>
      </c>
      <c r="R57" s="233" t="str">
        <f t="shared" si="54"/>
        <v>1Q15A</v>
      </c>
      <c r="S57" s="233" t="str">
        <f t="shared" si="54"/>
        <v>2Q15A</v>
      </c>
      <c r="T57" s="233" t="str">
        <f t="shared" si="54"/>
        <v>3Q15A</v>
      </c>
      <c r="U57" s="233" t="str">
        <f t="shared" si="54"/>
        <v>4Q15A</v>
      </c>
      <c r="V57" s="226" t="str">
        <f t="shared" si="54"/>
        <v>2015A</v>
      </c>
      <c r="W57" s="233" t="str">
        <f>W12</f>
        <v>1Q16A</v>
      </c>
      <c r="X57" s="233" t="str">
        <f>X12</f>
        <v>2Q16A</v>
      </c>
      <c r="Y57" s="233" t="str">
        <f>Y12</f>
        <v>3Q16A</v>
      </c>
      <c r="Z57" s="233" t="str">
        <f>Z12</f>
        <v>4Q16A</v>
      </c>
      <c r="AA57" s="226" t="str">
        <f t="shared" si="54"/>
        <v>2016A</v>
      </c>
      <c r="AB57" s="233" t="str">
        <f>AB12</f>
        <v>1Q17A</v>
      </c>
      <c r="AC57" s="233" t="str">
        <f>AC12</f>
        <v>2Q17A</v>
      </c>
      <c r="AD57" s="233" t="str">
        <f>AD12</f>
        <v>3Q17A</v>
      </c>
      <c r="AE57" s="233" t="str">
        <f>AE12</f>
        <v>4Q17A</v>
      </c>
      <c r="AF57" s="226" t="str">
        <f t="shared" si="54"/>
        <v>2017A</v>
      </c>
      <c r="AG57" s="233" t="str">
        <f>AG12</f>
        <v>1Q18E</v>
      </c>
      <c r="AH57" s="233" t="str">
        <f>AH12</f>
        <v>2Q18E</v>
      </c>
      <c r="AI57" s="233" t="str">
        <f>AI12</f>
        <v>3Q18E</v>
      </c>
      <c r="AJ57" s="233" t="str">
        <f>AJ12</f>
        <v>4Q18E</v>
      </c>
      <c r="AK57" s="226" t="str">
        <f t="shared" si="54"/>
        <v>2018E</v>
      </c>
      <c r="AL57" s="226" t="str">
        <f t="shared" si="54"/>
        <v>2019E</v>
      </c>
      <c r="AM57" s="226" t="str">
        <f t="shared" si="54"/>
        <v>2020E</v>
      </c>
      <c r="AN57" s="226" t="str">
        <f t="shared" si="54"/>
        <v>2021E</v>
      </c>
      <c r="AO57" s="226" t="str">
        <f t="shared" si="54"/>
        <v>2022E</v>
      </c>
      <c r="AP57" s="226" t="str">
        <f t="shared" si="54"/>
        <v>2023E</v>
      </c>
      <c r="AQ57" s="226" t="str">
        <f t="shared" si="54"/>
        <v>2024E</v>
      </c>
      <c r="AR57" s="226" t="str">
        <f t="shared" si="54"/>
        <v>2025E</v>
      </c>
      <c r="AS57" s="226" t="str">
        <f t="shared" si="54"/>
        <v>2026E</v>
      </c>
      <c r="AT57" s="226" t="str">
        <f t="shared" si="54"/>
        <v>2027E</v>
      </c>
      <c r="AU57" s="226" t="str">
        <f t="shared" si="54"/>
        <v>2028E</v>
      </c>
      <c r="AV57" s="226" t="str">
        <f t="shared" si="54"/>
        <v>2029E</v>
      </c>
      <c r="AW57" s="226" t="str">
        <f t="shared" si="54"/>
        <v>2030E</v>
      </c>
      <c r="AX57" s="174"/>
    </row>
    <row r="58" spans="2:68">
      <c r="B58" s="544" t="s">
        <v>12</v>
      </c>
      <c r="G58" s="238"/>
      <c r="H58" s="240"/>
      <c r="I58" s="241"/>
      <c r="J58" s="241"/>
      <c r="K58" s="242"/>
      <c r="L58" s="238"/>
      <c r="M58" s="240"/>
      <c r="N58" s="241"/>
      <c r="O58" s="241"/>
      <c r="P58" s="242"/>
      <c r="Q58" s="238"/>
      <c r="R58" s="240"/>
      <c r="S58" s="241"/>
      <c r="T58" s="241"/>
      <c r="U58" s="242"/>
      <c r="V58" s="238"/>
      <c r="W58" s="240"/>
      <c r="X58" s="241"/>
      <c r="Y58" s="241"/>
      <c r="Z58" s="242"/>
      <c r="AA58" s="238"/>
      <c r="AB58" s="240"/>
      <c r="AC58" s="241"/>
      <c r="AD58" s="241"/>
      <c r="AE58" s="242"/>
      <c r="AF58" s="238"/>
      <c r="AG58" s="240"/>
      <c r="AH58" s="241"/>
      <c r="AI58" s="241"/>
      <c r="AJ58" s="242"/>
      <c r="AK58" s="238"/>
      <c r="AL58" s="238"/>
      <c r="AM58" s="238"/>
      <c r="AN58" s="238"/>
      <c r="AO58" s="238"/>
      <c r="AP58" s="238"/>
      <c r="AQ58" s="238"/>
      <c r="AR58" s="238"/>
      <c r="AS58" s="238"/>
      <c r="AT58" s="238"/>
      <c r="AU58" s="238"/>
      <c r="AV58" s="238"/>
      <c r="AW58" s="238"/>
      <c r="AX58" s="238"/>
    </row>
    <row r="59" spans="2:68">
      <c r="B59" s="545" t="s">
        <v>13</v>
      </c>
      <c r="D59" s="69"/>
      <c r="E59" s="69"/>
      <c r="F59" s="69">
        <f t="shared" ref="F59:AM59" si="55">F25/F21</f>
        <v>0.40430843766607755</v>
      </c>
      <c r="G59" s="244">
        <f t="shared" si="55"/>
        <v>2.3153926838861936</v>
      </c>
      <c r="H59" s="245">
        <f t="shared" si="55"/>
        <v>0.58486544098054893</v>
      </c>
      <c r="I59" s="246">
        <f t="shared" si="55"/>
        <v>0.33718026335704554</v>
      </c>
      <c r="J59" s="246">
        <f t="shared" si="55"/>
        <v>1.9070257611241217</v>
      </c>
      <c r="K59" s="247">
        <f t="shared" si="55"/>
        <v>0.88689236111111114</v>
      </c>
      <c r="L59" s="244">
        <f t="shared" si="55"/>
        <v>0.62993185392276774</v>
      </c>
      <c r="M59" s="245">
        <f t="shared" si="55"/>
        <v>3.557605080133051</v>
      </c>
      <c r="N59" s="246">
        <f t="shared" si="55"/>
        <v>3.1086316821971556</v>
      </c>
      <c r="O59" s="246">
        <f t="shared" si="55"/>
        <v>3.3854047890535917</v>
      </c>
      <c r="P59" s="247">
        <f t="shared" si="55"/>
        <v>3.8991709013105109</v>
      </c>
      <c r="Q59" s="244">
        <f t="shared" si="55"/>
        <v>3.4784718425369054</v>
      </c>
      <c r="R59" s="245">
        <f t="shared" si="55"/>
        <v>3.3436651583710408</v>
      </c>
      <c r="S59" s="246">
        <f t="shared" si="55"/>
        <v>2.4750743396886481</v>
      </c>
      <c r="T59" s="246">
        <f t="shared" si="55"/>
        <v>3.2093862815884475</v>
      </c>
      <c r="U59" s="247">
        <f t="shared" si="55"/>
        <v>4.2444794952681386</v>
      </c>
      <c r="V59" s="244">
        <f t="shared" si="55"/>
        <v>3.227785145888594</v>
      </c>
      <c r="W59" s="245">
        <f t="shared" ref="W59:AE59" si="56">W25/W21</f>
        <v>0.89258831932311411</v>
      </c>
      <c r="X59" s="246">
        <f t="shared" si="56"/>
        <v>5.0510172143974961</v>
      </c>
      <c r="Y59" s="246">
        <f t="shared" si="56"/>
        <v>5.691181364392679</v>
      </c>
      <c r="Z59" s="247">
        <f t="shared" si="56"/>
        <v>5.6657761947165328</v>
      </c>
      <c r="AA59" s="244">
        <f t="shared" si="56"/>
        <v>2.4692665010262504</v>
      </c>
      <c r="AB59" s="245">
        <f t="shared" si="56"/>
        <v>5.8642375168690961</v>
      </c>
      <c r="AC59" s="246">
        <f t="shared" si="56"/>
        <v>7.0650964998364412</v>
      </c>
      <c r="AD59" s="246">
        <f t="shared" si="56"/>
        <v>6.9870603848706034</v>
      </c>
      <c r="AE59" s="247">
        <f t="shared" si="56"/>
        <v>6.8391363022941967</v>
      </c>
      <c r="AF59" s="244">
        <f t="shared" si="55"/>
        <v>6.6555151694978116</v>
      </c>
      <c r="AG59" s="245">
        <f t="shared" si="55"/>
        <v>7.1621621621621623</v>
      </c>
      <c r="AH59" s="246">
        <f t="shared" si="55"/>
        <v>9.0625</v>
      </c>
      <c r="AI59" s="246">
        <f t="shared" si="55"/>
        <v>10.666666666666666</v>
      </c>
      <c r="AJ59" s="247">
        <f t="shared" si="55"/>
        <v>9.3333333333333339</v>
      </c>
      <c r="AK59" s="244">
        <v>0</v>
      </c>
      <c r="AL59" s="244">
        <f t="shared" si="55"/>
        <v>0.82260115616571461</v>
      </c>
      <c r="AM59" s="244">
        <f t="shared" si="55"/>
        <v>1.1213882040211103</v>
      </c>
      <c r="AN59" s="244">
        <f t="shared" ref="AN59:AW59" si="57">AN25/AN21</f>
        <v>0.84162228459019739</v>
      </c>
      <c r="AO59" s="244">
        <f t="shared" si="57"/>
        <v>0.57474602994887558</v>
      </c>
      <c r="AP59" s="244">
        <f t="shared" si="57"/>
        <v>0.50335307282242503</v>
      </c>
      <c r="AQ59" s="244">
        <f t="shared" si="57"/>
        <v>0.41295275569143303</v>
      </c>
      <c r="AR59" s="244">
        <f t="shared" si="57"/>
        <v>0.39096896064738923</v>
      </c>
      <c r="AS59" s="244">
        <f t="shared" si="57"/>
        <v>0.35414625516490322</v>
      </c>
      <c r="AT59" s="244">
        <f t="shared" si="57"/>
        <v>0.34711146631830148</v>
      </c>
      <c r="AU59" s="244">
        <f t="shared" si="57"/>
        <v>0.33206568410345555</v>
      </c>
      <c r="AV59" s="244">
        <f t="shared" si="57"/>
        <v>0.31975633494861216</v>
      </c>
      <c r="AW59" s="244">
        <f t="shared" si="57"/>
        <v>0.31514734536419681</v>
      </c>
      <c r="AX59" s="244"/>
    </row>
    <row r="60" spans="2:68">
      <c r="B60" s="546" t="s">
        <v>14</v>
      </c>
      <c r="D60" s="69"/>
      <c r="E60" s="69"/>
      <c r="F60" s="69">
        <f t="shared" ref="F60:AW60" si="58">F32/F21</f>
        <v>0.10062908627998665</v>
      </c>
      <c r="G60" s="244">
        <f t="shared" si="58"/>
        <v>0.57847122066343259</v>
      </c>
      <c r="H60" s="245">
        <f t="shared" si="58"/>
        <v>0.20623501199040767</v>
      </c>
      <c r="I60" s="246">
        <f t="shared" si="58"/>
        <v>0.1273270773422128</v>
      </c>
      <c r="J60" s="246">
        <f t="shared" si="58"/>
        <v>0.70515222482435602</v>
      </c>
      <c r="K60" s="247">
        <f t="shared" si="58"/>
        <v>0.41276041666666669</v>
      </c>
      <c r="L60" s="244">
        <f t="shared" si="58"/>
        <v>0.24859339507251441</v>
      </c>
      <c r="M60" s="245">
        <f t="shared" si="58"/>
        <v>1.1339582703356517</v>
      </c>
      <c r="N60" s="246">
        <f t="shared" si="58"/>
        <v>0.91025012260912208</v>
      </c>
      <c r="O60" s="246">
        <f t="shared" si="58"/>
        <v>0.86174458380843788</v>
      </c>
      <c r="P60" s="247">
        <f t="shared" si="58"/>
        <v>0.99331372024605513</v>
      </c>
      <c r="Q60" s="244">
        <f t="shared" si="58"/>
        <v>0.97040732640787319</v>
      </c>
      <c r="R60" s="245">
        <f t="shared" si="58"/>
        <v>1.0633484162895928</v>
      </c>
      <c r="S60" s="246">
        <f t="shared" si="58"/>
        <v>0.81528773832429591</v>
      </c>
      <c r="T60" s="246">
        <f t="shared" si="58"/>
        <v>1.307581227436823</v>
      </c>
      <c r="U60" s="247">
        <f t="shared" si="58"/>
        <v>1.5176130389064142</v>
      </c>
      <c r="V60" s="244">
        <f t="shared" si="58"/>
        <v>1.1365495137046862</v>
      </c>
      <c r="W60" s="245">
        <f t="shared" ref="W60:AE60" si="59">W32/W21</f>
        <v>0.32476237569364319</v>
      </c>
      <c r="X60" s="246">
        <f t="shared" si="59"/>
        <v>2.1007824726134587</v>
      </c>
      <c r="Y60" s="246">
        <f t="shared" si="59"/>
        <v>2.1334442595673875</v>
      </c>
      <c r="Z60" s="247">
        <f t="shared" si="59"/>
        <v>1.8601959038290294</v>
      </c>
      <c r="AA60" s="244">
        <f t="shared" si="59"/>
        <v>0.9110582982247668</v>
      </c>
      <c r="AB60" s="245">
        <f t="shared" si="59"/>
        <v>2.1149797570850204</v>
      </c>
      <c r="AC60" s="246">
        <f t="shared" si="59"/>
        <v>3.7193326790971541</v>
      </c>
      <c r="AD60" s="246">
        <f t="shared" si="59"/>
        <v>2.4993364299933645</v>
      </c>
      <c r="AE60" s="247">
        <f t="shared" si="59"/>
        <v>1.8898785425101214</v>
      </c>
      <c r="AF60" s="244">
        <f t="shared" si="58"/>
        <v>2.5028558712261701</v>
      </c>
      <c r="AG60" s="245">
        <f t="shared" si="58"/>
        <v>2.1621621621621623</v>
      </c>
      <c r="AH60" s="246">
        <f t="shared" si="58"/>
        <v>2.65625</v>
      </c>
      <c r="AI60" s="246">
        <f t="shared" si="58"/>
        <v>3</v>
      </c>
      <c r="AJ60" s="247">
        <f t="shared" si="58"/>
        <v>2.5333333333333332</v>
      </c>
      <c r="AK60" s="244">
        <v>0</v>
      </c>
      <c r="AL60" s="244">
        <f t="shared" si="58"/>
        <v>0.26440751448183686</v>
      </c>
      <c r="AM60" s="244">
        <f t="shared" si="58"/>
        <v>0.40049578715039652</v>
      </c>
      <c r="AN60" s="244">
        <f t="shared" si="58"/>
        <v>0.37214590815212806</v>
      </c>
      <c r="AO60" s="244">
        <f t="shared" si="58"/>
        <v>0.31464878218775499</v>
      </c>
      <c r="AP60" s="244">
        <f t="shared" si="58"/>
        <v>0.34117472688567041</v>
      </c>
      <c r="AQ60" s="244">
        <f t="shared" si="58"/>
        <v>0.34654413263441874</v>
      </c>
      <c r="AR60" s="244">
        <f t="shared" si="58"/>
        <v>0.37496644761332087</v>
      </c>
      <c r="AS60" s="244">
        <f t="shared" si="58"/>
        <v>0.35582476277435698</v>
      </c>
      <c r="AT60" s="244">
        <f t="shared" si="58"/>
        <v>0.36536409058456187</v>
      </c>
      <c r="AU60" s="244">
        <f t="shared" si="58"/>
        <v>0.36617128530859416</v>
      </c>
      <c r="AV60" s="244">
        <f t="shared" si="58"/>
        <v>0.36938804044948709</v>
      </c>
      <c r="AW60" s="244">
        <f t="shared" si="58"/>
        <v>0.38140002065787743</v>
      </c>
      <c r="AX60" s="244"/>
    </row>
    <row r="61" spans="2:68">
      <c r="B61" s="547"/>
      <c r="G61" s="238"/>
      <c r="H61" s="240"/>
      <c r="I61" s="241"/>
      <c r="J61" s="241"/>
      <c r="K61" s="242"/>
      <c r="L61" s="238"/>
      <c r="M61" s="240"/>
      <c r="N61" s="241"/>
      <c r="O61" s="241"/>
      <c r="P61" s="242"/>
      <c r="Q61" s="238"/>
      <c r="R61" s="240"/>
      <c r="S61" s="241"/>
      <c r="T61" s="241"/>
      <c r="U61" s="242"/>
      <c r="V61" s="238"/>
      <c r="W61" s="240"/>
      <c r="X61" s="241"/>
      <c r="Y61" s="241"/>
      <c r="Z61" s="242"/>
      <c r="AA61" s="238"/>
      <c r="AB61" s="240"/>
      <c r="AC61" s="241"/>
      <c r="AD61" s="241"/>
      <c r="AE61" s="242"/>
      <c r="AF61" s="238"/>
      <c r="AG61" s="240"/>
      <c r="AH61" s="241"/>
      <c r="AI61" s="241"/>
      <c r="AJ61" s="242"/>
      <c r="AK61" s="238"/>
      <c r="AL61" s="238"/>
      <c r="AM61" s="238"/>
      <c r="AN61" s="238"/>
      <c r="AO61" s="238"/>
      <c r="AP61" s="238"/>
      <c r="AQ61" s="238"/>
      <c r="AR61" s="238"/>
      <c r="AS61" s="238"/>
      <c r="AT61" s="238"/>
      <c r="AU61" s="238"/>
      <c r="AV61" s="238"/>
      <c r="AW61" s="238"/>
      <c r="AX61" s="238"/>
    </row>
    <row r="62" spans="2:68">
      <c r="B62" s="546" t="s">
        <v>198</v>
      </c>
      <c r="F62" s="159">
        <f t="shared" ref="F62:L62" si="60">F19/(F26+F27)</f>
        <v>2.8761329305135952</v>
      </c>
      <c r="G62" s="257">
        <f t="shared" si="60"/>
        <v>1.9225181598062955</v>
      </c>
      <c r="H62" s="258">
        <f t="shared" si="60"/>
        <v>3.5519203413940255</v>
      </c>
      <c r="I62" s="259">
        <f t="shared" si="60"/>
        <v>3.375</v>
      </c>
      <c r="J62" s="259">
        <f t="shared" si="60"/>
        <v>2.5363128491620111</v>
      </c>
      <c r="K62" s="260">
        <f t="shared" si="60"/>
        <v>1.9031578947368422</v>
      </c>
      <c r="L62" s="257">
        <f t="shared" si="60"/>
        <v>2.6130238048396617</v>
      </c>
      <c r="M62" s="248"/>
      <c r="N62" s="249"/>
      <c r="O62" s="249"/>
      <c r="P62" s="250"/>
      <c r="Q62" s="238"/>
      <c r="R62" s="248"/>
      <c r="S62" s="249"/>
      <c r="T62" s="249"/>
      <c r="U62" s="250"/>
      <c r="V62" s="238"/>
      <c r="W62" s="248"/>
      <c r="X62" s="249"/>
      <c r="Y62" s="249"/>
      <c r="Z62" s="250"/>
      <c r="AA62" s="238"/>
      <c r="AB62" s="248"/>
      <c r="AC62" s="249"/>
      <c r="AD62" s="249"/>
      <c r="AE62" s="250"/>
      <c r="AF62" s="238"/>
      <c r="AG62" s="248"/>
      <c r="AH62" s="249"/>
      <c r="AI62" s="249"/>
      <c r="AJ62" s="250"/>
      <c r="AK62" s="238"/>
      <c r="AL62" s="238"/>
      <c r="AM62" s="238"/>
      <c r="AN62" s="238"/>
      <c r="AO62" s="238"/>
      <c r="AP62" s="238"/>
      <c r="AQ62" s="238"/>
      <c r="AR62" s="238"/>
      <c r="AS62" s="238"/>
      <c r="AT62" s="238"/>
      <c r="AU62" s="238"/>
      <c r="AV62" s="238"/>
      <c r="AW62" s="238"/>
      <c r="AX62" s="238"/>
    </row>
    <row r="63" spans="2:68">
      <c r="B63" s="546" t="s">
        <v>199</v>
      </c>
      <c r="F63" s="200">
        <f t="shared" ref="F63:L63" si="61">F19/(F25-F28)</f>
        <v>0.15164064988849951</v>
      </c>
      <c r="G63" s="244">
        <f t="shared" si="61"/>
        <v>0.17424836191491364</v>
      </c>
      <c r="H63" s="245">
        <f t="shared" si="61"/>
        <v>0.3241173416407061</v>
      </c>
      <c r="I63" s="246">
        <f t="shared" si="61"/>
        <v>0.45143586470963626</v>
      </c>
      <c r="J63" s="246">
        <f t="shared" si="61"/>
        <v>0.52775356001162455</v>
      </c>
      <c r="K63" s="247">
        <f t="shared" si="61"/>
        <v>0.40204580831665554</v>
      </c>
      <c r="L63" s="244">
        <f t="shared" si="61"/>
        <v>0.42279166003501512</v>
      </c>
      <c r="M63" s="251"/>
      <c r="N63" s="252"/>
      <c r="O63" s="252"/>
      <c r="P63" s="253"/>
      <c r="Q63" s="238"/>
      <c r="R63" s="251"/>
      <c r="S63" s="252"/>
      <c r="T63" s="252"/>
      <c r="U63" s="253"/>
      <c r="V63" s="238"/>
      <c r="W63" s="251"/>
      <c r="X63" s="252"/>
      <c r="Y63" s="252"/>
      <c r="Z63" s="253"/>
      <c r="AA63" s="238"/>
      <c r="AB63" s="251"/>
      <c r="AC63" s="252"/>
      <c r="AD63" s="252"/>
      <c r="AE63" s="253"/>
      <c r="AF63" s="238"/>
      <c r="AG63" s="251"/>
      <c r="AH63" s="252"/>
      <c r="AI63" s="252"/>
      <c r="AJ63" s="253"/>
      <c r="AK63" s="238"/>
      <c r="AL63" s="238"/>
      <c r="AM63" s="238"/>
      <c r="AN63" s="238"/>
      <c r="AO63" s="238"/>
      <c r="AP63" s="238"/>
      <c r="AQ63" s="238"/>
      <c r="AR63" s="238"/>
      <c r="AS63" s="238"/>
      <c r="AT63" s="238"/>
      <c r="AU63" s="238"/>
      <c r="AV63" s="238"/>
      <c r="AW63" s="238"/>
      <c r="AX63" s="238"/>
    </row>
    <row r="64" spans="2:68">
      <c r="B64" s="547"/>
      <c r="G64" s="238"/>
      <c r="H64" s="240"/>
      <c r="I64" s="241"/>
      <c r="J64" s="241"/>
      <c r="K64" s="242"/>
      <c r="L64" s="238"/>
      <c r="M64" s="240"/>
      <c r="N64" s="241"/>
      <c r="O64" s="241"/>
      <c r="P64" s="242"/>
      <c r="Q64" s="238"/>
      <c r="R64" s="240"/>
      <c r="S64" s="241"/>
      <c r="T64" s="241"/>
      <c r="U64" s="242"/>
      <c r="V64" s="238"/>
      <c r="W64" s="240"/>
      <c r="X64" s="241"/>
      <c r="Y64" s="241"/>
      <c r="Z64" s="242"/>
      <c r="AA64" s="238"/>
      <c r="AB64" s="240"/>
      <c r="AC64" s="241"/>
      <c r="AD64" s="241"/>
      <c r="AE64" s="242"/>
      <c r="AF64" s="238"/>
      <c r="AG64" s="240"/>
      <c r="AH64" s="241"/>
      <c r="AI64" s="241"/>
      <c r="AJ64" s="242"/>
      <c r="AK64" s="238"/>
      <c r="AL64" s="238"/>
      <c r="AM64" s="238"/>
      <c r="AN64" s="238"/>
      <c r="AO64" s="238"/>
      <c r="AP64" s="238"/>
      <c r="AQ64" s="238"/>
      <c r="AR64" s="238"/>
      <c r="AS64" s="238"/>
      <c r="AT64" s="238"/>
      <c r="AU64" s="238"/>
      <c r="AV64" s="238"/>
      <c r="AW64" s="238"/>
      <c r="AX64" s="238"/>
    </row>
    <row r="65" spans="2:53">
      <c r="B65" s="546" t="s">
        <v>215</v>
      </c>
      <c r="G65" s="244">
        <f t="shared" ref="G65:R65" si="62">G36/G25</f>
        <v>1.4553073416574648E-2</v>
      </c>
      <c r="H65" s="245">
        <f t="shared" si="62"/>
        <v>1.7198177676537585E-2</v>
      </c>
      <c r="I65" s="246">
        <f t="shared" si="62"/>
        <v>1.7955336101447648E-2</v>
      </c>
      <c r="J65" s="246">
        <f t="shared" si="62"/>
        <v>1.8297924597814073E-2</v>
      </c>
      <c r="K65" s="247">
        <f t="shared" si="62"/>
        <v>1.7519819907996476E-2</v>
      </c>
      <c r="L65" s="244">
        <f t="shared" si="62"/>
        <v>1.7724889739535659E-2</v>
      </c>
      <c r="M65" s="245">
        <f t="shared" si="62"/>
        <v>3.3999150021249466E-2</v>
      </c>
      <c r="N65" s="246">
        <f t="shared" si="62"/>
        <v>3.5734006468407353E-2</v>
      </c>
      <c r="O65" s="246">
        <f t="shared" si="62"/>
        <v>4.0922869653081846E-2</v>
      </c>
      <c r="P65" s="247">
        <f t="shared" si="62"/>
        <v>4.9797654160093283E-2</v>
      </c>
      <c r="Q65" s="244">
        <f t="shared" si="62"/>
        <v>4.0572135882272042E-2</v>
      </c>
      <c r="R65" s="245">
        <f t="shared" si="62"/>
        <v>7.3279653562487307E-2</v>
      </c>
      <c r="S65" s="674">
        <f>S36/S25</f>
        <v>7.2014134275618369E-2</v>
      </c>
      <c r="T65" s="674">
        <f>T36/T25</f>
        <v>9.0063742032245972E-2</v>
      </c>
      <c r="U65" s="429">
        <v>7.0000000000000007E-2</v>
      </c>
      <c r="V65" s="244">
        <f>V36/V25</f>
        <v>8.306796781373052E-2</v>
      </c>
      <c r="W65" s="693">
        <f>W36/W25</f>
        <v>0.11227379047150068</v>
      </c>
      <c r="X65" s="689">
        <v>6.5000000000000002E-2</v>
      </c>
      <c r="Y65" s="689">
        <v>6.5000000000000002E-2</v>
      </c>
      <c r="Z65" s="429">
        <v>6.5000000000000002E-2</v>
      </c>
      <c r="AA65" s="244">
        <f>AA36/AA25</f>
        <v>0.11915594831860472</v>
      </c>
      <c r="AB65" s="699">
        <v>0.1</v>
      </c>
      <c r="AC65" s="689">
        <v>0.1</v>
      </c>
      <c r="AD65" s="689">
        <v>0.1</v>
      </c>
      <c r="AE65" s="429">
        <v>0.1</v>
      </c>
      <c r="AF65" s="431">
        <v>0.1</v>
      </c>
      <c r="AG65" s="699">
        <v>0.1</v>
      </c>
      <c r="AH65" s="689">
        <v>0.1</v>
      </c>
      <c r="AI65" s="689">
        <v>0.1</v>
      </c>
      <c r="AJ65" s="429">
        <v>0.1</v>
      </c>
      <c r="AK65" s="431">
        <v>0.1</v>
      </c>
      <c r="AL65" s="431">
        <v>0.14000000000000001</v>
      </c>
      <c r="AM65" s="431">
        <v>0.1</v>
      </c>
      <c r="AN65" s="431">
        <v>0.1</v>
      </c>
      <c r="AO65" s="431">
        <f>AN65</f>
        <v>0.1</v>
      </c>
      <c r="AP65" s="431">
        <f t="shared" ref="AP65:AW65" si="63">AO65</f>
        <v>0.1</v>
      </c>
      <c r="AQ65" s="431">
        <f t="shared" si="63"/>
        <v>0.1</v>
      </c>
      <c r="AR65" s="431">
        <f t="shared" si="63"/>
        <v>0.1</v>
      </c>
      <c r="AS65" s="431">
        <f t="shared" si="63"/>
        <v>0.1</v>
      </c>
      <c r="AT65" s="431">
        <f t="shared" si="63"/>
        <v>0.1</v>
      </c>
      <c r="AU65" s="431">
        <f t="shared" si="63"/>
        <v>0.1</v>
      </c>
      <c r="AV65" s="431">
        <f t="shared" si="63"/>
        <v>0.1</v>
      </c>
      <c r="AW65" s="431">
        <f t="shared" si="63"/>
        <v>0.1</v>
      </c>
      <c r="AX65" s="431"/>
    </row>
    <row r="66" spans="2:53">
      <c r="B66" s="546" t="s">
        <v>216</v>
      </c>
      <c r="G66" s="244">
        <f t="shared" ref="G66:R66" si="64">G37/G32</f>
        <v>7.8422484134179515E-2</v>
      </c>
      <c r="H66" s="254">
        <f t="shared" si="64"/>
        <v>8.94702842377261E-2</v>
      </c>
      <c r="I66" s="255">
        <f t="shared" si="64"/>
        <v>0.10698365527488855</v>
      </c>
      <c r="J66" s="255">
        <f t="shared" si="64"/>
        <v>0.11424775821986051</v>
      </c>
      <c r="K66" s="256">
        <f t="shared" si="64"/>
        <v>0.11692954784437434</v>
      </c>
      <c r="L66" s="244">
        <f t="shared" si="64"/>
        <v>0.10803401982146622</v>
      </c>
      <c r="M66" s="254">
        <f t="shared" si="64"/>
        <v>0.1648</v>
      </c>
      <c r="N66" s="255">
        <f t="shared" si="64"/>
        <v>0.17807112068965517</v>
      </c>
      <c r="O66" s="255">
        <f t="shared" si="64"/>
        <v>0.23420443268276547</v>
      </c>
      <c r="P66" s="256">
        <f t="shared" si="64"/>
        <v>0.19547657512116318</v>
      </c>
      <c r="Q66" s="244">
        <f t="shared" si="64"/>
        <v>0.19106979364743995</v>
      </c>
      <c r="R66" s="254">
        <f t="shared" si="64"/>
        <v>0.31680851063829785</v>
      </c>
      <c r="S66" s="675">
        <f>S37/S32</f>
        <v>0.35207037116498607</v>
      </c>
      <c r="T66" s="675">
        <f>T37/T32</f>
        <v>0.34290447266703478</v>
      </c>
      <c r="U66" s="430">
        <v>0.25</v>
      </c>
      <c r="V66" s="244">
        <f>V37/V32</f>
        <v>0.35119365974619537</v>
      </c>
      <c r="W66" s="694">
        <f>W37/W32</f>
        <v>0.41008289629504313</v>
      </c>
      <c r="X66" s="690">
        <v>0.28000000000000003</v>
      </c>
      <c r="Y66" s="690">
        <v>0.28000000000000003</v>
      </c>
      <c r="Z66" s="691">
        <v>0.28000000000000003</v>
      </c>
      <c r="AA66" s="244">
        <f>AA37/AA32</f>
        <v>0.41049760879016639</v>
      </c>
      <c r="AB66" s="700">
        <v>0.35</v>
      </c>
      <c r="AC66" s="690">
        <v>0.35</v>
      </c>
      <c r="AD66" s="690">
        <v>0.35</v>
      </c>
      <c r="AE66" s="691">
        <v>0.35</v>
      </c>
      <c r="AF66" s="432">
        <v>0.35</v>
      </c>
      <c r="AG66" s="700">
        <v>0.35</v>
      </c>
      <c r="AH66" s="690">
        <v>0.35</v>
      </c>
      <c r="AI66" s="690">
        <v>0.35</v>
      </c>
      <c r="AJ66" s="691">
        <v>0.35</v>
      </c>
      <c r="AK66" s="432">
        <v>0.3</v>
      </c>
      <c r="AL66" s="432">
        <v>0.28000000000000003</v>
      </c>
      <c r="AM66" s="432">
        <v>0.25</v>
      </c>
      <c r="AN66" s="432">
        <v>0.25</v>
      </c>
      <c r="AO66" s="431">
        <f>AN66</f>
        <v>0.25</v>
      </c>
      <c r="AP66" s="431">
        <f t="shared" ref="AP66:AW66" si="65">AO66</f>
        <v>0.25</v>
      </c>
      <c r="AQ66" s="431">
        <f t="shared" si="65"/>
        <v>0.25</v>
      </c>
      <c r="AR66" s="431">
        <f t="shared" si="65"/>
        <v>0.25</v>
      </c>
      <c r="AS66" s="431">
        <f t="shared" si="65"/>
        <v>0.25</v>
      </c>
      <c r="AT66" s="431">
        <f t="shared" si="65"/>
        <v>0.25</v>
      </c>
      <c r="AU66" s="431">
        <f t="shared" si="65"/>
        <v>0.25</v>
      </c>
      <c r="AV66" s="431">
        <f t="shared" si="65"/>
        <v>0.25</v>
      </c>
      <c r="AW66" s="431">
        <f t="shared" si="65"/>
        <v>0.25</v>
      </c>
      <c r="AX66" s="432"/>
    </row>
    <row r="69" spans="2:53" hidden="1" outlineLevel="1">
      <c r="B69" s="167" t="s">
        <v>340</v>
      </c>
      <c r="R69" s="116"/>
      <c r="S69" s="116"/>
      <c r="T69" s="116"/>
      <c r="U69" s="116"/>
      <c r="V69" s="116"/>
      <c r="W69" s="116"/>
      <c r="X69" s="116"/>
      <c r="Y69" s="116"/>
      <c r="Z69" s="116"/>
    </row>
    <row r="70" spans="2:53" hidden="1" outlineLevel="1">
      <c r="B70" s="235" t="s">
        <v>341</v>
      </c>
      <c r="D70" s="69"/>
      <c r="E70" s="69"/>
      <c r="F70" s="69"/>
      <c r="G70" s="423">
        <f>34%+4.2%</f>
        <v>0.38200000000000001</v>
      </c>
      <c r="H70" s="423">
        <f t="shared" ref="H70:P70" si="66">34%+4.1%</f>
        <v>0.38100000000000001</v>
      </c>
      <c r="I70" s="423">
        <f t="shared" si="66"/>
        <v>0.38100000000000001</v>
      </c>
      <c r="J70" s="423">
        <f t="shared" si="66"/>
        <v>0.38100000000000001</v>
      </c>
      <c r="K70" s="423">
        <f t="shared" si="66"/>
        <v>0.38100000000000001</v>
      </c>
      <c r="L70" s="423">
        <f>34%-1.5%</f>
        <v>0.32500000000000001</v>
      </c>
      <c r="M70" s="423">
        <f t="shared" si="66"/>
        <v>0.38100000000000001</v>
      </c>
      <c r="N70" s="423">
        <f t="shared" si="66"/>
        <v>0.38100000000000001</v>
      </c>
      <c r="O70" s="423">
        <f t="shared" si="66"/>
        <v>0.38100000000000001</v>
      </c>
      <c r="P70" s="423">
        <f t="shared" si="66"/>
        <v>0.38100000000000001</v>
      </c>
      <c r="Q70" s="423">
        <f>34%+4.1%</f>
        <v>0.38100000000000001</v>
      </c>
      <c r="R70" s="422">
        <f>$V$70</f>
        <v>0.38100000000000001</v>
      </c>
      <c r="S70" s="422">
        <f>$V$70</f>
        <v>0.38100000000000001</v>
      </c>
      <c r="T70" s="422">
        <f>$V$70</f>
        <v>0.38100000000000001</v>
      </c>
      <c r="U70" s="422">
        <f>$V$70</f>
        <v>0.38100000000000001</v>
      </c>
      <c r="V70" s="422">
        <f>Q70</f>
        <v>0.38100000000000001</v>
      </c>
      <c r="W70" s="422">
        <f>$AA$70</f>
        <v>0.38100000000000001</v>
      </c>
      <c r="X70" s="422">
        <f>$AA$70</f>
        <v>0.38100000000000001</v>
      </c>
      <c r="Y70" s="422">
        <f>$AA$70</f>
        <v>0.38100000000000001</v>
      </c>
      <c r="Z70" s="422">
        <f>$AA$70</f>
        <v>0.38100000000000001</v>
      </c>
      <c r="AA70" s="244">
        <f>V70</f>
        <v>0.38100000000000001</v>
      </c>
      <c r="AB70" s="422">
        <f>$AA$70</f>
        <v>0.38100000000000001</v>
      </c>
      <c r="AC70" s="422">
        <f>$AA$70</f>
        <v>0.38100000000000001</v>
      </c>
      <c r="AD70" s="422">
        <f>$AA$70</f>
        <v>0.38100000000000001</v>
      </c>
      <c r="AE70" s="422">
        <f>$AA$70</f>
        <v>0.38100000000000001</v>
      </c>
      <c r="AF70" s="244">
        <f>AA70</f>
        <v>0.38100000000000001</v>
      </c>
      <c r="AG70" s="422">
        <f>$AA$70</f>
        <v>0.38100000000000001</v>
      </c>
      <c r="AH70" s="422">
        <f>$AA$70</f>
        <v>0.38100000000000001</v>
      </c>
      <c r="AI70" s="422">
        <f>$AA$70</f>
        <v>0.38100000000000001</v>
      </c>
      <c r="AJ70" s="422">
        <f>$AA$70</f>
        <v>0.38100000000000001</v>
      </c>
      <c r="AK70" s="244">
        <f>AF70</f>
        <v>0.38100000000000001</v>
      </c>
      <c r="AL70" s="244">
        <f>AK70</f>
        <v>0.38100000000000001</v>
      </c>
      <c r="AM70" s="244">
        <f>AL70</f>
        <v>0.38100000000000001</v>
      </c>
      <c r="AN70" s="244"/>
      <c r="AO70" s="244"/>
      <c r="AP70" s="244"/>
      <c r="AQ70" s="244"/>
      <c r="AR70" s="244"/>
      <c r="AS70" s="244"/>
      <c r="AT70" s="244"/>
      <c r="AU70" s="244"/>
      <c r="AV70" s="244"/>
      <c r="AW70" s="244"/>
      <c r="AX70" s="244"/>
    </row>
    <row r="71" spans="2:53" hidden="1" outlineLevel="1">
      <c r="B71" s="229" t="s">
        <v>342</v>
      </c>
      <c r="C71" s="193"/>
      <c r="D71" s="176"/>
      <c r="E71" s="176"/>
      <c r="F71" s="176"/>
      <c r="G71" s="176">
        <v>2.4321549999999998</v>
      </c>
      <c r="H71" s="218"/>
      <c r="I71" s="219"/>
      <c r="J71" s="219"/>
      <c r="K71" s="220"/>
      <c r="L71" s="176">
        <v>28.34863</v>
      </c>
      <c r="M71" s="218"/>
      <c r="N71" s="219"/>
      <c r="O71" s="219"/>
      <c r="P71" s="220"/>
      <c r="Q71" s="176">
        <v>32.432025000000003</v>
      </c>
      <c r="R71" s="176">
        <v>32.76408</v>
      </c>
      <c r="S71" s="176">
        <v>32.76408</v>
      </c>
      <c r="T71" s="176">
        <v>32.76408</v>
      </c>
      <c r="U71" s="176">
        <v>32.76408</v>
      </c>
      <c r="V71" s="176">
        <v>32.76408</v>
      </c>
      <c r="W71" s="176"/>
      <c r="X71" s="176"/>
      <c r="Y71" s="176"/>
      <c r="Z71" s="176"/>
      <c r="AA71" s="176">
        <v>32.76408</v>
      </c>
      <c r="AB71" s="176"/>
      <c r="AC71" s="176"/>
      <c r="AD71" s="176"/>
      <c r="AE71" s="176"/>
      <c r="AF71" s="176">
        <v>32.76408</v>
      </c>
      <c r="AG71" s="176"/>
      <c r="AH71" s="176"/>
      <c r="AI71" s="176"/>
      <c r="AJ71" s="176"/>
      <c r="AK71" s="176">
        <v>32.76408</v>
      </c>
      <c r="AL71" s="176">
        <v>32.76408</v>
      </c>
      <c r="AM71" s="176">
        <v>32.76408</v>
      </c>
      <c r="AN71" s="176"/>
      <c r="AO71" s="176"/>
      <c r="AP71" s="176"/>
      <c r="AQ71" s="176"/>
      <c r="AR71" s="176"/>
      <c r="AS71" s="176"/>
      <c r="AT71" s="176"/>
      <c r="AU71" s="176"/>
      <c r="AV71" s="176"/>
      <c r="AW71" s="176"/>
      <c r="AX71" s="176"/>
      <c r="BA71" s="71"/>
    </row>
    <row r="72" spans="2:53" hidden="1" outlineLevel="1">
      <c r="B72" s="229" t="s">
        <v>343</v>
      </c>
      <c r="C72" s="193"/>
      <c r="D72" s="176"/>
      <c r="E72" s="176"/>
      <c r="F72" s="176"/>
      <c r="G72" s="176" t="s">
        <v>345</v>
      </c>
      <c r="H72" s="218" t="s">
        <v>345</v>
      </c>
      <c r="I72" s="219" t="s">
        <v>345</v>
      </c>
      <c r="J72" s="219" t="s">
        <v>345</v>
      </c>
      <c r="K72" s="220" t="s">
        <v>345</v>
      </c>
      <c r="L72" s="176" t="s">
        <v>345</v>
      </c>
      <c r="M72" s="218" t="s">
        <v>345</v>
      </c>
      <c r="N72" s="219" t="s">
        <v>345</v>
      </c>
      <c r="O72" s="219" t="s">
        <v>345</v>
      </c>
      <c r="P72" s="220" t="s">
        <v>345</v>
      </c>
      <c r="Q72" s="176" t="s">
        <v>345</v>
      </c>
      <c r="R72" s="176" t="s">
        <v>345</v>
      </c>
      <c r="S72" s="176" t="s">
        <v>345</v>
      </c>
      <c r="T72" s="176" t="s">
        <v>345</v>
      </c>
      <c r="U72" s="176" t="s">
        <v>345</v>
      </c>
      <c r="V72" s="176" t="s">
        <v>345</v>
      </c>
      <c r="W72" s="176"/>
      <c r="X72" s="176"/>
      <c r="Y72" s="176"/>
      <c r="Z72" s="176"/>
      <c r="AA72" s="176" t="s">
        <v>345</v>
      </c>
      <c r="AB72" s="176"/>
      <c r="AC72" s="176"/>
      <c r="AD72" s="176"/>
      <c r="AE72" s="176"/>
      <c r="AF72" s="176" t="s">
        <v>345</v>
      </c>
      <c r="AG72" s="176"/>
      <c r="AH72" s="176"/>
      <c r="AI72" s="176"/>
      <c r="AJ72" s="176"/>
      <c r="AK72" s="176" t="s">
        <v>345</v>
      </c>
      <c r="AL72" s="176" t="s">
        <v>345</v>
      </c>
      <c r="AM72" s="176" t="s">
        <v>345</v>
      </c>
      <c r="AN72" s="176"/>
      <c r="AO72" s="176"/>
      <c r="AP72" s="176"/>
      <c r="AQ72" s="176"/>
      <c r="AR72" s="176"/>
      <c r="AS72" s="176"/>
      <c r="AT72" s="176"/>
      <c r="AU72" s="176"/>
      <c r="AV72" s="176"/>
      <c r="AW72" s="176"/>
      <c r="AX72" s="176"/>
      <c r="BA72" s="71"/>
    </row>
    <row r="73" spans="2:53" hidden="1" outlineLevel="1">
      <c r="B73" s="229" t="s">
        <v>344</v>
      </c>
      <c r="C73" s="193"/>
      <c r="D73" s="176"/>
      <c r="E73" s="176"/>
      <c r="F73" s="176"/>
      <c r="G73" s="176" t="s">
        <v>345</v>
      </c>
      <c r="H73" s="218" t="s">
        <v>345</v>
      </c>
      <c r="I73" s="219" t="s">
        <v>345</v>
      </c>
      <c r="J73" s="219" t="s">
        <v>345</v>
      </c>
      <c r="K73" s="220" t="s">
        <v>345</v>
      </c>
      <c r="L73" s="176" t="s">
        <v>345</v>
      </c>
      <c r="M73" s="218" t="s">
        <v>345</v>
      </c>
      <c r="N73" s="219" t="s">
        <v>345</v>
      </c>
      <c r="O73" s="219" t="s">
        <v>345</v>
      </c>
      <c r="P73" s="220" t="s">
        <v>345</v>
      </c>
      <c r="Q73" s="176" t="s">
        <v>345</v>
      </c>
      <c r="R73" s="176" t="s">
        <v>345</v>
      </c>
      <c r="S73" s="176" t="s">
        <v>345</v>
      </c>
      <c r="T73" s="176" t="s">
        <v>345</v>
      </c>
      <c r="U73" s="176" t="s">
        <v>345</v>
      </c>
      <c r="V73" s="176" t="s">
        <v>345</v>
      </c>
      <c r="W73" s="176"/>
      <c r="X73" s="176"/>
      <c r="Y73" s="176"/>
      <c r="Z73" s="176"/>
      <c r="AA73" s="176" t="s">
        <v>345</v>
      </c>
      <c r="AB73" s="176"/>
      <c r="AC73" s="176"/>
      <c r="AD73" s="176"/>
      <c r="AE73" s="176"/>
      <c r="AF73" s="176" t="s">
        <v>345</v>
      </c>
      <c r="AG73" s="176"/>
      <c r="AH73" s="176"/>
      <c r="AI73" s="176"/>
      <c r="AJ73" s="176"/>
      <c r="AK73" s="176" t="s">
        <v>345</v>
      </c>
      <c r="AL73" s="176" t="s">
        <v>345</v>
      </c>
      <c r="AM73" s="176" t="s">
        <v>345</v>
      </c>
      <c r="AN73" s="176"/>
      <c r="AO73" s="176"/>
      <c r="AP73" s="176"/>
      <c r="AQ73" s="176"/>
      <c r="AR73" s="176"/>
      <c r="AS73" s="176"/>
      <c r="AT73" s="176"/>
      <c r="AU73" s="176"/>
      <c r="AV73" s="176"/>
      <c r="AW73" s="176"/>
      <c r="AX73" s="176"/>
      <c r="BA73" s="71"/>
    </row>
    <row r="74" spans="2:53" hidden="1" outlineLevel="1">
      <c r="B74" s="229" t="s">
        <v>346</v>
      </c>
      <c r="C74" s="193"/>
      <c r="D74" s="176"/>
      <c r="E74" s="176"/>
      <c r="F74" s="176"/>
      <c r="G74" s="176">
        <f>G50-G47</f>
        <v>-32582</v>
      </c>
      <c r="H74" s="218">
        <f t="shared" ref="H74:AM74" si="67">H50-H47</f>
        <v>1647</v>
      </c>
      <c r="I74" s="219">
        <f t="shared" si="67"/>
        <v>13078</v>
      </c>
      <c r="J74" s="219">
        <f t="shared" si="67"/>
        <v>-18513</v>
      </c>
      <c r="K74" s="220">
        <f t="shared" si="67"/>
        <v>-18110</v>
      </c>
      <c r="L74" s="176">
        <f t="shared" si="67"/>
        <v>-19133</v>
      </c>
      <c r="M74" s="218">
        <f t="shared" si="67"/>
        <v>-9120</v>
      </c>
      <c r="N74" s="219">
        <f t="shared" si="67"/>
        <v>-16550</v>
      </c>
      <c r="O74" s="219">
        <f t="shared" si="67"/>
        <v>-7972</v>
      </c>
      <c r="P74" s="220">
        <f t="shared" si="67"/>
        <v>-17617</v>
      </c>
      <c r="Q74" s="176">
        <f t="shared" si="67"/>
        <v>-51259</v>
      </c>
      <c r="R74" s="176">
        <f t="shared" si="67"/>
        <v>-14574</v>
      </c>
      <c r="S74" s="176">
        <f t="shared" si="67"/>
        <v>-10383</v>
      </c>
      <c r="T74" s="176">
        <f t="shared" si="67"/>
        <v>-11858</v>
      </c>
      <c r="U74" s="176">
        <f t="shared" si="67"/>
        <v>-27082</v>
      </c>
      <c r="V74" s="176">
        <f t="shared" si="67"/>
        <v>-63897</v>
      </c>
      <c r="W74" s="176"/>
      <c r="X74" s="176"/>
      <c r="Y74" s="176"/>
      <c r="Z74" s="176"/>
      <c r="AA74" s="176">
        <f t="shared" si="67"/>
        <v>-57012</v>
      </c>
      <c r="AB74" s="176"/>
      <c r="AC74" s="176"/>
      <c r="AD74" s="176"/>
      <c r="AE74" s="176"/>
      <c r="AF74" s="176">
        <f t="shared" si="67"/>
        <v>-108453</v>
      </c>
      <c r="AG74" s="176"/>
      <c r="AH74" s="176"/>
      <c r="AI74" s="176"/>
      <c r="AJ74" s="176"/>
      <c r="AK74" s="176">
        <f t="shared" si="67"/>
        <v>-142650</v>
      </c>
      <c r="AL74" s="176">
        <f t="shared" si="67"/>
        <v>-13580.083640000666</v>
      </c>
      <c r="AM74" s="176">
        <f t="shared" si="67"/>
        <v>-74854.082830654399</v>
      </c>
      <c r="AN74" s="176"/>
      <c r="AO74" s="176"/>
      <c r="AP74" s="176"/>
      <c r="AQ74" s="176"/>
      <c r="AR74" s="176"/>
      <c r="AS74" s="176"/>
      <c r="AT74" s="176"/>
      <c r="AU74" s="176"/>
      <c r="AV74" s="176"/>
      <c r="AW74" s="176"/>
      <c r="AX74" s="176"/>
      <c r="BA74" s="71"/>
    </row>
    <row r="75" spans="2:53" hidden="1" outlineLevel="1">
      <c r="B75" s="229" t="s">
        <v>347</v>
      </c>
      <c r="C75" s="193"/>
      <c r="D75" s="176"/>
      <c r="E75" s="176"/>
      <c r="F75" s="176"/>
      <c r="G75" s="176">
        <f>'XLRN - CFS'!G36+'XLRN - CFS'!G37+'XLRN - CFS'!G39+'XLRN - CFS'!G40</f>
        <v>155</v>
      </c>
      <c r="H75" s="219"/>
      <c r="I75" s="219"/>
      <c r="J75" s="219"/>
      <c r="K75" s="219"/>
      <c r="L75" s="176">
        <f>'XLRN - CFS'!H36+'XLRN - CFS'!H37+'XLRN - CFS'!H39+'XLRN - CFS'!H40</f>
        <v>97178</v>
      </c>
      <c r="M75" s="219"/>
      <c r="N75" s="219"/>
      <c r="O75" s="219"/>
      <c r="P75" s="219"/>
      <c r="Q75" s="176">
        <f>'XLRN - CFS'!M36+'XLRN - CFS'!M37+'XLRN - CFS'!M39+'XLRN - CFS'!M40</f>
        <v>133362</v>
      </c>
      <c r="R75" s="176"/>
      <c r="S75" s="176"/>
      <c r="T75" s="176"/>
      <c r="U75" s="176"/>
      <c r="V75" s="176">
        <f>'XLRN - CFS'!N36+'XLRN - CFS'!N37+'XLRN - CFS'!N39+'XLRN - CFS'!N40</f>
        <v>7241.7599999999993</v>
      </c>
      <c r="W75" s="176"/>
      <c r="X75" s="176"/>
      <c r="Y75" s="176"/>
      <c r="Z75" s="176"/>
      <c r="AA75" s="176">
        <f>'XLRN - CFS'!O36+'XLRN - CFS'!O37+'XLRN - CFS'!O39+'XLRN - CFS'!O40</f>
        <v>149810.66712</v>
      </c>
      <c r="AB75" s="176"/>
      <c r="AC75" s="176"/>
      <c r="AD75" s="176"/>
      <c r="AE75" s="176"/>
      <c r="AF75" s="176">
        <f>'XLRN - CFS'!P36+'XLRN - CFS'!P37+'XLRN - CFS'!P39+'XLRN - CFS'!P40</f>
        <v>227488.04856304001</v>
      </c>
      <c r="AG75" s="176"/>
      <c r="AH75" s="176"/>
      <c r="AI75" s="176"/>
      <c r="AJ75" s="176"/>
      <c r="AK75" s="176">
        <f>'XLRN - CFS'!Q36+'XLRN - CFS'!Q37+'XLRN - CFS'!Q39+'XLRN - CFS'!Q40</f>
        <v>8652.8084518255455</v>
      </c>
      <c r="AL75" s="176">
        <f>'XLRN - CFS'!R36+'XLRN - CFS'!R37+'XLRN - CFS'!R39+'XLRN - CFS'!R40</f>
        <v>9900.9760710013798</v>
      </c>
      <c r="AM75" s="176">
        <f>'XLRN - CFS'!S36+'XLRN - CFS'!S37+'XLRN - CFS'!S39+'XLRN - CFS'!S40</f>
        <v>11215.330644426811</v>
      </c>
      <c r="AN75" s="176"/>
      <c r="AO75" s="176"/>
      <c r="AP75" s="176"/>
      <c r="AQ75" s="176"/>
      <c r="AR75" s="176"/>
      <c r="AS75" s="176"/>
      <c r="AT75" s="176"/>
      <c r="AU75" s="176"/>
      <c r="AV75" s="176"/>
      <c r="AW75" s="176"/>
      <c r="AX75" s="176"/>
      <c r="BA75" s="71"/>
    </row>
    <row r="76" spans="2:53" collapsed="1"/>
    <row r="77" spans="2:53" customFormat="1" hidden="1" outlineLevel="1"/>
    <row r="78" spans="2:53" collapsed="1"/>
    <row r="90" spans="29:29">
      <c r="AC90" s="69"/>
    </row>
  </sheetData>
  <mergeCells count="8">
    <mergeCell ref="AG56:AJ56"/>
    <mergeCell ref="M11:P11"/>
    <mergeCell ref="H11:K11"/>
    <mergeCell ref="AB56:AE56"/>
    <mergeCell ref="W56:Z56"/>
    <mergeCell ref="M56:P56"/>
    <mergeCell ref="R56:U56"/>
    <mergeCell ref="H56:K56"/>
  </mergeCells>
  <pageMargins left="0" right="0" top="0" bottom="0" header="0" footer="0"/>
  <pageSetup paperSize="5" scale="90" orientation="landscape" r:id="rId1"/>
  <ignoredErrors>
    <ignoredError sqref="Q34 Q26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2"/>
  <sheetViews>
    <sheetView workbookViewId="0"/>
  </sheetViews>
  <sheetFormatPr defaultRowHeight="15"/>
  <sheetData>
    <row r="1" spans="1:6">
      <c r="A1" t="s">
        <v>354</v>
      </c>
    </row>
    <row r="2" spans="1:6">
      <c r="A2" s="424" t="s">
        <v>352</v>
      </c>
      <c r="B2" s="424" t="s">
        <v>498</v>
      </c>
      <c r="C2" s="424" t="s">
        <v>353</v>
      </c>
      <c r="D2" s="424" t="s">
        <v>530</v>
      </c>
      <c r="E2" s="424" t="s">
        <v>351</v>
      </c>
      <c r="F2" s="424" t="s">
        <v>337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B1:AO147"/>
  <sheetViews>
    <sheetView showGridLines="0" zoomScale="85" zoomScaleNormal="85" workbookViewId="0"/>
  </sheetViews>
  <sheetFormatPr defaultColWidth="8.85546875" defaultRowHeight="15" outlineLevelRow="1" outlineLevelCol="1"/>
  <cols>
    <col min="1" max="1" width="1.7109375" style="167" customWidth="1"/>
    <col min="2" max="2" width="45.7109375" style="167" customWidth="1"/>
    <col min="3" max="5" width="11.28515625" style="167" hidden="1" customWidth="1" outlineLevel="1"/>
    <col min="6" max="6" width="11.28515625" style="167" hidden="1" customWidth="1" outlineLevel="1" collapsed="1"/>
    <col min="7" max="7" width="11.28515625" style="167" customWidth="1" collapsed="1"/>
    <col min="8" max="11" width="11.28515625" style="167" hidden="1" customWidth="1" outlineLevel="1"/>
    <col min="12" max="12" width="11.28515625" style="167" customWidth="1" collapsed="1"/>
    <col min="13" max="28" width="11.28515625" style="167" customWidth="1"/>
    <col min="29" max="30" width="9.5703125" style="167" bestFit="1" customWidth="1"/>
    <col min="31" max="31" width="8.85546875" style="167" customWidth="1"/>
    <col min="32" max="32" width="8.85546875" style="30" customWidth="1"/>
    <col min="33" max="33" width="26.140625" customWidth="1"/>
    <col min="39" max="16384" width="8.85546875" style="167"/>
  </cols>
  <sheetData>
    <row r="1" spans="2:41" ht="9" customHeight="1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214"/>
      <c r="AD1" s="214"/>
      <c r="AE1" s="214"/>
      <c r="AM1" s="418"/>
      <c r="AN1" s="215"/>
      <c r="AO1" s="215"/>
    </row>
    <row r="2" spans="2:41" ht="16.5">
      <c r="B2" s="523" t="s">
        <v>486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428"/>
      <c r="T2" s="428"/>
      <c r="U2" s="428"/>
      <c r="V2" s="428"/>
      <c r="W2" s="428"/>
      <c r="X2" s="428"/>
      <c r="Y2" s="428"/>
      <c r="Z2" s="428"/>
      <c r="AA2" s="428"/>
      <c r="AB2" s="428"/>
      <c r="AC2" s="216"/>
      <c r="AD2" s="216"/>
      <c r="AE2" s="216"/>
      <c r="AF2" s="419"/>
      <c r="AM2" s="216"/>
      <c r="AN2" s="217"/>
      <c r="AO2" s="217"/>
    </row>
    <row r="3" spans="2:41" ht="9.9499999999999993" customHeight="1">
      <c r="B3" s="14"/>
      <c r="C3" s="12"/>
      <c r="D3" s="12"/>
      <c r="E3" s="12"/>
      <c r="F3" s="12"/>
      <c r="G3" s="12"/>
      <c r="H3" s="14"/>
      <c r="I3" s="14"/>
      <c r="J3" s="14"/>
      <c r="K3" s="14"/>
      <c r="L3" s="12"/>
      <c r="M3" s="12"/>
      <c r="N3" s="12"/>
      <c r="O3" s="12"/>
      <c r="P3" s="12"/>
      <c r="Q3" s="12"/>
      <c r="R3" s="12"/>
      <c r="S3" s="14"/>
      <c r="T3" s="14"/>
      <c r="U3" s="14"/>
      <c r="V3" s="14"/>
      <c r="W3" s="14"/>
      <c r="X3" s="14"/>
      <c r="Y3" s="14"/>
      <c r="Z3" s="14"/>
      <c r="AA3" s="14"/>
      <c r="AB3" s="14"/>
      <c r="AC3" s="316"/>
      <c r="AD3" s="316"/>
      <c r="AE3" s="316"/>
      <c r="AF3" s="316"/>
      <c r="AM3" s="265"/>
      <c r="AN3" s="265"/>
      <c r="AO3" s="265"/>
    </row>
    <row r="4" spans="2:41">
      <c r="B4" s="511" t="s">
        <v>22</v>
      </c>
      <c r="C4" s="201" t="s">
        <v>446</v>
      </c>
      <c r="D4" s="201" t="s">
        <v>447</v>
      </c>
      <c r="E4" s="201" t="s">
        <v>24</v>
      </c>
      <c r="F4" s="566" t="s">
        <v>25</v>
      </c>
      <c r="G4" s="566" t="s">
        <v>26</v>
      </c>
      <c r="H4" s="549" t="s">
        <v>8</v>
      </c>
      <c r="I4" s="550" t="s">
        <v>217</v>
      </c>
      <c r="J4" s="550" t="s">
        <v>223</v>
      </c>
      <c r="K4" s="551" t="s">
        <v>305</v>
      </c>
      <c r="L4" s="566" t="s">
        <v>434</v>
      </c>
      <c r="M4" s="566" t="s">
        <v>27</v>
      </c>
      <c r="N4" s="566" t="s">
        <v>28</v>
      </c>
      <c r="O4" s="566" t="s">
        <v>29</v>
      </c>
      <c r="P4" s="566" t="s">
        <v>30</v>
      </c>
      <c r="Q4" s="566" t="s">
        <v>31</v>
      </c>
      <c r="R4" s="566" t="s">
        <v>32</v>
      </c>
      <c r="S4" s="566" t="s">
        <v>435</v>
      </c>
      <c r="T4" s="566" t="s">
        <v>436</v>
      </c>
      <c r="U4" s="566" t="s">
        <v>437</v>
      </c>
      <c r="V4" s="566" t="s">
        <v>438</v>
      </c>
      <c r="W4" s="566" t="s">
        <v>439</v>
      </c>
      <c r="X4" s="566" t="s">
        <v>440</v>
      </c>
      <c r="Y4" s="566" t="s">
        <v>441</v>
      </c>
      <c r="Z4" s="566" t="s">
        <v>442</v>
      </c>
      <c r="AA4" s="566" t="s">
        <v>443</v>
      </c>
      <c r="AB4" s="566" t="s">
        <v>444</v>
      </c>
      <c r="AC4" s="174"/>
      <c r="AE4" s="174"/>
      <c r="AF4" s="420"/>
      <c r="AM4" s="174"/>
      <c r="AN4" s="174"/>
      <c r="AO4" s="174"/>
    </row>
    <row r="5" spans="2:41">
      <c r="B5" s="509" t="s">
        <v>235</v>
      </c>
      <c r="C5" s="202"/>
      <c r="D5" s="202"/>
      <c r="E5" s="202">
        <v>65037</v>
      </c>
      <c r="F5" s="567">
        <v>39611</v>
      </c>
      <c r="G5" s="567">
        <v>113163</v>
      </c>
      <c r="H5" s="568">
        <v>214135</v>
      </c>
      <c r="I5" s="557">
        <v>204250</v>
      </c>
      <c r="J5" s="557">
        <f>'XLRN - CFS'!K46</f>
        <v>189256</v>
      </c>
      <c r="K5" s="555">
        <v>176460</v>
      </c>
      <c r="L5" s="552">
        <f>K5</f>
        <v>176460</v>
      </c>
      <c r="M5" s="552">
        <f>'XLRN - CFS'!N46</f>
        <v>127135.88</v>
      </c>
      <c r="N5" s="552">
        <f>'XLRN - CFS'!O46</f>
        <v>239131.45212</v>
      </c>
      <c r="O5" s="552">
        <f>'XLRN - CFS'!P46</f>
        <v>385149.36818304006</v>
      </c>
      <c r="P5" s="552">
        <f>'XLRN - CFS'!Q46</f>
        <v>276566.12913486559</v>
      </c>
      <c r="Q5" s="552">
        <f>'XLRN - CFS'!R46</f>
        <v>298249.3001363714</v>
      </c>
      <c r="R5" s="552">
        <f>'XLRN - CFS'!S46</f>
        <v>270799.96828099049</v>
      </c>
      <c r="S5" s="552">
        <f>'XLRN - CFS'!T46</f>
        <v>268588.5690119231</v>
      </c>
      <c r="T5" s="552">
        <f>'XLRN - CFS'!U46</f>
        <v>323195.84433445282</v>
      </c>
      <c r="U5" s="552">
        <f>'XLRN - CFS'!V46</f>
        <v>397574.51014898659</v>
      </c>
      <c r="V5" s="552">
        <f>'XLRN - CFS'!W46</f>
        <v>495667.80901097803</v>
      </c>
      <c r="W5" s="552">
        <f>'XLRN - CFS'!X46</f>
        <v>591604.73202878237</v>
      </c>
      <c r="X5" s="552">
        <f>'XLRN - CFS'!Y46</f>
        <v>701451.87981194805</v>
      </c>
      <c r="Y5" s="552">
        <f>'XLRN - CFS'!Z46</f>
        <v>803825.66092620802</v>
      </c>
      <c r="Z5" s="552">
        <f>'XLRN - CFS'!AA46</f>
        <v>903173.58250139281</v>
      </c>
      <c r="AA5" s="552">
        <f>'XLRN - CFS'!AB46</f>
        <v>1007162.8300334475</v>
      </c>
      <c r="AB5" s="552">
        <f>'XLRN - CFS'!AC46</f>
        <v>1110759.1748574118</v>
      </c>
    </row>
    <row r="6" spans="2:41">
      <c r="B6" s="509" t="s">
        <v>236</v>
      </c>
      <c r="C6" s="202"/>
      <c r="D6" s="202"/>
      <c r="E6" s="202">
        <v>1660</v>
      </c>
      <c r="F6" s="567">
        <v>2776</v>
      </c>
      <c r="G6" s="567">
        <v>3616</v>
      </c>
      <c r="H6" s="568">
        <v>2633</v>
      </c>
      <c r="I6" s="569">
        <v>3731</v>
      </c>
      <c r="J6" s="569">
        <v>3228</v>
      </c>
      <c r="K6" s="570">
        <v>3367</v>
      </c>
      <c r="L6" s="567">
        <f>K6</f>
        <v>3367</v>
      </c>
      <c r="M6" s="567">
        <v>3000</v>
      </c>
      <c r="N6" s="567">
        <f t="shared" ref="N6:AB6" si="0">M6</f>
        <v>3000</v>
      </c>
      <c r="O6" s="567">
        <f t="shared" si="0"/>
        <v>3000</v>
      </c>
      <c r="P6" s="567">
        <f t="shared" si="0"/>
        <v>3000</v>
      </c>
      <c r="Q6" s="567">
        <f t="shared" si="0"/>
        <v>3000</v>
      </c>
      <c r="R6" s="567">
        <f t="shared" si="0"/>
        <v>3000</v>
      </c>
      <c r="S6" s="567">
        <f t="shared" si="0"/>
        <v>3000</v>
      </c>
      <c r="T6" s="567">
        <f t="shared" si="0"/>
        <v>3000</v>
      </c>
      <c r="U6" s="567">
        <f t="shared" si="0"/>
        <v>3000</v>
      </c>
      <c r="V6" s="567">
        <f t="shared" si="0"/>
        <v>3000</v>
      </c>
      <c r="W6" s="567">
        <f t="shared" si="0"/>
        <v>3000</v>
      </c>
      <c r="X6" s="567">
        <f t="shared" si="0"/>
        <v>3000</v>
      </c>
      <c r="Y6" s="567">
        <f t="shared" si="0"/>
        <v>3000</v>
      </c>
      <c r="Z6" s="567">
        <f t="shared" si="0"/>
        <v>3000</v>
      </c>
      <c r="AA6" s="567">
        <f t="shared" si="0"/>
        <v>3000</v>
      </c>
      <c r="AB6" s="567">
        <f t="shared" si="0"/>
        <v>3000</v>
      </c>
    </row>
    <row r="7" spans="2:41">
      <c r="B7" s="509" t="s">
        <v>370</v>
      </c>
      <c r="C7" s="202"/>
      <c r="D7" s="202"/>
      <c r="E7" s="203">
        <v>0</v>
      </c>
      <c r="F7" s="552">
        <v>0</v>
      </c>
      <c r="G7" s="552">
        <v>0</v>
      </c>
      <c r="H7" s="556"/>
      <c r="I7" s="557"/>
      <c r="J7" s="557"/>
      <c r="K7" s="555"/>
      <c r="L7" s="552">
        <v>0</v>
      </c>
      <c r="M7" s="552">
        <f t="shared" ref="M7:R7" si="1">M59</f>
        <v>0</v>
      </c>
      <c r="N7" s="552">
        <f t="shared" si="1"/>
        <v>0</v>
      </c>
      <c r="O7" s="552">
        <f t="shared" si="1"/>
        <v>0</v>
      </c>
      <c r="P7" s="552">
        <f t="shared" si="1"/>
        <v>0</v>
      </c>
      <c r="Q7" s="552">
        <f t="shared" si="1"/>
        <v>0</v>
      </c>
      <c r="R7" s="567">
        <f t="shared" si="1"/>
        <v>0</v>
      </c>
      <c r="S7" s="567">
        <f t="shared" ref="S7:AB7" si="2">S59</f>
        <v>0</v>
      </c>
      <c r="T7" s="567">
        <f t="shared" si="2"/>
        <v>0</v>
      </c>
      <c r="U7" s="567">
        <f t="shared" si="2"/>
        <v>0</v>
      </c>
      <c r="V7" s="567">
        <f t="shared" si="2"/>
        <v>0</v>
      </c>
      <c r="W7" s="567">
        <f t="shared" si="2"/>
        <v>0</v>
      </c>
      <c r="X7" s="567">
        <f t="shared" si="2"/>
        <v>0</v>
      </c>
      <c r="Y7" s="567">
        <f t="shared" si="2"/>
        <v>0</v>
      </c>
      <c r="Z7" s="567">
        <f t="shared" si="2"/>
        <v>0</v>
      </c>
      <c r="AA7" s="567">
        <f t="shared" si="2"/>
        <v>0</v>
      </c>
      <c r="AB7" s="567">
        <f t="shared" si="2"/>
        <v>0</v>
      </c>
    </row>
    <row r="8" spans="2:41">
      <c r="B8" s="509" t="s">
        <v>237</v>
      </c>
      <c r="C8" s="202"/>
      <c r="D8" s="202"/>
      <c r="E8" s="202">
        <v>1044</v>
      </c>
      <c r="F8" s="567">
        <v>1474</v>
      </c>
      <c r="G8" s="567">
        <v>2243</v>
      </c>
      <c r="H8" s="568">
        <v>1685</v>
      </c>
      <c r="I8" s="569">
        <v>2180</v>
      </c>
      <c r="J8" s="569">
        <v>3947</v>
      </c>
      <c r="K8" s="570">
        <v>2480</v>
      </c>
      <c r="L8" s="567">
        <f>K8</f>
        <v>2480</v>
      </c>
      <c r="M8" s="567">
        <f t="shared" ref="M8:R8" si="3">M57</f>
        <v>1809.6000000000001</v>
      </c>
      <c r="N8" s="567">
        <f t="shared" si="3"/>
        <v>2777.1000000000004</v>
      </c>
      <c r="O8" s="567">
        <f t="shared" si="3"/>
        <v>1348.1000000000001</v>
      </c>
      <c r="P8" s="567">
        <f t="shared" si="3"/>
        <v>1348.1000000000001</v>
      </c>
      <c r="Q8" s="567">
        <f t="shared" si="3"/>
        <v>11913.428429494903</v>
      </c>
      <c r="R8" s="567">
        <f t="shared" si="3"/>
        <v>8239.7870486481916</v>
      </c>
      <c r="S8" s="567">
        <f t="shared" ref="S8:AB8" si="4">S57</f>
        <v>9606.4471533530595</v>
      </c>
      <c r="T8" s="567">
        <f t="shared" si="4"/>
        <v>14770.436954136301</v>
      </c>
      <c r="U8" s="567">
        <f t="shared" si="4"/>
        <v>17708.668092594751</v>
      </c>
      <c r="V8" s="567">
        <f t="shared" si="4"/>
        <v>22664.573600747535</v>
      </c>
      <c r="W8" s="567">
        <f t="shared" si="4"/>
        <v>25135.928987757165</v>
      </c>
      <c r="X8" s="567">
        <f t="shared" si="4"/>
        <v>29136.935043991154</v>
      </c>
      <c r="Y8" s="567">
        <f t="shared" si="4"/>
        <v>31213.815462142422</v>
      </c>
      <c r="Z8" s="567">
        <f t="shared" si="4"/>
        <v>34259.507867821252</v>
      </c>
      <c r="AA8" s="567">
        <f t="shared" si="4"/>
        <v>37357.281021357354</v>
      </c>
      <c r="AB8" s="567">
        <f t="shared" si="4"/>
        <v>39798.807797957823</v>
      </c>
    </row>
    <row r="9" spans="2:41">
      <c r="B9" s="512" t="s">
        <v>238</v>
      </c>
      <c r="C9" s="204"/>
      <c r="D9" s="204"/>
      <c r="E9" s="205">
        <f>SUM(E5:E8)</f>
        <v>67741</v>
      </c>
      <c r="F9" s="571">
        <f>SUM(F5:F8)</f>
        <v>43861</v>
      </c>
      <c r="G9" s="571">
        <f>SUM(G5:G8)</f>
        <v>119022</v>
      </c>
      <c r="H9" s="572">
        <f>H5+H6+H7+H8</f>
        <v>218453</v>
      </c>
      <c r="I9" s="573">
        <f>I5+I6+I7+I8</f>
        <v>210161</v>
      </c>
      <c r="J9" s="573">
        <f>J5+J6+J7+J8</f>
        <v>196431</v>
      </c>
      <c r="K9" s="574">
        <f>K5+K6+K7+K8</f>
        <v>182307</v>
      </c>
      <c r="L9" s="571">
        <f>L5+L6+L7+L8</f>
        <v>182307</v>
      </c>
      <c r="M9" s="571">
        <f t="shared" ref="M9:R9" si="5">SUM(M5:M8)</f>
        <v>131945.48000000001</v>
      </c>
      <c r="N9" s="571">
        <f t="shared" si="5"/>
        <v>244908.55212000001</v>
      </c>
      <c r="O9" s="571">
        <f t="shared" si="5"/>
        <v>389497.46818304004</v>
      </c>
      <c r="P9" s="571">
        <f t="shared" si="5"/>
        <v>280914.22913486557</v>
      </c>
      <c r="Q9" s="571">
        <f t="shared" si="5"/>
        <v>313162.7285658663</v>
      </c>
      <c r="R9" s="571">
        <f t="shared" si="5"/>
        <v>282039.75532963866</v>
      </c>
      <c r="S9" s="571">
        <f t="shared" ref="S9:AB9" si="6">SUM(S5:S8)</f>
        <v>281195.01616527617</v>
      </c>
      <c r="T9" s="571">
        <f t="shared" si="6"/>
        <v>340966.28128858912</v>
      </c>
      <c r="U9" s="571">
        <f t="shared" si="6"/>
        <v>418283.17824158137</v>
      </c>
      <c r="V9" s="571">
        <f t="shared" si="6"/>
        <v>521332.3826117256</v>
      </c>
      <c r="W9" s="571">
        <f t="shared" si="6"/>
        <v>619740.66101653955</v>
      </c>
      <c r="X9" s="571">
        <f t="shared" si="6"/>
        <v>733588.81485593924</v>
      </c>
      <c r="Y9" s="571">
        <f t="shared" si="6"/>
        <v>838039.47638835048</v>
      </c>
      <c r="Z9" s="571">
        <f t="shared" si="6"/>
        <v>940433.09036921407</v>
      </c>
      <c r="AA9" s="571">
        <f t="shared" si="6"/>
        <v>1047520.1110548049</v>
      </c>
      <c r="AB9" s="571">
        <f t="shared" si="6"/>
        <v>1153557.9826553697</v>
      </c>
      <c r="AC9" s="206"/>
      <c r="AD9" s="206"/>
      <c r="AE9" s="206"/>
      <c r="AF9" s="421"/>
      <c r="AM9" s="206"/>
      <c r="AN9" s="206"/>
      <c r="AO9" s="206"/>
    </row>
    <row r="10" spans="2:41">
      <c r="B10" s="510" t="s">
        <v>239</v>
      </c>
      <c r="C10" s="202"/>
      <c r="D10" s="202"/>
      <c r="E10" s="202">
        <v>4911</v>
      </c>
      <c r="F10" s="567">
        <v>4059</v>
      </c>
      <c r="G10" s="567">
        <v>3705</v>
      </c>
      <c r="H10" s="568">
        <v>3674</v>
      </c>
      <c r="I10" s="569">
        <v>3581</v>
      </c>
      <c r="J10" s="569">
        <v>3379</v>
      </c>
      <c r="K10" s="570">
        <v>3087</v>
      </c>
      <c r="L10" s="567">
        <f>K10</f>
        <v>3087</v>
      </c>
      <c r="M10" s="567">
        <f t="shared" ref="M10:R10" si="7">M73</f>
        <v>2549.75</v>
      </c>
      <c r="N10" s="567">
        <f t="shared" si="7"/>
        <v>2219.125</v>
      </c>
      <c r="O10" s="567">
        <f t="shared" si="7"/>
        <v>1936.3374999999999</v>
      </c>
      <c r="P10" s="567">
        <f t="shared" si="7"/>
        <v>1631.7049999999999</v>
      </c>
      <c r="Q10" s="567">
        <f t="shared" si="7"/>
        <v>1204.098</v>
      </c>
      <c r="R10" s="567">
        <f t="shared" si="7"/>
        <v>718.31905000000006</v>
      </c>
      <c r="S10" s="567">
        <f t="shared" ref="S10:AB10" si="8">S73</f>
        <v>226.37595500000043</v>
      </c>
      <c r="T10" s="567">
        <f t="shared" si="8"/>
        <v>-144.71231174999957</v>
      </c>
      <c r="U10" s="567">
        <f t="shared" si="8"/>
        <v>-399.36927601249954</v>
      </c>
      <c r="V10" s="567">
        <f t="shared" si="8"/>
        <v>-544.93716741437493</v>
      </c>
      <c r="W10" s="567">
        <f t="shared" si="8"/>
        <v>-592.34024252653126</v>
      </c>
      <c r="X10" s="567">
        <f t="shared" si="8"/>
        <v>-526.85377890551081</v>
      </c>
      <c r="Y10" s="567">
        <f t="shared" si="8"/>
        <v>-331.54434574133757</v>
      </c>
      <c r="Z10" s="567">
        <f t="shared" si="8"/>
        <v>13.061502397461481</v>
      </c>
      <c r="AA10" s="567">
        <f t="shared" si="8"/>
        <v>529.35822775707948</v>
      </c>
      <c r="AB10" s="567">
        <f t="shared" si="8"/>
        <v>1243.0994619206394</v>
      </c>
    </row>
    <row r="11" spans="2:41">
      <c r="B11" s="510" t="s">
        <v>240</v>
      </c>
      <c r="C11" s="202"/>
      <c r="D11" s="202"/>
      <c r="E11" s="202">
        <v>912</v>
      </c>
      <c r="F11" s="567">
        <v>913</v>
      </c>
      <c r="G11" s="567">
        <v>913</v>
      </c>
      <c r="H11" s="568">
        <v>913</v>
      </c>
      <c r="I11" s="569">
        <v>902</v>
      </c>
      <c r="J11" s="569">
        <f>I11</f>
        <v>902</v>
      </c>
      <c r="K11" s="570">
        <f>J11</f>
        <v>902</v>
      </c>
      <c r="L11" s="567">
        <f>K11</f>
        <v>902</v>
      </c>
      <c r="M11" s="567">
        <v>900</v>
      </c>
      <c r="N11" s="567">
        <f t="shared" ref="N11:AB11" si="9">M11</f>
        <v>900</v>
      </c>
      <c r="O11" s="567">
        <f t="shared" si="9"/>
        <v>900</v>
      </c>
      <c r="P11" s="567">
        <f t="shared" si="9"/>
        <v>900</v>
      </c>
      <c r="Q11" s="567">
        <f t="shared" si="9"/>
        <v>900</v>
      </c>
      <c r="R11" s="567">
        <f t="shared" si="9"/>
        <v>900</v>
      </c>
      <c r="S11" s="567">
        <f t="shared" si="9"/>
        <v>900</v>
      </c>
      <c r="T11" s="567">
        <f t="shared" si="9"/>
        <v>900</v>
      </c>
      <c r="U11" s="567">
        <f t="shared" si="9"/>
        <v>900</v>
      </c>
      <c r="V11" s="567">
        <f t="shared" si="9"/>
        <v>900</v>
      </c>
      <c r="W11" s="567">
        <f t="shared" si="9"/>
        <v>900</v>
      </c>
      <c r="X11" s="567">
        <f t="shared" si="9"/>
        <v>900</v>
      </c>
      <c r="Y11" s="567">
        <f t="shared" si="9"/>
        <v>900</v>
      </c>
      <c r="Z11" s="567">
        <f t="shared" si="9"/>
        <v>900</v>
      </c>
      <c r="AA11" s="567">
        <f t="shared" si="9"/>
        <v>900</v>
      </c>
      <c r="AB11" s="567">
        <f t="shared" si="9"/>
        <v>900</v>
      </c>
    </row>
    <row r="12" spans="2:41">
      <c r="B12" s="510" t="s">
        <v>241</v>
      </c>
      <c r="C12" s="202"/>
      <c r="D12" s="202"/>
      <c r="E12" s="202">
        <v>225</v>
      </c>
      <c r="F12" s="567">
        <v>233</v>
      </c>
      <c r="G12" s="552">
        <v>0</v>
      </c>
      <c r="H12" s="556">
        <v>0</v>
      </c>
      <c r="I12" s="557">
        <v>0</v>
      </c>
      <c r="J12" s="557">
        <v>0</v>
      </c>
      <c r="K12" s="555">
        <v>0</v>
      </c>
      <c r="L12" s="552">
        <v>0</v>
      </c>
      <c r="M12" s="552">
        <v>0</v>
      </c>
      <c r="N12" s="552">
        <v>0</v>
      </c>
      <c r="O12" s="552">
        <v>0</v>
      </c>
      <c r="P12" s="552">
        <v>0</v>
      </c>
      <c r="Q12" s="552">
        <v>0</v>
      </c>
      <c r="R12" s="552">
        <v>0</v>
      </c>
      <c r="S12" s="552">
        <f t="shared" ref="S12:AB12" si="10">R12</f>
        <v>0</v>
      </c>
      <c r="T12" s="552">
        <f t="shared" si="10"/>
        <v>0</v>
      </c>
      <c r="U12" s="552">
        <f t="shared" si="10"/>
        <v>0</v>
      </c>
      <c r="V12" s="552">
        <f t="shared" si="10"/>
        <v>0</v>
      </c>
      <c r="W12" s="552">
        <f t="shared" si="10"/>
        <v>0</v>
      </c>
      <c r="X12" s="552">
        <f t="shared" si="10"/>
        <v>0</v>
      </c>
      <c r="Y12" s="552">
        <f t="shared" si="10"/>
        <v>0</v>
      </c>
      <c r="Z12" s="552">
        <f t="shared" si="10"/>
        <v>0</v>
      </c>
      <c r="AA12" s="552">
        <f t="shared" si="10"/>
        <v>0</v>
      </c>
      <c r="AB12" s="552">
        <f t="shared" si="10"/>
        <v>0</v>
      </c>
    </row>
    <row r="13" spans="2:41">
      <c r="B13" s="510" t="s">
        <v>242</v>
      </c>
      <c r="C13" s="202"/>
      <c r="D13" s="202"/>
      <c r="E13" s="203">
        <v>0</v>
      </c>
      <c r="F13" s="567">
        <v>146</v>
      </c>
      <c r="G13" s="567">
        <v>92</v>
      </c>
      <c r="H13" s="556">
        <v>0</v>
      </c>
      <c r="I13" s="557">
        <v>0</v>
      </c>
      <c r="J13" s="557">
        <v>0</v>
      </c>
      <c r="K13" s="555">
        <v>0</v>
      </c>
      <c r="L13" s="552">
        <v>0</v>
      </c>
      <c r="M13" s="552">
        <v>0</v>
      </c>
      <c r="N13" s="552">
        <v>0</v>
      </c>
      <c r="O13" s="552">
        <v>0</v>
      </c>
      <c r="P13" s="552">
        <v>0</v>
      </c>
      <c r="Q13" s="552">
        <v>0</v>
      </c>
      <c r="R13" s="552">
        <v>0</v>
      </c>
      <c r="S13" s="552">
        <f t="shared" ref="S13:AB13" si="11">R13</f>
        <v>0</v>
      </c>
      <c r="T13" s="552">
        <f t="shared" si="11"/>
        <v>0</v>
      </c>
      <c r="U13" s="552">
        <f t="shared" si="11"/>
        <v>0</v>
      </c>
      <c r="V13" s="552">
        <f t="shared" si="11"/>
        <v>0</v>
      </c>
      <c r="W13" s="552">
        <f t="shared" si="11"/>
        <v>0</v>
      </c>
      <c r="X13" s="552">
        <f t="shared" si="11"/>
        <v>0</v>
      </c>
      <c r="Y13" s="552">
        <f t="shared" si="11"/>
        <v>0</v>
      </c>
      <c r="Z13" s="552">
        <f t="shared" si="11"/>
        <v>0</v>
      </c>
      <c r="AA13" s="552">
        <f t="shared" si="11"/>
        <v>0</v>
      </c>
      <c r="AB13" s="552">
        <f t="shared" si="11"/>
        <v>0</v>
      </c>
    </row>
    <row r="14" spans="2:41">
      <c r="B14" s="518"/>
      <c r="C14" s="202"/>
      <c r="E14" s="202"/>
      <c r="F14" s="562"/>
      <c r="G14" s="562"/>
      <c r="H14" s="563"/>
      <c r="I14" s="564"/>
      <c r="J14" s="564"/>
      <c r="K14" s="565"/>
      <c r="L14" s="562"/>
      <c r="M14" s="562"/>
      <c r="N14" s="562"/>
      <c r="O14" s="562"/>
      <c r="P14" s="562"/>
      <c r="Q14" s="562"/>
      <c r="R14" s="562"/>
      <c r="S14" s="562"/>
      <c r="T14" s="562"/>
      <c r="U14" s="562"/>
      <c r="V14" s="562"/>
      <c r="W14" s="562"/>
      <c r="X14" s="562"/>
      <c r="Y14" s="562"/>
      <c r="Z14" s="562"/>
      <c r="AA14" s="562"/>
      <c r="AB14" s="562"/>
    </row>
    <row r="15" spans="2:41">
      <c r="B15" s="513" t="s">
        <v>243</v>
      </c>
      <c r="C15" s="222">
        <f t="shared" ref="C15:K15" si="12">C9+C10+C11+C12+C13</f>
        <v>0</v>
      </c>
      <c r="D15" s="222">
        <f t="shared" si="12"/>
        <v>0</v>
      </c>
      <c r="E15" s="222">
        <f t="shared" si="12"/>
        <v>73789</v>
      </c>
      <c r="F15" s="575">
        <f t="shared" si="12"/>
        <v>49212</v>
      </c>
      <c r="G15" s="575">
        <f t="shared" si="12"/>
        <v>123732</v>
      </c>
      <c r="H15" s="576">
        <f t="shared" si="12"/>
        <v>223040</v>
      </c>
      <c r="I15" s="577">
        <f t="shared" si="12"/>
        <v>214644</v>
      </c>
      <c r="J15" s="577">
        <f t="shared" si="12"/>
        <v>200712</v>
      </c>
      <c r="K15" s="578">
        <f t="shared" si="12"/>
        <v>186296</v>
      </c>
      <c r="L15" s="575">
        <f t="shared" ref="L15:AB15" si="13">L9+L10+L11+L12+L13</f>
        <v>186296</v>
      </c>
      <c r="M15" s="575">
        <f t="shared" si="13"/>
        <v>135395.23000000001</v>
      </c>
      <c r="N15" s="575">
        <f t="shared" si="13"/>
        <v>248027.67712000001</v>
      </c>
      <c r="O15" s="575">
        <f t="shared" si="13"/>
        <v>392333.80568304006</v>
      </c>
      <c r="P15" s="575">
        <f t="shared" si="13"/>
        <v>283445.93413486559</v>
      </c>
      <c r="Q15" s="575">
        <f t="shared" si="13"/>
        <v>315266.8265658663</v>
      </c>
      <c r="R15" s="575">
        <f t="shared" si="13"/>
        <v>283658.07437963865</v>
      </c>
      <c r="S15" s="575">
        <f t="shared" si="13"/>
        <v>282321.39212027617</v>
      </c>
      <c r="T15" s="575">
        <f t="shared" si="13"/>
        <v>341721.56897683913</v>
      </c>
      <c r="U15" s="575">
        <f t="shared" si="13"/>
        <v>418783.80896556884</v>
      </c>
      <c r="V15" s="575">
        <f t="shared" si="13"/>
        <v>521687.44544431125</v>
      </c>
      <c r="W15" s="575">
        <f t="shared" si="13"/>
        <v>620048.32077401306</v>
      </c>
      <c r="X15" s="575">
        <f t="shared" si="13"/>
        <v>733961.96107703377</v>
      </c>
      <c r="Y15" s="575">
        <f t="shared" si="13"/>
        <v>838607.93204260909</v>
      </c>
      <c r="Z15" s="575">
        <f t="shared" si="13"/>
        <v>941346.15187161148</v>
      </c>
      <c r="AA15" s="575">
        <f t="shared" si="13"/>
        <v>1048949.4692825619</v>
      </c>
      <c r="AB15" s="575">
        <f t="shared" si="13"/>
        <v>1155701.0821172902</v>
      </c>
    </row>
    <row r="16" spans="2:41">
      <c r="B16" s="207"/>
      <c r="C16" s="202"/>
      <c r="E16" s="202"/>
      <c r="F16" s="562"/>
      <c r="G16" s="562"/>
      <c r="H16" s="562"/>
      <c r="I16" s="562"/>
      <c r="J16" s="562"/>
      <c r="K16" s="562"/>
      <c r="L16" s="562"/>
      <c r="M16" s="562"/>
      <c r="N16" s="562"/>
      <c r="O16" s="562"/>
      <c r="P16" s="562"/>
      <c r="Q16" s="562"/>
      <c r="R16" s="562"/>
      <c r="S16" s="562"/>
      <c r="T16" s="562"/>
      <c r="U16" s="562"/>
      <c r="V16" s="562"/>
      <c r="W16" s="562"/>
      <c r="X16" s="562"/>
      <c r="Y16" s="562"/>
      <c r="Z16" s="562"/>
      <c r="AA16" s="562"/>
      <c r="AB16" s="562"/>
    </row>
    <row r="17" spans="2:28">
      <c r="B17" s="511" t="s">
        <v>23</v>
      </c>
      <c r="C17" s="209"/>
      <c r="E17" s="209"/>
      <c r="F17" s="562"/>
      <c r="G17" s="562"/>
      <c r="H17" s="711" t="s">
        <v>0</v>
      </c>
      <c r="I17" s="712"/>
      <c r="J17" s="712"/>
      <c r="K17" s="713"/>
      <c r="L17" s="562"/>
      <c r="M17" s="562"/>
      <c r="N17" s="562"/>
      <c r="O17" s="562"/>
      <c r="P17" s="562"/>
      <c r="Q17" s="562"/>
      <c r="R17" s="562"/>
      <c r="S17" s="562"/>
      <c r="T17" s="562"/>
      <c r="U17" s="562"/>
      <c r="V17" s="562"/>
      <c r="W17" s="562"/>
      <c r="X17" s="562"/>
      <c r="Y17" s="562"/>
      <c r="Z17" s="562"/>
      <c r="AA17" s="562"/>
      <c r="AB17" s="562"/>
    </row>
    <row r="18" spans="2:28">
      <c r="B18" s="510" t="s">
        <v>244</v>
      </c>
      <c r="C18" s="210"/>
      <c r="D18" s="210"/>
      <c r="E18" s="210">
        <v>1914</v>
      </c>
      <c r="F18" s="579">
        <v>642</v>
      </c>
      <c r="G18" s="579">
        <v>885</v>
      </c>
      <c r="H18" s="580">
        <v>2295</v>
      </c>
      <c r="I18" s="581">
        <v>2614</v>
      </c>
      <c r="J18" s="581">
        <v>3314</v>
      </c>
      <c r="K18" s="582">
        <v>724</v>
      </c>
      <c r="L18" s="579">
        <f>K18</f>
        <v>724</v>
      </c>
      <c r="M18" s="579">
        <f t="shared" ref="M18:R18" si="14">M61</f>
        <v>789.77</v>
      </c>
      <c r="N18" s="579">
        <f t="shared" si="14"/>
        <v>938.75</v>
      </c>
      <c r="O18" s="579">
        <f t="shared" si="14"/>
        <v>2469.2800000000002</v>
      </c>
      <c r="P18" s="579">
        <f t="shared" si="14"/>
        <v>3150</v>
      </c>
      <c r="Q18" s="579">
        <f t="shared" si="14"/>
        <v>3700</v>
      </c>
      <c r="R18" s="579">
        <f t="shared" si="14"/>
        <v>4180</v>
      </c>
      <c r="S18" s="579">
        <f t="shared" ref="S18:AB18" si="15">S61</f>
        <v>4664</v>
      </c>
      <c r="T18" s="579">
        <f t="shared" si="15"/>
        <v>5254.7</v>
      </c>
      <c r="U18" s="579">
        <f t="shared" si="15"/>
        <v>5982.1850000000004</v>
      </c>
      <c r="V18" s="579">
        <f t="shared" si="15"/>
        <v>6885.469250000001</v>
      </c>
      <c r="W18" s="579">
        <f t="shared" si="15"/>
        <v>7700.9992124999999</v>
      </c>
      <c r="X18" s="579">
        <f t="shared" si="15"/>
        <v>8274.5517731250002</v>
      </c>
      <c r="Y18" s="579">
        <f t="shared" si="15"/>
        <v>8895.6322217812503</v>
      </c>
      <c r="Z18" s="579">
        <f t="shared" si="15"/>
        <v>9568.5019788703139</v>
      </c>
      <c r="AA18" s="579">
        <f t="shared" si="15"/>
        <v>10297.824038413832</v>
      </c>
      <c r="AB18" s="579">
        <f t="shared" si="15"/>
        <v>11088.701896994524</v>
      </c>
    </row>
    <row r="19" spans="2:28">
      <c r="B19" s="510" t="s">
        <v>245</v>
      </c>
      <c r="C19" s="210"/>
      <c r="D19" s="210"/>
      <c r="E19" s="210">
        <v>4513</v>
      </c>
      <c r="F19" s="579">
        <v>6153</v>
      </c>
      <c r="G19" s="579">
        <v>6927</v>
      </c>
      <c r="H19" s="580">
        <v>4659</v>
      </c>
      <c r="I19" s="581">
        <v>6475</v>
      </c>
      <c r="J19" s="581">
        <v>5938</v>
      </c>
      <c r="K19" s="582">
        <v>6848</v>
      </c>
      <c r="L19" s="579">
        <f>K19</f>
        <v>6848</v>
      </c>
      <c r="M19" s="579">
        <f t="shared" ref="M19:R19" si="16">M63</f>
        <v>7897.7000000000007</v>
      </c>
      <c r="N19" s="579">
        <f t="shared" si="16"/>
        <v>9387.5</v>
      </c>
      <c r="O19" s="579">
        <f t="shared" si="16"/>
        <v>12346.400000000001</v>
      </c>
      <c r="P19" s="579">
        <f t="shared" si="16"/>
        <v>15750</v>
      </c>
      <c r="Q19" s="579">
        <f t="shared" si="16"/>
        <v>18500</v>
      </c>
      <c r="R19" s="579">
        <f t="shared" si="16"/>
        <v>20900</v>
      </c>
      <c r="S19" s="579">
        <f t="shared" ref="S19:AB19" si="17">S63</f>
        <v>23320</v>
      </c>
      <c r="T19" s="579">
        <f t="shared" si="17"/>
        <v>26273.5</v>
      </c>
      <c r="U19" s="579">
        <f t="shared" si="17"/>
        <v>29910.925000000003</v>
      </c>
      <c r="V19" s="579">
        <f t="shared" si="17"/>
        <v>34427.346250000002</v>
      </c>
      <c r="W19" s="579">
        <f t="shared" si="17"/>
        <v>38504.996062500002</v>
      </c>
      <c r="X19" s="579">
        <f t="shared" si="17"/>
        <v>41372.758865625008</v>
      </c>
      <c r="Y19" s="579">
        <f t="shared" si="17"/>
        <v>44478.161108906257</v>
      </c>
      <c r="Z19" s="579">
        <f t="shared" si="17"/>
        <v>47842.50989435157</v>
      </c>
      <c r="AA19" s="579">
        <f t="shared" si="17"/>
        <v>51489.120192069153</v>
      </c>
      <c r="AB19" s="579">
        <f t="shared" si="17"/>
        <v>55443.509484972623</v>
      </c>
    </row>
    <row r="20" spans="2:28">
      <c r="B20" s="510" t="s">
        <v>246</v>
      </c>
      <c r="C20" s="210"/>
      <c r="D20" s="210"/>
      <c r="E20" s="210">
        <v>10946</v>
      </c>
      <c r="F20" s="579">
        <v>27840</v>
      </c>
      <c r="G20" s="579">
        <v>2031</v>
      </c>
      <c r="H20" s="580">
        <v>1735</v>
      </c>
      <c r="I20" s="581">
        <v>1505</v>
      </c>
      <c r="J20" s="581">
        <v>1382</v>
      </c>
      <c r="K20" s="582">
        <v>1162</v>
      </c>
      <c r="L20" s="579">
        <f>K20</f>
        <v>1162</v>
      </c>
      <c r="M20" s="579">
        <f>L20-800</f>
        <v>362</v>
      </c>
      <c r="N20" s="583">
        <f>M20-362</f>
        <v>0</v>
      </c>
      <c r="O20" s="583">
        <v>0</v>
      </c>
      <c r="P20" s="583">
        <f t="shared" ref="P20:AB20" si="18">O20</f>
        <v>0</v>
      </c>
      <c r="Q20" s="583">
        <f t="shared" si="18"/>
        <v>0</v>
      </c>
      <c r="R20" s="583">
        <f t="shared" si="18"/>
        <v>0</v>
      </c>
      <c r="S20" s="583">
        <f t="shared" si="18"/>
        <v>0</v>
      </c>
      <c r="T20" s="583">
        <f t="shared" si="18"/>
        <v>0</v>
      </c>
      <c r="U20" s="583">
        <f t="shared" si="18"/>
        <v>0</v>
      </c>
      <c r="V20" s="583">
        <f t="shared" si="18"/>
        <v>0</v>
      </c>
      <c r="W20" s="583">
        <f t="shared" si="18"/>
        <v>0</v>
      </c>
      <c r="X20" s="583">
        <f t="shared" si="18"/>
        <v>0</v>
      </c>
      <c r="Y20" s="583">
        <f t="shared" si="18"/>
        <v>0</v>
      </c>
      <c r="Z20" s="583">
        <f t="shared" si="18"/>
        <v>0</v>
      </c>
      <c r="AA20" s="583">
        <f t="shared" si="18"/>
        <v>0</v>
      </c>
      <c r="AB20" s="583">
        <f t="shared" si="18"/>
        <v>0</v>
      </c>
    </row>
    <row r="21" spans="2:28">
      <c r="B21" s="510" t="s">
        <v>247</v>
      </c>
      <c r="C21" s="210"/>
      <c r="D21" s="210"/>
      <c r="E21" s="210">
        <v>483</v>
      </c>
      <c r="F21" s="579">
        <v>499</v>
      </c>
      <c r="G21" s="579">
        <v>499</v>
      </c>
      <c r="H21" s="580">
        <v>499</v>
      </c>
      <c r="I21" s="581">
        <v>499</v>
      </c>
      <c r="J21" s="581">
        <v>478</v>
      </c>
      <c r="K21" s="582">
        <v>519</v>
      </c>
      <c r="L21" s="579">
        <f>K21</f>
        <v>519</v>
      </c>
      <c r="M21" s="579">
        <f t="shared" ref="M21:R21" si="19">L21</f>
        <v>519</v>
      </c>
      <c r="N21" s="579">
        <f t="shared" si="19"/>
        <v>519</v>
      </c>
      <c r="O21" s="579">
        <f t="shared" si="19"/>
        <v>519</v>
      </c>
      <c r="P21" s="579">
        <f t="shared" si="19"/>
        <v>519</v>
      </c>
      <c r="Q21" s="579">
        <f t="shared" si="19"/>
        <v>519</v>
      </c>
      <c r="R21" s="579">
        <f t="shared" si="19"/>
        <v>519</v>
      </c>
      <c r="S21" s="579">
        <f t="shared" ref="S21:AB21" si="20">R21</f>
        <v>519</v>
      </c>
      <c r="T21" s="579">
        <f t="shared" si="20"/>
        <v>519</v>
      </c>
      <c r="U21" s="579">
        <f t="shared" si="20"/>
        <v>519</v>
      </c>
      <c r="V21" s="579">
        <f t="shared" si="20"/>
        <v>519</v>
      </c>
      <c r="W21" s="579">
        <f t="shared" si="20"/>
        <v>519</v>
      </c>
      <c r="X21" s="579">
        <f t="shared" si="20"/>
        <v>519</v>
      </c>
      <c r="Y21" s="579">
        <f t="shared" si="20"/>
        <v>519</v>
      </c>
      <c r="Z21" s="579">
        <f t="shared" si="20"/>
        <v>519</v>
      </c>
      <c r="AA21" s="579">
        <f t="shared" si="20"/>
        <v>519</v>
      </c>
      <c r="AB21" s="579">
        <f t="shared" si="20"/>
        <v>519</v>
      </c>
    </row>
    <row r="22" spans="2:28">
      <c r="B22" s="510" t="s">
        <v>248</v>
      </c>
      <c r="C22" s="210"/>
      <c r="D22" s="210"/>
      <c r="E22" s="210">
        <v>5997</v>
      </c>
      <c r="F22" s="579">
        <v>3668</v>
      </c>
      <c r="G22" s="579">
        <v>16868</v>
      </c>
      <c r="H22" s="556">
        <v>0</v>
      </c>
      <c r="I22" s="557">
        <v>0</v>
      </c>
      <c r="J22" s="557">
        <v>0</v>
      </c>
      <c r="K22" s="555">
        <v>0</v>
      </c>
      <c r="L22" s="552">
        <v>0</v>
      </c>
      <c r="M22" s="552">
        <v>0</v>
      </c>
      <c r="N22" s="552">
        <v>0</v>
      </c>
      <c r="O22" s="552">
        <v>0</v>
      </c>
      <c r="P22" s="552">
        <v>0</v>
      </c>
      <c r="Q22" s="552">
        <v>0</v>
      </c>
      <c r="R22" s="552">
        <v>0</v>
      </c>
      <c r="S22" s="552">
        <v>0</v>
      </c>
      <c r="T22" s="552">
        <v>0</v>
      </c>
      <c r="U22" s="552">
        <v>0</v>
      </c>
      <c r="V22" s="552">
        <v>0</v>
      </c>
      <c r="W22" s="552">
        <v>0</v>
      </c>
      <c r="X22" s="552">
        <v>0</v>
      </c>
      <c r="Y22" s="552">
        <v>0</v>
      </c>
      <c r="Z22" s="552">
        <v>0</v>
      </c>
      <c r="AA22" s="552">
        <v>0</v>
      </c>
      <c r="AB22" s="552">
        <v>0</v>
      </c>
    </row>
    <row r="23" spans="2:28">
      <c r="B23" s="510" t="s">
        <v>249</v>
      </c>
      <c r="C23" s="210"/>
      <c r="D23" s="210"/>
      <c r="E23" s="210"/>
      <c r="F23" s="583">
        <v>0</v>
      </c>
      <c r="G23" s="583">
        <v>0</v>
      </c>
      <c r="H23" s="584">
        <v>0</v>
      </c>
      <c r="I23" s="557">
        <v>5000</v>
      </c>
      <c r="J23" s="557">
        <v>0</v>
      </c>
      <c r="K23" s="555">
        <v>0</v>
      </c>
      <c r="L23" s="552">
        <f>K23</f>
        <v>0</v>
      </c>
      <c r="M23" s="552">
        <v>0</v>
      </c>
      <c r="N23" s="552">
        <v>0</v>
      </c>
      <c r="O23" s="552">
        <v>0</v>
      </c>
      <c r="P23" s="552">
        <v>0</v>
      </c>
      <c r="Q23" s="552">
        <v>0</v>
      </c>
      <c r="R23" s="552">
        <v>0</v>
      </c>
      <c r="S23" s="552">
        <v>0</v>
      </c>
      <c r="T23" s="552">
        <v>0</v>
      </c>
      <c r="U23" s="552">
        <v>0</v>
      </c>
      <c r="V23" s="552">
        <v>0</v>
      </c>
      <c r="W23" s="552">
        <v>0</v>
      </c>
      <c r="X23" s="552">
        <v>0</v>
      </c>
      <c r="Y23" s="552">
        <v>0</v>
      </c>
      <c r="Z23" s="552">
        <v>0</v>
      </c>
      <c r="AA23" s="552">
        <v>0</v>
      </c>
      <c r="AB23" s="552">
        <v>0</v>
      </c>
    </row>
    <row r="24" spans="2:28">
      <c r="B24" s="514" t="s">
        <v>250</v>
      </c>
      <c r="C24" s="203">
        <f>C18+C19+C20+C22</f>
        <v>0</v>
      </c>
      <c r="D24" s="203">
        <f>D18+D19+D20+D22</f>
        <v>0</v>
      </c>
      <c r="E24" s="213">
        <f>E18+E19+E20+E21+E22</f>
        <v>23853</v>
      </c>
      <c r="F24" s="585">
        <f>F18+F19+F20+F21+F22+F23</f>
        <v>38802</v>
      </c>
      <c r="G24" s="585">
        <f>G18+G19+G20+G21+G22+G23</f>
        <v>27210</v>
      </c>
      <c r="H24" s="586">
        <f>H18+H19+H20+H21+H22+H23</f>
        <v>9188</v>
      </c>
      <c r="I24" s="587">
        <f>I18+I19+I20+I21+I22+I23</f>
        <v>16093</v>
      </c>
      <c r="J24" s="587">
        <f t="shared" ref="J24:R24" si="21">J18+J19+J20+J21+J22+J23</f>
        <v>11112</v>
      </c>
      <c r="K24" s="588">
        <f t="shared" si="21"/>
        <v>9253</v>
      </c>
      <c r="L24" s="585">
        <f t="shared" si="21"/>
        <v>9253</v>
      </c>
      <c r="M24" s="585">
        <f t="shared" si="21"/>
        <v>9568.4700000000012</v>
      </c>
      <c r="N24" s="585">
        <f t="shared" si="21"/>
        <v>10845.25</v>
      </c>
      <c r="O24" s="585">
        <f t="shared" si="21"/>
        <v>15334.680000000002</v>
      </c>
      <c r="P24" s="585">
        <f t="shared" si="21"/>
        <v>19419</v>
      </c>
      <c r="Q24" s="585">
        <f t="shared" si="21"/>
        <v>22719</v>
      </c>
      <c r="R24" s="585">
        <f t="shared" si="21"/>
        <v>25599</v>
      </c>
      <c r="S24" s="585">
        <f t="shared" ref="S24:AB24" si="22">S18+S19+S20+S21+S22+S23</f>
        <v>28503</v>
      </c>
      <c r="T24" s="585">
        <f t="shared" si="22"/>
        <v>32047.200000000001</v>
      </c>
      <c r="U24" s="585">
        <f t="shared" si="22"/>
        <v>36412.11</v>
      </c>
      <c r="V24" s="585">
        <f t="shared" si="22"/>
        <v>41831.815500000004</v>
      </c>
      <c r="W24" s="585">
        <f t="shared" si="22"/>
        <v>46724.995275000001</v>
      </c>
      <c r="X24" s="585">
        <f t="shared" si="22"/>
        <v>50166.310638750008</v>
      </c>
      <c r="Y24" s="585">
        <f t="shared" si="22"/>
        <v>53892.793330687506</v>
      </c>
      <c r="Z24" s="585">
        <f t="shared" si="22"/>
        <v>57930.011873221883</v>
      </c>
      <c r="AA24" s="585">
        <f t="shared" si="22"/>
        <v>62305.944230482986</v>
      </c>
      <c r="AB24" s="585">
        <f t="shared" si="22"/>
        <v>67051.21138196715</v>
      </c>
    </row>
    <row r="25" spans="2:28">
      <c r="B25" s="510" t="s">
        <v>251</v>
      </c>
      <c r="C25" s="203"/>
      <c r="D25" s="203"/>
      <c r="E25" s="203">
        <v>33350</v>
      </c>
      <c r="F25" s="579">
        <v>6760</v>
      </c>
      <c r="G25" s="579">
        <v>5620</v>
      </c>
      <c r="H25" s="580">
        <v>5241</v>
      </c>
      <c r="I25" s="581">
        <v>5124</v>
      </c>
      <c r="J25" s="581">
        <v>4967</v>
      </c>
      <c r="K25" s="582">
        <v>4816</v>
      </c>
      <c r="L25" s="579">
        <f>K25</f>
        <v>4816</v>
      </c>
      <c r="M25" s="552">
        <v>0</v>
      </c>
      <c r="N25" s="552">
        <v>0</v>
      </c>
      <c r="O25" s="552">
        <v>0</v>
      </c>
      <c r="P25" s="552">
        <v>0</v>
      </c>
      <c r="Q25" s="552">
        <v>0</v>
      </c>
      <c r="R25" s="552">
        <v>0</v>
      </c>
      <c r="S25" s="552">
        <f>R25</f>
        <v>0</v>
      </c>
      <c r="T25" s="552">
        <f t="shared" ref="T25:AB25" si="23">S25</f>
        <v>0</v>
      </c>
      <c r="U25" s="552">
        <f t="shared" si="23"/>
        <v>0</v>
      </c>
      <c r="V25" s="552">
        <f t="shared" si="23"/>
        <v>0</v>
      </c>
      <c r="W25" s="552">
        <f t="shared" si="23"/>
        <v>0</v>
      </c>
      <c r="X25" s="552">
        <f t="shared" si="23"/>
        <v>0</v>
      </c>
      <c r="Y25" s="552">
        <f t="shared" si="23"/>
        <v>0</v>
      </c>
      <c r="Z25" s="552">
        <f t="shared" si="23"/>
        <v>0</v>
      </c>
      <c r="AA25" s="552">
        <f t="shared" si="23"/>
        <v>0</v>
      </c>
      <c r="AB25" s="552">
        <f t="shared" si="23"/>
        <v>0</v>
      </c>
    </row>
    <row r="26" spans="2:28">
      <c r="B26" s="510" t="s">
        <v>252</v>
      </c>
      <c r="C26" s="203"/>
      <c r="D26" s="203"/>
      <c r="E26" s="203">
        <v>3335</v>
      </c>
      <c r="F26" s="579">
        <v>2837</v>
      </c>
      <c r="G26" s="579">
        <v>2337</v>
      </c>
      <c r="H26" s="580">
        <v>2212</v>
      </c>
      <c r="I26" s="581">
        <v>2088</v>
      </c>
      <c r="J26" s="581">
        <f>I26*0.95</f>
        <v>1983.6</v>
      </c>
      <c r="K26" s="582">
        <v>1818</v>
      </c>
      <c r="L26" s="579">
        <f>K26</f>
        <v>1818</v>
      </c>
      <c r="M26" s="552">
        <v>0</v>
      </c>
      <c r="N26" s="552">
        <v>0</v>
      </c>
      <c r="O26" s="552">
        <v>0</v>
      </c>
      <c r="P26" s="552">
        <v>0</v>
      </c>
      <c r="Q26" s="552">
        <v>0</v>
      </c>
      <c r="R26" s="552">
        <v>0</v>
      </c>
      <c r="S26" s="552">
        <f>R26</f>
        <v>0</v>
      </c>
      <c r="T26" s="552">
        <f t="shared" ref="T26:AB26" si="24">S26</f>
        <v>0</v>
      </c>
      <c r="U26" s="552">
        <f t="shared" si="24"/>
        <v>0</v>
      </c>
      <c r="V26" s="552">
        <f t="shared" si="24"/>
        <v>0</v>
      </c>
      <c r="W26" s="552">
        <f t="shared" si="24"/>
        <v>0</v>
      </c>
      <c r="X26" s="552">
        <f t="shared" si="24"/>
        <v>0</v>
      </c>
      <c r="Y26" s="552">
        <f t="shared" si="24"/>
        <v>0</v>
      </c>
      <c r="Z26" s="552">
        <f t="shared" si="24"/>
        <v>0</v>
      </c>
      <c r="AA26" s="552">
        <f t="shared" si="24"/>
        <v>0</v>
      </c>
      <c r="AB26" s="552">
        <f t="shared" si="24"/>
        <v>0</v>
      </c>
    </row>
    <row r="27" spans="2:28">
      <c r="B27" s="510" t="s">
        <v>253</v>
      </c>
      <c r="C27" s="203"/>
      <c r="D27" s="203"/>
      <c r="E27" s="203">
        <v>0</v>
      </c>
      <c r="F27" s="579">
        <v>16525</v>
      </c>
      <c r="G27" s="552">
        <v>0</v>
      </c>
      <c r="H27" s="556">
        <v>0</v>
      </c>
      <c r="I27" s="557">
        <v>0</v>
      </c>
      <c r="J27" s="557">
        <v>0</v>
      </c>
      <c r="K27" s="555">
        <v>0</v>
      </c>
      <c r="L27" s="552">
        <v>0</v>
      </c>
      <c r="M27" s="552">
        <v>0</v>
      </c>
      <c r="N27" s="552">
        <v>0</v>
      </c>
      <c r="O27" s="552">
        <v>0</v>
      </c>
      <c r="P27" s="552">
        <v>0</v>
      </c>
      <c r="Q27" s="552">
        <v>0</v>
      </c>
      <c r="R27" s="552">
        <v>0</v>
      </c>
      <c r="S27" s="552">
        <f>R27</f>
        <v>0</v>
      </c>
      <c r="T27" s="552">
        <f t="shared" ref="T27:AB27" si="25">S27</f>
        <v>0</v>
      </c>
      <c r="U27" s="552">
        <f t="shared" si="25"/>
        <v>0</v>
      </c>
      <c r="V27" s="552">
        <f t="shared" si="25"/>
        <v>0</v>
      </c>
      <c r="W27" s="552">
        <f t="shared" si="25"/>
        <v>0</v>
      </c>
      <c r="X27" s="552">
        <f t="shared" si="25"/>
        <v>0</v>
      </c>
      <c r="Y27" s="552">
        <f t="shared" si="25"/>
        <v>0</v>
      </c>
      <c r="Z27" s="552">
        <f t="shared" si="25"/>
        <v>0</v>
      </c>
      <c r="AA27" s="552">
        <f t="shared" si="25"/>
        <v>0</v>
      </c>
      <c r="AB27" s="552">
        <f t="shared" si="25"/>
        <v>0</v>
      </c>
    </row>
    <row r="28" spans="2:28">
      <c r="B28" s="510" t="s">
        <v>254</v>
      </c>
      <c r="C28" s="203"/>
      <c r="D28" s="203"/>
      <c r="E28" s="203">
        <v>1046</v>
      </c>
      <c r="F28" s="579">
        <v>1422</v>
      </c>
      <c r="G28" s="552">
        <v>0</v>
      </c>
      <c r="H28" s="556">
        <v>0</v>
      </c>
      <c r="I28" s="557">
        <v>0</v>
      </c>
      <c r="J28" s="557">
        <v>0</v>
      </c>
      <c r="K28" s="555">
        <v>0</v>
      </c>
      <c r="L28" s="552">
        <v>0</v>
      </c>
      <c r="M28" s="552">
        <v>0</v>
      </c>
      <c r="N28" s="552">
        <v>0</v>
      </c>
      <c r="O28" s="552">
        <v>0</v>
      </c>
      <c r="P28" s="552">
        <v>0</v>
      </c>
      <c r="Q28" s="552">
        <v>0</v>
      </c>
      <c r="R28" s="552">
        <v>0</v>
      </c>
      <c r="S28" s="552">
        <f>R28</f>
        <v>0</v>
      </c>
      <c r="T28" s="552">
        <f t="shared" ref="T28:AB29" si="26">S28</f>
        <v>0</v>
      </c>
      <c r="U28" s="552">
        <f t="shared" si="26"/>
        <v>0</v>
      </c>
      <c r="V28" s="552">
        <f t="shared" si="26"/>
        <v>0</v>
      </c>
      <c r="W28" s="552">
        <f t="shared" si="26"/>
        <v>0</v>
      </c>
      <c r="X28" s="552">
        <f t="shared" si="26"/>
        <v>0</v>
      </c>
      <c r="Y28" s="552">
        <f t="shared" si="26"/>
        <v>0</v>
      </c>
      <c r="Z28" s="552">
        <f t="shared" si="26"/>
        <v>0</v>
      </c>
      <c r="AA28" s="552">
        <f t="shared" si="26"/>
        <v>0</v>
      </c>
      <c r="AB28" s="552">
        <f t="shared" si="26"/>
        <v>0</v>
      </c>
    </row>
    <row r="29" spans="2:28">
      <c r="B29" s="510" t="s">
        <v>255</v>
      </c>
      <c r="C29" s="203"/>
      <c r="D29" s="203"/>
      <c r="E29" s="203">
        <v>3347</v>
      </c>
      <c r="F29" s="579">
        <v>5229</v>
      </c>
      <c r="G29" s="579">
        <v>30753</v>
      </c>
      <c r="H29" s="580">
        <v>25942</v>
      </c>
      <c r="I29" s="581">
        <v>21512</v>
      </c>
      <c r="J29" s="581">
        <v>15028</v>
      </c>
      <c r="K29" s="582">
        <v>14124</v>
      </c>
      <c r="L29" s="579">
        <f>K29</f>
        <v>14124</v>
      </c>
      <c r="M29" s="552">
        <f t="shared" ref="M29:S29" si="27">L29</f>
        <v>14124</v>
      </c>
      <c r="N29" s="552">
        <f t="shared" si="27"/>
        <v>14124</v>
      </c>
      <c r="O29" s="552">
        <f t="shared" si="27"/>
        <v>14124</v>
      </c>
      <c r="P29" s="552">
        <f t="shared" si="27"/>
        <v>14124</v>
      </c>
      <c r="Q29" s="552">
        <f t="shared" si="27"/>
        <v>14124</v>
      </c>
      <c r="R29" s="552">
        <f t="shared" si="27"/>
        <v>14124</v>
      </c>
      <c r="S29" s="552">
        <f t="shared" si="27"/>
        <v>14124</v>
      </c>
      <c r="T29" s="552">
        <f t="shared" si="26"/>
        <v>14124</v>
      </c>
      <c r="U29" s="552">
        <f t="shared" si="26"/>
        <v>14124</v>
      </c>
      <c r="V29" s="552">
        <f t="shared" si="26"/>
        <v>14124</v>
      </c>
      <c r="W29" s="552">
        <f t="shared" si="26"/>
        <v>14124</v>
      </c>
      <c r="X29" s="552">
        <f t="shared" si="26"/>
        <v>14124</v>
      </c>
      <c r="Y29" s="552">
        <f t="shared" si="26"/>
        <v>14124</v>
      </c>
      <c r="Z29" s="552">
        <f t="shared" si="26"/>
        <v>14124</v>
      </c>
      <c r="AA29" s="552">
        <f t="shared" si="26"/>
        <v>14124</v>
      </c>
      <c r="AB29" s="552">
        <f t="shared" si="26"/>
        <v>14124</v>
      </c>
    </row>
    <row r="30" spans="2:28">
      <c r="B30" s="515" t="s">
        <v>261</v>
      </c>
      <c r="C30" s="221"/>
      <c r="D30" s="221"/>
      <c r="E30" s="222">
        <f>E24+E25+E26+E27+E28+E29</f>
        <v>64931</v>
      </c>
      <c r="F30" s="575">
        <f>F24+F25+F26+F27+F28+F29</f>
        <v>71575</v>
      </c>
      <c r="G30" s="575">
        <f>G24+G25+G26+G27+G28+G29</f>
        <v>65920</v>
      </c>
      <c r="H30" s="576">
        <f>H24+H25+H26+H27+H28+H29</f>
        <v>42583</v>
      </c>
      <c r="I30" s="577">
        <f t="shared" ref="I30:S30" si="28">I24+I25+I26+I27+I28+I29</f>
        <v>44817</v>
      </c>
      <c r="J30" s="577">
        <f t="shared" si="28"/>
        <v>33090.6</v>
      </c>
      <c r="K30" s="578">
        <f t="shared" si="28"/>
        <v>30011</v>
      </c>
      <c r="L30" s="575">
        <f t="shared" si="28"/>
        <v>30011</v>
      </c>
      <c r="M30" s="558">
        <f t="shared" si="28"/>
        <v>23692.47</v>
      </c>
      <c r="N30" s="558">
        <f t="shared" si="28"/>
        <v>24969.25</v>
      </c>
      <c r="O30" s="558">
        <f t="shared" si="28"/>
        <v>29458.68</v>
      </c>
      <c r="P30" s="558">
        <f t="shared" si="28"/>
        <v>33543</v>
      </c>
      <c r="Q30" s="558">
        <f t="shared" si="28"/>
        <v>36843</v>
      </c>
      <c r="R30" s="558">
        <f t="shared" si="28"/>
        <v>39723</v>
      </c>
      <c r="S30" s="558">
        <f t="shared" si="28"/>
        <v>42627</v>
      </c>
      <c r="T30" s="558">
        <f t="shared" ref="T30:AB30" si="29">T24+T25+T26+T27+T28+T29</f>
        <v>46171.199999999997</v>
      </c>
      <c r="U30" s="558">
        <f t="shared" si="29"/>
        <v>50536.11</v>
      </c>
      <c r="V30" s="558">
        <f t="shared" si="29"/>
        <v>55955.815500000004</v>
      </c>
      <c r="W30" s="558">
        <f t="shared" si="29"/>
        <v>60848.995275000001</v>
      </c>
      <c r="X30" s="558">
        <f t="shared" si="29"/>
        <v>64290.310638750008</v>
      </c>
      <c r="Y30" s="558">
        <f t="shared" si="29"/>
        <v>68016.793330687506</v>
      </c>
      <c r="Z30" s="558">
        <f t="shared" si="29"/>
        <v>72054.011873221883</v>
      </c>
      <c r="AA30" s="558">
        <f t="shared" si="29"/>
        <v>76429.944230482986</v>
      </c>
      <c r="AB30" s="558">
        <f t="shared" si="29"/>
        <v>81175.21138196715</v>
      </c>
    </row>
    <row r="31" spans="2:28" ht="9" customHeight="1">
      <c r="B31" s="520"/>
      <c r="C31" s="202"/>
      <c r="E31" s="202"/>
      <c r="F31" s="562"/>
      <c r="G31" s="562"/>
      <c r="H31" s="563"/>
      <c r="I31" s="564"/>
      <c r="J31" s="564"/>
      <c r="K31" s="565"/>
      <c r="L31" s="562"/>
      <c r="M31" s="579"/>
      <c r="N31" s="562"/>
      <c r="O31" s="562"/>
      <c r="P31" s="562"/>
      <c r="Q31" s="562"/>
      <c r="R31" s="562"/>
      <c r="S31" s="562"/>
      <c r="T31" s="562"/>
      <c r="U31" s="562"/>
      <c r="V31" s="562"/>
      <c r="W31" s="562"/>
      <c r="X31" s="562"/>
      <c r="Y31" s="562"/>
      <c r="Z31" s="562"/>
      <c r="AA31" s="562"/>
      <c r="AB31" s="562"/>
    </row>
    <row r="32" spans="2:28">
      <c r="B32" s="521" t="s">
        <v>256</v>
      </c>
      <c r="C32" s="202"/>
      <c r="E32" s="202">
        <v>241549</v>
      </c>
      <c r="F32" s="567">
        <v>268610</v>
      </c>
      <c r="G32" s="552">
        <v>0</v>
      </c>
      <c r="H32" s="556">
        <v>0</v>
      </c>
      <c r="I32" s="557">
        <v>0</v>
      </c>
      <c r="J32" s="557">
        <v>0</v>
      </c>
      <c r="K32" s="555">
        <v>0</v>
      </c>
      <c r="L32" s="552">
        <v>0</v>
      </c>
      <c r="M32" s="552">
        <v>0</v>
      </c>
      <c r="N32" s="552">
        <v>0</v>
      </c>
      <c r="O32" s="552">
        <v>0</v>
      </c>
      <c r="P32" s="552">
        <v>0</v>
      </c>
      <c r="Q32" s="552">
        <v>0</v>
      </c>
      <c r="R32" s="552">
        <v>0</v>
      </c>
      <c r="S32" s="552"/>
      <c r="T32" s="552"/>
      <c r="U32" s="552"/>
      <c r="V32" s="552"/>
      <c r="W32" s="552"/>
      <c r="X32" s="552"/>
      <c r="Y32" s="552"/>
      <c r="Z32" s="552"/>
      <c r="AA32" s="552"/>
      <c r="AB32" s="552"/>
    </row>
    <row r="33" spans="2:28" ht="6.75" customHeight="1">
      <c r="B33" s="521"/>
      <c r="C33" s="202"/>
      <c r="E33" s="202"/>
      <c r="F33" s="562"/>
      <c r="G33" s="562"/>
      <c r="H33" s="563"/>
      <c r="I33" s="564"/>
      <c r="J33" s="564"/>
      <c r="K33" s="565"/>
      <c r="L33" s="562"/>
      <c r="M33" s="579"/>
      <c r="N33" s="562"/>
      <c r="O33" s="562"/>
      <c r="P33" s="562"/>
      <c r="Q33" s="562"/>
      <c r="R33" s="562"/>
      <c r="S33" s="562"/>
      <c r="T33" s="562"/>
      <c r="U33" s="562"/>
      <c r="V33" s="562"/>
      <c r="W33" s="562"/>
      <c r="X33" s="562"/>
      <c r="Y33" s="562"/>
      <c r="Z33" s="562"/>
      <c r="AA33" s="562"/>
      <c r="AB33" s="562"/>
    </row>
    <row r="34" spans="2:28">
      <c r="B34" s="510" t="s">
        <v>257</v>
      </c>
      <c r="C34" s="202"/>
      <c r="D34" s="202"/>
      <c r="E34" s="202">
        <v>3</v>
      </c>
      <c r="F34" s="567">
        <v>3</v>
      </c>
      <c r="G34" s="567">
        <v>29</v>
      </c>
      <c r="H34" s="568">
        <v>32</v>
      </c>
      <c r="I34" s="569">
        <f t="shared" ref="I34:L35" si="30">H34</f>
        <v>32</v>
      </c>
      <c r="J34" s="569">
        <v>33</v>
      </c>
      <c r="K34" s="570">
        <v>33</v>
      </c>
      <c r="L34" s="567">
        <f t="shared" si="30"/>
        <v>33</v>
      </c>
      <c r="M34" s="579">
        <f t="shared" ref="M34:AB34" si="31">L34</f>
        <v>33</v>
      </c>
      <c r="N34" s="579">
        <f t="shared" si="31"/>
        <v>33</v>
      </c>
      <c r="O34" s="579">
        <f t="shared" si="31"/>
        <v>33</v>
      </c>
      <c r="P34" s="579">
        <f t="shared" si="31"/>
        <v>33</v>
      </c>
      <c r="Q34" s="579">
        <f t="shared" si="31"/>
        <v>33</v>
      </c>
      <c r="R34" s="579">
        <f t="shared" si="31"/>
        <v>33</v>
      </c>
      <c r="S34" s="579">
        <f t="shared" si="31"/>
        <v>33</v>
      </c>
      <c r="T34" s="579">
        <f t="shared" si="31"/>
        <v>33</v>
      </c>
      <c r="U34" s="579">
        <f t="shared" si="31"/>
        <v>33</v>
      </c>
      <c r="V34" s="579">
        <f t="shared" si="31"/>
        <v>33</v>
      </c>
      <c r="W34" s="579">
        <f t="shared" si="31"/>
        <v>33</v>
      </c>
      <c r="X34" s="579">
        <f t="shared" si="31"/>
        <v>33</v>
      </c>
      <c r="Y34" s="579">
        <f t="shared" si="31"/>
        <v>33</v>
      </c>
      <c r="Z34" s="579">
        <f t="shared" si="31"/>
        <v>33</v>
      </c>
      <c r="AA34" s="579">
        <f t="shared" si="31"/>
        <v>33</v>
      </c>
      <c r="AB34" s="579">
        <f t="shared" si="31"/>
        <v>33</v>
      </c>
    </row>
    <row r="35" spans="2:28">
      <c r="B35" s="510" t="s">
        <v>258</v>
      </c>
      <c r="C35" s="202"/>
      <c r="D35" s="202"/>
      <c r="E35" s="203">
        <v>0</v>
      </c>
      <c r="F35" s="552">
        <v>0</v>
      </c>
      <c r="G35" s="567">
        <v>250157</v>
      </c>
      <c r="H35" s="568">
        <v>381869</v>
      </c>
      <c r="I35" s="569">
        <f t="shared" si="30"/>
        <v>381869</v>
      </c>
      <c r="J35" s="569">
        <v>393554</v>
      </c>
      <c r="K35" s="570">
        <v>399835</v>
      </c>
      <c r="L35" s="567">
        <f t="shared" si="30"/>
        <v>399835</v>
      </c>
      <c r="M35" s="567">
        <f t="shared" ref="M35:AB35" si="32">L35+M126</f>
        <v>419151.76</v>
      </c>
      <c r="N35" s="567">
        <f t="shared" si="32"/>
        <v>587519.42712000001</v>
      </c>
      <c r="O35" s="567">
        <f t="shared" si="32"/>
        <v>835789.12568304001</v>
      </c>
      <c r="P35" s="567">
        <f t="shared" si="32"/>
        <v>865466.93413486553</v>
      </c>
      <c r="Q35" s="567">
        <f t="shared" si="32"/>
        <v>907567.91020586691</v>
      </c>
      <c r="R35" s="567">
        <f t="shared" si="32"/>
        <v>947933.24085029378</v>
      </c>
      <c r="S35" s="567">
        <f t="shared" si="32"/>
        <v>994682.40663776826</v>
      </c>
      <c r="T35" s="567">
        <f t="shared" si="32"/>
        <v>1049289.05043353</v>
      </c>
      <c r="U35" s="567">
        <f t="shared" si="32"/>
        <v>1113626.2271931791</v>
      </c>
      <c r="V35" s="567">
        <f t="shared" si="32"/>
        <v>1190081.3581864215</v>
      </c>
      <c r="W35" s="567">
        <f t="shared" si="32"/>
        <v>1277777.9273980793</v>
      </c>
      <c r="X35" s="567">
        <f t="shared" si="32"/>
        <v>1373946.421725913</v>
      </c>
      <c r="Y35" s="567">
        <f t="shared" si="32"/>
        <v>1479475.831254886</v>
      </c>
      <c r="Z35" s="567">
        <f t="shared" si="32"/>
        <v>1595353.6597798432</v>
      </c>
      <c r="AA35" s="567">
        <f t="shared" si="32"/>
        <v>1722677.2558317834</v>
      </c>
      <c r="AB35" s="567">
        <f t="shared" si="32"/>
        <v>1862666.4833961828</v>
      </c>
    </row>
    <row r="36" spans="2:28">
      <c r="B36" s="510" t="s">
        <v>433</v>
      </c>
      <c r="C36" s="202"/>
      <c r="D36" s="202"/>
      <c r="E36" s="203">
        <v>0</v>
      </c>
      <c r="F36" s="552">
        <v>0</v>
      </c>
      <c r="G36" s="552">
        <v>0</v>
      </c>
      <c r="H36" s="568"/>
      <c r="I36" s="569"/>
      <c r="J36" s="569"/>
      <c r="K36" s="570"/>
      <c r="L36" s="552">
        <v>0</v>
      </c>
      <c r="M36" s="567">
        <v>-43</v>
      </c>
      <c r="N36" s="567">
        <f>M36</f>
        <v>-43</v>
      </c>
      <c r="O36" s="567">
        <f>N36</f>
        <v>-43</v>
      </c>
      <c r="P36" s="567">
        <f>O36</f>
        <v>-43</v>
      </c>
      <c r="Q36" s="567">
        <f>P36</f>
        <v>-43</v>
      </c>
      <c r="R36" s="567">
        <f>Q36</f>
        <v>-43</v>
      </c>
      <c r="S36" s="567">
        <f t="shared" ref="S36:AB36" si="33">R36</f>
        <v>-43</v>
      </c>
      <c r="T36" s="567">
        <f t="shared" si="33"/>
        <v>-43</v>
      </c>
      <c r="U36" s="567">
        <f t="shared" si="33"/>
        <v>-43</v>
      </c>
      <c r="V36" s="567">
        <f t="shared" si="33"/>
        <v>-43</v>
      </c>
      <c r="W36" s="567">
        <f t="shared" si="33"/>
        <v>-43</v>
      </c>
      <c r="X36" s="567">
        <f t="shared" si="33"/>
        <v>-43</v>
      </c>
      <c r="Y36" s="567">
        <f t="shared" si="33"/>
        <v>-43</v>
      </c>
      <c r="Z36" s="567">
        <f t="shared" si="33"/>
        <v>-43</v>
      </c>
      <c r="AA36" s="567">
        <f t="shared" si="33"/>
        <v>-43</v>
      </c>
      <c r="AB36" s="567">
        <f t="shared" si="33"/>
        <v>-43</v>
      </c>
    </row>
    <row r="37" spans="2:28">
      <c r="B37" s="510" t="s">
        <v>259</v>
      </c>
      <c r="C37" s="202"/>
      <c r="D37" s="202"/>
      <c r="E37" s="202">
        <v>-232694</v>
      </c>
      <c r="F37" s="552">
        <v>-290976</v>
      </c>
      <c r="G37" s="567">
        <v>-192324</v>
      </c>
      <c r="H37" s="568">
        <v>-201444</v>
      </c>
      <c r="I37" s="569">
        <f>H37+'XLRN - IS'!N46</f>
        <v>-217994</v>
      </c>
      <c r="J37" s="569">
        <f>I37+'XLRN - IS'!O46</f>
        <v>-225966</v>
      </c>
      <c r="K37" s="570">
        <f>K15-K30-K34-K35</f>
        <v>-243583</v>
      </c>
      <c r="L37" s="567">
        <f>K37</f>
        <v>-243583</v>
      </c>
      <c r="M37" s="567">
        <f t="shared" ref="M37:AB37" si="34">M15-M30-M35-M34-M36</f>
        <v>-307439</v>
      </c>
      <c r="N37" s="567">
        <f t="shared" si="34"/>
        <v>-364451</v>
      </c>
      <c r="O37" s="567">
        <f t="shared" si="34"/>
        <v>-472903.99999999994</v>
      </c>
      <c r="P37" s="567">
        <f t="shared" si="34"/>
        <v>-615554</v>
      </c>
      <c r="Q37" s="567">
        <f t="shared" si="34"/>
        <v>-629134.08364000055</v>
      </c>
      <c r="R37" s="567">
        <f t="shared" si="34"/>
        <v>-703988.16647065512</v>
      </c>
      <c r="S37" s="567">
        <f t="shared" si="34"/>
        <v>-754978.01451749215</v>
      </c>
      <c r="T37" s="567">
        <f t="shared" si="34"/>
        <v>-753728.68145669089</v>
      </c>
      <c r="U37" s="567">
        <f t="shared" si="34"/>
        <v>-745368.52822761028</v>
      </c>
      <c r="V37" s="567">
        <f t="shared" si="34"/>
        <v>-724339.72824211023</v>
      </c>
      <c r="W37" s="567">
        <f t="shared" si="34"/>
        <v>-718568.60189906624</v>
      </c>
      <c r="X37" s="567">
        <f t="shared" si="34"/>
        <v>-704264.77128762915</v>
      </c>
      <c r="Y37" s="567">
        <f t="shared" si="34"/>
        <v>-708874.69254296436</v>
      </c>
      <c r="Z37" s="567">
        <f t="shared" si="34"/>
        <v>-726051.51978145353</v>
      </c>
      <c r="AA37" s="567">
        <f t="shared" si="34"/>
        <v>-750147.73077970452</v>
      </c>
      <c r="AB37" s="567">
        <f t="shared" si="34"/>
        <v>-788130.61266085971</v>
      </c>
    </row>
    <row r="38" spans="2:28">
      <c r="B38" s="516" t="s">
        <v>262</v>
      </c>
      <c r="C38" s="202"/>
      <c r="D38" s="202"/>
      <c r="E38" s="204">
        <f t="shared" ref="E38:L38" si="35">E34+E35+E36+E37</f>
        <v>-232691</v>
      </c>
      <c r="F38" s="589">
        <f t="shared" si="35"/>
        <v>-290973</v>
      </c>
      <c r="G38" s="589">
        <f t="shared" si="35"/>
        <v>57862</v>
      </c>
      <c r="H38" s="590">
        <f t="shared" si="35"/>
        <v>180457</v>
      </c>
      <c r="I38" s="591">
        <f t="shared" si="35"/>
        <v>163907</v>
      </c>
      <c r="J38" s="591">
        <f t="shared" si="35"/>
        <v>167621</v>
      </c>
      <c r="K38" s="592">
        <f t="shared" si="35"/>
        <v>156285</v>
      </c>
      <c r="L38" s="589">
        <f t="shared" si="35"/>
        <v>156285</v>
      </c>
      <c r="M38" s="589">
        <f t="shared" ref="M38:AB38" si="36">M34+M35+M36+M37</f>
        <v>111702.76000000001</v>
      </c>
      <c r="N38" s="589">
        <f t="shared" si="36"/>
        <v>223058.42712000001</v>
      </c>
      <c r="O38" s="589">
        <f t="shared" si="36"/>
        <v>362875.12568304007</v>
      </c>
      <c r="P38" s="589">
        <f t="shared" si="36"/>
        <v>249902.93413486553</v>
      </c>
      <c r="Q38" s="589">
        <f t="shared" si="36"/>
        <v>278423.82656586636</v>
      </c>
      <c r="R38" s="589">
        <f t="shared" si="36"/>
        <v>243935.07437963865</v>
      </c>
      <c r="S38" s="589">
        <f t="shared" si="36"/>
        <v>239694.39212027611</v>
      </c>
      <c r="T38" s="589">
        <f t="shared" si="36"/>
        <v>295550.36897683912</v>
      </c>
      <c r="U38" s="589">
        <f t="shared" si="36"/>
        <v>368247.69896556879</v>
      </c>
      <c r="V38" s="589">
        <f t="shared" si="36"/>
        <v>465731.62994431122</v>
      </c>
      <c r="W38" s="589">
        <f t="shared" si="36"/>
        <v>559199.32549901307</v>
      </c>
      <c r="X38" s="589">
        <f t="shared" si="36"/>
        <v>669671.6504382838</v>
      </c>
      <c r="Y38" s="589">
        <f t="shared" si="36"/>
        <v>770591.13871192164</v>
      </c>
      <c r="Z38" s="589">
        <f t="shared" si="36"/>
        <v>869292.13999838964</v>
      </c>
      <c r="AA38" s="589">
        <f t="shared" si="36"/>
        <v>972519.52505207888</v>
      </c>
      <c r="AB38" s="589">
        <f t="shared" si="36"/>
        <v>1074525.8707353231</v>
      </c>
    </row>
    <row r="39" spans="2:28">
      <c r="B39" s="517" t="s">
        <v>263</v>
      </c>
      <c r="C39" s="221"/>
      <c r="D39" s="221"/>
      <c r="E39" s="222">
        <f t="shared" ref="E39:R39" si="37">E38+E30+E32</f>
        <v>73789</v>
      </c>
      <c r="F39" s="575">
        <f t="shared" si="37"/>
        <v>49212</v>
      </c>
      <c r="G39" s="575">
        <f t="shared" si="37"/>
        <v>123782</v>
      </c>
      <c r="H39" s="576">
        <f t="shared" si="37"/>
        <v>223040</v>
      </c>
      <c r="I39" s="577">
        <f t="shared" si="37"/>
        <v>208724</v>
      </c>
      <c r="J39" s="577">
        <f t="shared" si="37"/>
        <v>200711.6</v>
      </c>
      <c r="K39" s="578">
        <f t="shared" si="37"/>
        <v>186296</v>
      </c>
      <c r="L39" s="575">
        <f t="shared" si="37"/>
        <v>186296</v>
      </c>
      <c r="M39" s="575">
        <f t="shared" si="37"/>
        <v>135395.23000000001</v>
      </c>
      <c r="N39" s="575">
        <f t="shared" si="37"/>
        <v>248027.67712000001</v>
      </c>
      <c r="O39" s="575">
        <f t="shared" si="37"/>
        <v>392333.80568304006</v>
      </c>
      <c r="P39" s="575">
        <f t="shared" si="37"/>
        <v>283445.93413486553</v>
      </c>
      <c r="Q39" s="575">
        <f t="shared" si="37"/>
        <v>315266.82656586636</v>
      </c>
      <c r="R39" s="575">
        <f t="shared" si="37"/>
        <v>283658.07437963865</v>
      </c>
      <c r="S39" s="575">
        <f t="shared" ref="S39:AB39" si="38">S38+S30+S32</f>
        <v>282321.39212027611</v>
      </c>
      <c r="T39" s="575">
        <f t="shared" si="38"/>
        <v>341721.56897683913</v>
      </c>
      <c r="U39" s="575">
        <f t="shared" si="38"/>
        <v>418783.80896556878</v>
      </c>
      <c r="V39" s="575">
        <f t="shared" si="38"/>
        <v>521687.44544431125</v>
      </c>
      <c r="W39" s="575">
        <f t="shared" si="38"/>
        <v>620048.32077401306</v>
      </c>
      <c r="X39" s="575">
        <f t="shared" si="38"/>
        <v>733961.96107703377</v>
      </c>
      <c r="Y39" s="575">
        <f t="shared" si="38"/>
        <v>838607.9320426092</v>
      </c>
      <c r="Z39" s="575">
        <f t="shared" si="38"/>
        <v>941346.15187161148</v>
      </c>
      <c r="AA39" s="575">
        <f t="shared" si="38"/>
        <v>1048949.4692825619</v>
      </c>
      <c r="AB39" s="575">
        <f t="shared" si="38"/>
        <v>1155701.0821172902</v>
      </c>
    </row>
    <row r="40" spans="2:28">
      <c r="B40" s="211"/>
      <c r="C40" s="211"/>
      <c r="D40" s="211"/>
      <c r="E40" s="212"/>
    </row>
    <row r="41" spans="2:28">
      <c r="B41" s="433"/>
      <c r="C41" s="211"/>
      <c r="D41" s="211"/>
      <c r="E41" s="212"/>
      <c r="N41" s="208"/>
    </row>
    <row r="42" spans="2:28">
      <c r="B42" s="211"/>
      <c r="C42" s="211"/>
      <c r="D42" s="211"/>
      <c r="E42" s="212"/>
    </row>
    <row r="43" spans="2:28">
      <c r="B43" s="211"/>
      <c r="C43" s="211"/>
      <c r="D43" s="211"/>
      <c r="E43" s="212"/>
    </row>
    <row r="44" spans="2:28">
      <c r="B44" s="211"/>
      <c r="C44" s="211"/>
      <c r="D44" s="211"/>
      <c r="E44" s="212"/>
    </row>
    <row r="45" spans="2:28">
      <c r="B45" s="211"/>
      <c r="C45" s="211"/>
      <c r="D45" s="211"/>
      <c r="E45" s="212"/>
    </row>
    <row r="46" spans="2:28">
      <c r="B46" s="211"/>
      <c r="C46" s="211"/>
      <c r="D46" s="211"/>
      <c r="E46" s="212"/>
    </row>
    <row r="47" spans="2:28">
      <c r="B47" s="211" t="s">
        <v>448</v>
      </c>
      <c r="C47" s="211"/>
      <c r="D47" s="211"/>
      <c r="E47" s="212"/>
    </row>
    <row r="48" spans="2:28" hidden="1" outlineLevel="1">
      <c r="B48" s="466" t="s">
        <v>145</v>
      </c>
      <c r="C48" s="443"/>
      <c r="D48" s="443"/>
      <c r="E48" s="467">
        <f>'XLRN - IS'!F21</f>
        <v>80911</v>
      </c>
      <c r="F48" s="467">
        <f>'XLRN - IS'!G21</f>
        <v>15254</v>
      </c>
      <c r="G48" s="467">
        <f>'XLRN - IS'!L21</f>
        <v>57230</v>
      </c>
      <c r="H48" s="467">
        <f>'XLRN - IS'!M21</f>
        <v>3307</v>
      </c>
      <c r="I48" s="467">
        <f>'XLRN - IS'!N21</f>
        <v>4078</v>
      </c>
      <c r="J48" s="467">
        <f>'XLRN - IS'!O21</f>
        <v>3508</v>
      </c>
      <c r="K48" s="467">
        <f>'XLRN - IS'!P21</f>
        <v>3739</v>
      </c>
      <c r="L48" s="467">
        <f>'XLRN - IS'!Q21</f>
        <v>14632</v>
      </c>
      <c r="M48" s="467">
        <f>'XLRN - IS'!V21</f>
        <v>18096</v>
      </c>
      <c r="N48" s="467">
        <f>'XLRN - IS'!AA21</f>
        <v>27771</v>
      </c>
      <c r="O48" s="467">
        <f>'XLRN - IS'!AF21</f>
        <v>13481</v>
      </c>
      <c r="P48" s="467">
        <f>'XLRN - IS'!AK21</f>
        <v>13650</v>
      </c>
      <c r="Q48" s="467">
        <f>'XLRN - IS'!AL21</f>
        <v>170191.83470707003</v>
      </c>
      <c r="R48" s="467">
        <f>'XLRN - IS'!AM21</f>
        <v>137329.78414413653</v>
      </c>
      <c r="S48" s="467">
        <f>'XLRN - IS'!AN21</f>
        <v>192128.94306706119</v>
      </c>
      <c r="T48" s="467">
        <f>'XLRN - IS'!AO21</f>
        <v>295408.73908272601</v>
      </c>
      <c r="U48" s="467">
        <f>'XLRN - IS'!AP21</f>
        <v>354173.361851895</v>
      </c>
      <c r="V48" s="467">
        <f>'XLRN - IS'!AQ21</f>
        <v>453291.4720149507</v>
      </c>
      <c r="W48" s="467">
        <f>'XLRN - IS'!AR21</f>
        <v>502718.57975514326</v>
      </c>
      <c r="X48" s="467">
        <f>'XLRN - IS'!AS21</f>
        <v>582738.70087982307</v>
      </c>
      <c r="Y48" s="467">
        <f>'XLRN - IS'!AT21</f>
        <v>624276.30924284842</v>
      </c>
      <c r="Z48" s="467">
        <f>'XLRN - IS'!AU21</f>
        <v>685190.15735642507</v>
      </c>
      <c r="AA48" s="467">
        <f>'XLRN - IS'!AV21</f>
        <v>747145.62042714702</v>
      </c>
      <c r="AB48" s="468">
        <f>'XLRN - IS'!AW21</f>
        <v>795976.15595915646</v>
      </c>
    </row>
    <row r="49" spans="2:28" hidden="1" outlineLevel="1">
      <c r="B49" s="469" t="s">
        <v>226</v>
      </c>
      <c r="C49" s="211"/>
      <c r="D49" s="211"/>
      <c r="E49" s="337">
        <f>'XLRN - IS'!F13</f>
        <v>0</v>
      </c>
      <c r="F49" s="337">
        <f>'XLRN - IS'!G13</f>
        <v>0</v>
      </c>
      <c r="G49" s="337">
        <f>'XLRN - IS'!L13</f>
        <v>0</v>
      </c>
      <c r="H49" s="337">
        <f>'XLRN - IS'!M13</f>
        <v>0</v>
      </c>
      <c r="I49" s="337">
        <f>'XLRN - IS'!N13</f>
        <v>0</v>
      </c>
      <c r="J49" s="337">
        <f>'XLRN - IS'!O13</f>
        <v>0</v>
      </c>
      <c r="K49" s="337">
        <f>'XLRN - IS'!P13</f>
        <v>0</v>
      </c>
      <c r="L49" s="337">
        <f>'XLRN - IS'!Q13</f>
        <v>0</v>
      </c>
      <c r="M49" s="337">
        <f>'XLRN - IS'!V13</f>
        <v>0</v>
      </c>
      <c r="N49" s="337">
        <f>'XLRN - IS'!AA13</f>
        <v>0</v>
      </c>
      <c r="O49" s="337">
        <f>'XLRN - IS'!AF13</f>
        <v>0</v>
      </c>
      <c r="P49" s="337">
        <f>'XLRN - IS'!AK13</f>
        <v>0</v>
      </c>
      <c r="Q49" s="337">
        <f>'XLRN - IS'!AL13</f>
        <v>0</v>
      </c>
      <c r="R49" s="337">
        <f>'XLRN - IS'!AM13</f>
        <v>0</v>
      </c>
      <c r="S49" s="337">
        <f>'XLRN - IS'!AN13</f>
        <v>0</v>
      </c>
      <c r="T49" s="337">
        <f>'XLRN - IS'!AO13</f>
        <v>0</v>
      </c>
      <c r="U49" s="337">
        <f>'XLRN - IS'!AP13</f>
        <v>0</v>
      </c>
      <c r="V49" s="337">
        <f>'XLRN - IS'!AQ13</f>
        <v>0</v>
      </c>
      <c r="W49" s="337">
        <f>'XLRN - IS'!AR13</f>
        <v>0</v>
      </c>
      <c r="X49" s="337">
        <f>'XLRN - IS'!AS13</f>
        <v>0</v>
      </c>
      <c r="Y49" s="337">
        <f>'XLRN - IS'!AT13</f>
        <v>0</v>
      </c>
      <c r="Z49" s="337">
        <f>'XLRN - IS'!AU13</f>
        <v>0</v>
      </c>
      <c r="AA49" s="337">
        <f>'XLRN - IS'!AV13</f>
        <v>0</v>
      </c>
      <c r="AB49" s="459">
        <f>'XLRN - IS'!AW13</f>
        <v>0</v>
      </c>
    </row>
    <row r="50" spans="2:28" hidden="1" outlineLevel="1">
      <c r="B50" s="469" t="s">
        <v>33</v>
      </c>
      <c r="C50" s="211"/>
      <c r="D50" s="211"/>
      <c r="E50" s="337">
        <f>'XLRN - IS'!F22</f>
        <v>0</v>
      </c>
      <c r="F50" s="337">
        <f>'XLRN - IS'!G22</f>
        <v>0</v>
      </c>
      <c r="G50" s="337">
        <f>'XLRN - IS'!L22</f>
        <v>0</v>
      </c>
      <c r="H50" s="337">
        <f>'XLRN - IS'!M22</f>
        <v>0</v>
      </c>
      <c r="I50" s="337">
        <f>'XLRN - IS'!N22</f>
        <v>0</v>
      </c>
      <c r="J50" s="337">
        <f>'XLRN - IS'!O22</f>
        <v>0</v>
      </c>
      <c r="K50" s="337">
        <f>'XLRN - IS'!P22</f>
        <v>0</v>
      </c>
      <c r="L50" s="337">
        <f>'XLRN - IS'!Q22</f>
        <v>0</v>
      </c>
      <c r="M50" s="337">
        <f>'XLRN - IS'!V22</f>
        <v>0</v>
      </c>
      <c r="N50" s="337">
        <f>'XLRN - IS'!AA22</f>
        <v>0</v>
      </c>
      <c r="O50" s="337">
        <f>'XLRN - IS'!AF22</f>
        <v>0</v>
      </c>
      <c r="P50" s="337">
        <f>'XLRN - IS'!AK22</f>
        <v>0</v>
      </c>
      <c r="Q50" s="337">
        <f>'XLRN - IS'!AL22</f>
        <v>271.91834707070046</v>
      </c>
      <c r="R50" s="337">
        <f>'XLRN - IS'!AM22</f>
        <v>4683.8669747909325</v>
      </c>
      <c r="S50" s="337">
        <f>'XLRN - IS'!AN22</f>
        <v>20416.999592751767</v>
      </c>
      <c r="T50" s="337">
        <f>'XLRN - IS'!AO22</f>
        <v>32507.961668324286</v>
      </c>
      <c r="U50" s="337">
        <f>'XLRN - IS'!AP22</f>
        <v>43702.337653309369</v>
      </c>
      <c r="V50" s="337">
        <f>'XLRN - IS'!AQ22</f>
        <v>78166.009537258578</v>
      </c>
      <c r="W50" s="337">
        <f>'XLRN - IS'!AR22</f>
        <v>110289.96321776815</v>
      </c>
      <c r="X50" s="337">
        <f>'XLRN - IS'!AS22</f>
        <v>148505.21897520829</v>
      </c>
      <c r="Y50" s="337">
        <f>'XLRN - IS'!AT22</f>
        <v>188086.88470045541</v>
      </c>
      <c r="Z50" s="337">
        <f>'XLRN - IS'!AU22</f>
        <v>234690.94647212356</v>
      </c>
      <c r="AA50" s="337">
        <f>'XLRN - IS'!AV22</f>
        <v>270825.5123499186</v>
      </c>
      <c r="AB50" s="459">
        <f>'XLRN - IS'!AW22</f>
        <v>301476.26400351513</v>
      </c>
    </row>
    <row r="51" spans="2:28" hidden="1" outlineLevel="1">
      <c r="B51" s="469" t="s">
        <v>364</v>
      </c>
      <c r="C51" s="211"/>
      <c r="D51" s="211"/>
      <c r="E51" s="337">
        <f>'XLRN - IS'!F38</f>
        <v>42355</v>
      </c>
      <c r="F51" s="337">
        <f>'XLRN - IS'!G38</f>
        <v>44143</v>
      </c>
      <c r="G51" s="337">
        <f>'XLRN - IS'!L38</f>
        <v>50278</v>
      </c>
      <c r="H51" s="337">
        <f>'XLRN - IS'!M38</f>
        <v>15515</v>
      </c>
      <c r="I51" s="337">
        <f>'XLRN - IS'!N38</f>
        <v>21389</v>
      </c>
      <c r="J51" s="337">
        <f>'XLRN - IS'!O38</f>
        <v>14899</v>
      </c>
      <c r="K51" s="337">
        <f>'XLRN - IS'!P38</f>
        <v>18293</v>
      </c>
      <c r="L51" s="337">
        <f>'XLRN - IS'!Q38</f>
        <v>70096</v>
      </c>
      <c r="M51" s="337">
        <f>'XLRN - IS'!V38</f>
        <v>78977</v>
      </c>
      <c r="N51" s="337">
        <f>'XLRN - IS'!AA38</f>
        <v>93875</v>
      </c>
      <c r="O51" s="337">
        <f>'XLRN - IS'!AF38</f>
        <v>123464</v>
      </c>
      <c r="P51" s="337">
        <f>'XLRN - IS'!AK38</f>
        <v>157500</v>
      </c>
      <c r="Q51" s="337">
        <f>'XLRN - IS'!AL38</f>
        <v>185000</v>
      </c>
      <c r="R51" s="337">
        <f>'XLRN - IS'!AM38</f>
        <v>209000</v>
      </c>
      <c r="S51" s="337">
        <f>'XLRN - IS'!AN38</f>
        <v>233200</v>
      </c>
      <c r="T51" s="337">
        <f>'XLRN - IS'!AO38</f>
        <v>262735</v>
      </c>
      <c r="U51" s="337">
        <f>'XLRN - IS'!AP38</f>
        <v>299109.25</v>
      </c>
      <c r="V51" s="337">
        <f>'XLRN - IS'!AQ38</f>
        <v>344273.46250000002</v>
      </c>
      <c r="W51" s="337">
        <f>'XLRN - IS'!AR38</f>
        <v>385049.96062500001</v>
      </c>
      <c r="X51" s="337">
        <f>'XLRN - IS'!AS38</f>
        <v>413727.58865625004</v>
      </c>
      <c r="Y51" s="337">
        <f>'XLRN - IS'!AT38</f>
        <v>444781.61108906253</v>
      </c>
      <c r="Z51" s="337">
        <f>'XLRN - IS'!AU38</f>
        <v>478425.09894351568</v>
      </c>
      <c r="AA51" s="337">
        <f>'XLRN - IS'!AV38</f>
        <v>514891.20192069153</v>
      </c>
      <c r="AB51" s="459">
        <f>'XLRN - IS'!AW38</f>
        <v>554435.09484972619</v>
      </c>
    </row>
    <row r="52" spans="2:28" hidden="1" outlineLevel="1">
      <c r="B52" s="469" t="s">
        <v>149</v>
      </c>
      <c r="C52" s="211"/>
      <c r="D52" s="211"/>
      <c r="E52" s="337">
        <f>'XLRN - IS'!F44</f>
        <v>0</v>
      </c>
      <c r="F52" s="337">
        <f>'XLRN - IS'!G44</f>
        <v>0</v>
      </c>
      <c r="G52" s="337">
        <f>'XLRN - IS'!L44</f>
        <v>0</v>
      </c>
      <c r="H52" s="337">
        <f>'XLRN - IS'!M44</f>
        <v>0</v>
      </c>
      <c r="I52" s="337">
        <f>'XLRN - IS'!N44</f>
        <v>0</v>
      </c>
      <c r="J52" s="337">
        <f>'XLRN - IS'!O44</f>
        <v>0</v>
      </c>
      <c r="K52" s="337">
        <f>'XLRN - IS'!P44</f>
        <v>0</v>
      </c>
      <c r="L52" s="337">
        <f>'XLRN - IS'!Q44</f>
        <v>0</v>
      </c>
      <c r="M52" s="337">
        <f>'XLRN - IS'!V44</f>
        <v>0</v>
      </c>
      <c r="N52" s="337">
        <f>'XLRN - IS'!AA44</f>
        <v>24</v>
      </c>
      <c r="O52" s="337">
        <f>'XLRN - IS'!AF44</f>
        <v>31</v>
      </c>
      <c r="P52" s="337">
        <f>'XLRN - IS'!AK44</f>
        <v>0</v>
      </c>
      <c r="Q52" s="337">
        <f>'XLRN - IS'!AL44</f>
        <v>0</v>
      </c>
      <c r="R52" s="337">
        <f>'XLRN - IS'!AM44</f>
        <v>0</v>
      </c>
      <c r="S52" s="337">
        <f>'XLRN - IS'!AN44</f>
        <v>-8998.2084788535849</v>
      </c>
      <c r="T52" s="337">
        <f>'XLRN - IS'!AO44</f>
        <v>416.44435360042553</v>
      </c>
      <c r="U52" s="337">
        <f>'XLRN - IS'!AP44</f>
        <v>4501.6209695049793</v>
      </c>
      <c r="V52" s="337">
        <f>'XLRN - IS'!AQ44</f>
        <v>11323.199992192231</v>
      </c>
      <c r="W52" s="337">
        <f>'XLRN - IS'!AR44</f>
        <v>3107.5295693312974</v>
      </c>
      <c r="X52" s="337">
        <f>'XLRN - IS'!AS44</f>
        <v>7702.062636927657</v>
      </c>
      <c r="Y52" s="337">
        <f>'XLRN - IS'!AT44</f>
        <v>-2482.2652913343304</v>
      </c>
      <c r="Z52" s="337">
        <f>'XLRN - IS'!AU44</f>
        <v>-9249.060820724957</v>
      </c>
      <c r="AA52" s="337">
        <f>'XLRN - IS'!AV44</f>
        <v>-12974.882845212087</v>
      </c>
      <c r="AB52" s="459">
        <f>'XLRN - IS'!AW44</f>
        <v>-20452.321012929697</v>
      </c>
    </row>
    <row r="53" spans="2:28" hidden="1" outlineLevel="1">
      <c r="B53" s="469" t="s">
        <v>365</v>
      </c>
      <c r="C53" s="211"/>
      <c r="D53" s="211"/>
      <c r="E53" s="337">
        <f>'XLRN - IS'!F50</f>
        <v>2114</v>
      </c>
      <c r="F53" s="337">
        <f>'XLRN - IS'!G50</f>
        <v>-59643</v>
      </c>
      <c r="G53" s="337">
        <f>'XLRN - IS'!L50</f>
        <v>-39003</v>
      </c>
      <c r="H53" s="337">
        <f>'XLRN - IS'!M50</f>
        <v>-9120</v>
      </c>
      <c r="I53" s="337">
        <f>'XLRN - IS'!N50</f>
        <v>-16550</v>
      </c>
      <c r="J53" s="337">
        <f>'XLRN - IS'!O50</f>
        <v>-7972</v>
      </c>
      <c r="K53" s="337">
        <f>'XLRN - IS'!P50</f>
        <v>-17617</v>
      </c>
      <c r="L53" s="337">
        <f>'XLRN - IS'!Q50</f>
        <v>-51259</v>
      </c>
      <c r="M53" s="337">
        <f>'XLRN - IS'!V50</f>
        <v>-63897</v>
      </c>
      <c r="N53" s="337">
        <f>'XLRN - IS'!AA50</f>
        <v>-57012</v>
      </c>
      <c r="O53" s="337">
        <f>'XLRN - IS'!AF50</f>
        <v>-108453</v>
      </c>
      <c r="P53" s="337">
        <f>'XLRN - IS'!AK50</f>
        <v>-142650</v>
      </c>
      <c r="Q53" s="337">
        <f>'XLRN - IS'!AL50</f>
        <v>-13580.083640000666</v>
      </c>
      <c r="R53" s="337">
        <f>'XLRN - IS'!AM50</f>
        <v>-74854.082830654399</v>
      </c>
      <c r="S53" s="337">
        <f>'XLRN - IS'!AN50</f>
        <v>-50989.848046836982</v>
      </c>
      <c r="T53" s="337">
        <f>'XLRN - IS'!AO50</f>
        <v>1249.3330608012766</v>
      </c>
      <c r="U53" s="337">
        <f>'XLRN - IS'!AP50</f>
        <v>8360.1532290806754</v>
      </c>
      <c r="V53" s="337">
        <f>'XLRN - IS'!AQ50</f>
        <v>21028.799985499856</v>
      </c>
      <c r="W53" s="337">
        <f>'XLRN - IS'!AR50</f>
        <v>5771.1263430438385</v>
      </c>
      <c r="X53" s="337">
        <f>'XLRN - IS'!AS50</f>
        <v>14303.830611437079</v>
      </c>
      <c r="Y53" s="337">
        <f>'XLRN - IS'!AT50</f>
        <v>-4609.9212553351863</v>
      </c>
      <c r="Z53" s="337">
        <f>'XLRN - IS'!AU50</f>
        <v>-17176.827238489208</v>
      </c>
      <c r="AA53" s="337">
        <f>'XLRN - IS'!AV50</f>
        <v>-24096.210998251023</v>
      </c>
      <c r="AB53" s="459">
        <f>'XLRN - IS'!AW50</f>
        <v>-37982.881881155161</v>
      </c>
    </row>
    <row r="54" spans="2:28" hidden="1" outlineLevel="1">
      <c r="B54" s="469" t="s">
        <v>366</v>
      </c>
      <c r="C54" s="211"/>
      <c r="D54" s="211"/>
      <c r="E54" s="337">
        <f>'XLRN - CFS'!F26</f>
        <v>9056</v>
      </c>
      <c r="F54" s="337">
        <f>'XLRN - CFS'!G26</f>
        <v>-38884</v>
      </c>
      <c r="G54" s="337">
        <f>'XLRN - CFS'!H26</f>
        <v>-19650</v>
      </c>
      <c r="H54" s="337">
        <f>'XLRN - CFS'!I26</f>
        <v>-12472</v>
      </c>
      <c r="I54" s="337">
        <f>'XLRN - CFS'!J26</f>
        <v>-15773</v>
      </c>
      <c r="J54" s="337">
        <f>'XLRN - CFS'!K26</f>
        <v>-11356</v>
      </c>
      <c r="K54" s="337">
        <f>'XLRN - CFS'!L26</f>
        <v>-13619</v>
      </c>
      <c r="L54" s="337">
        <f>'XLRN - CFS'!M26</f>
        <v>-53220</v>
      </c>
      <c r="M54" s="337">
        <f>'XLRN - CFS'!N26</f>
        <v>-55794.879999999997</v>
      </c>
      <c r="N54" s="337">
        <f>'XLRN - CFS'!O26</f>
        <v>-36658.595000000001</v>
      </c>
      <c r="O54" s="337">
        <f>'XLRN - CFS'!P26</f>
        <v>-79966.682499999981</v>
      </c>
      <c r="P54" s="337">
        <f>'XLRN - CFS'!Q26</f>
        <v>-115431.90750000002</v>
      </c>
      <c r="Q54" s="337">
        <f>'XLRN - CFS'!R26</f>
        <v>13766.748930504438</v>
      </c>
      <c r="R54" s="337">
        <f>'XLRN - CFS'!S26</f>
        <v>-36481.653099807685</v>
      </c>
      <c r="S54" s="337">
        <f>'XLRN - CFS'!T26</f>
        <v>-12514.254716541851</v>
      </c>
      <c r="T54" s="337">
        <f>'XLRN - CFS'!U26</f>
        <v>42978.138417768037</v>
      </c>
      <c r="U54" s="337">
        <f>'XLRN - CFS'!V26</f>
        <v>61253.396979534737</v>
      </c>
      <c r="V54" s="337">
        <f>'XLRN - CFS'!W26</f>
        <v>83280.431982096459</v>
      </c>
      <c r="W54" s="337">
        <f>'XLRN - CFS'!X26</f>
        <v>79220.646661496008</v>
      </c>
      <c r="X54" s="337">
        <f>'XLRN - CFS'!Y26</f>
        <v>90984.234132734142</v>
      </c>
      <c r="Y54" s="337">
        <f>'XLRN - CFS'!Z26</f>
        <v>81090.131327736774</v>
      </c>
      <c r="Z54" s="337">
        <f>'XLRN - CFS'!AA26</f>
        <v>75334.680278154294</v>
      </c>
      <c r="AA54" s="337">
        <f>'XLRN - CFS'!AB26</f>
        <v>76898.433401294984</v>
      </c>
      <c r="AB54" s="459">
        <f>'XLRN - CFS'!AC26</f>
        <v>73035.937808065792</v>
      </c>
    </row>
    <row r="55" spans="2:28" hidden="1" outlineLevel="1">
      <c r="B55" s="469" t="s">
        <v>367</v>
      </c>
      <c r="C55" s="211"/>
      <c r="D55" s="211"/>
      <c r="E55" s="337">
        <f>'XLRN - CFS'!F30</f>
        <v>-27</v>
      </c>
      <c r="F55" s="337">
        <f>'XLRN - CFS'!G30</f>
        <v>-441</v>
      </c>
      <c r="G55" s="337">
        <f>'XLRN - CFS'!H30</f>
        <v>-307</v>
      </c>
      <c r="H55" s="337">
        <f>'XLRN - CFS'!I30</f>
        <v>-150</v>
      </c>
      <c r="I55" s="337">
        <f>'XLRN - CFS'!J30</f>
        <v>-229</v>
      </c>
      <c r="J55" s="337">
        <f>'XLRN - CFS'!K30</f>
        <v>-119</v>
      </c>
      <c r="K55" s="337">
        <f>'XLRN - CFS'!L30</f>
        <v>-16</v>
      </c>
      <c r="L55" s="337">
        <f>'XLRN - CFS'!M30</f>
        <v>-514</v>
      </c>
      <c r="M55" s="337">
        <f>'XLRN - CFS'!N30</f>
        <v>-771</v>
      </c>
      <c r="N55" s="337">
        <f>'XLRN - CFS'!O30</f>
        <v>-1156.5</v>
      </c>
      <c r="O55" s="337">
        <f>'XLRN - CFS'!P30</f>
        <v>-1503.45</v>
      </c>
      <c r="P55" s="337">
        <f>'XLRN - CFS'!Q30</f>
        <v>-1804.14</v>
      </c>
      <c r="Q55" s="337">
        <f>'XLRN - CFS'!R30</f>
        <v>-1984.5540000000003</v>
      </c>
      <c r="R55" s="337">
        <f>'XLRN - CFS'!S30</f>
        <v>-2183.0094000000004</v>
      </c>
      <c r="S55" s="337">
        <f>'XLRN - CFS'!T30</f>
        <v>-2401.3103400000005</v>
      </c>
      <c r="T55" s="337">
        <f>'XLRN - CFS'!U30</f>
        <v>-2761.5068910000005</v>
      </c>
      <c r="U55" s="337">
        <f>'XLRN - CFS'!V30</f>
        <v>-3175.7329246500003</v>
      </c>
      <c r="V55" s="337">
        <f>'XLRN - CFS'!W30</f>
        <v>-3652.0928633475</v>
      </c>
      <c r="W55" s="337">
        <f>'XLRN - CFS'!X30</f>
        <v>-4199.9067928496252</v>
      </c>
      <c r="X55" s="337">
        <f>'XLRN - CFS'!Y30</f>
        <v>-4829.8928117770683</v>
      </c>
      <c r="Y55" s="337">
        <f>'XLRN - CFS'!Z30</f>
        <v>-5554.3767335436278</v>
      </c>
      <c r="Z55" s="337">
        <f>'XLRN - CFS'!AA30</f>
        <v>-6387.5332435751716</v>
      </c>
      <c r="AA55" s="337">
        <f>'XLRN - CFS'!AB30</f>
        <v>-7345.6632301114469</v>
      </c>
      <c r="AB55" s="459">
        <f>'XLRN - CFS'!AC30</f>
        <v>-8447.5127146281629</v>
      </c>
    </row>
    <row r="56" spans="2:28" hidden="1" outlineLevel="1">
      <c r="B56" s="470"/>
      <c r="C56" s="211"/>
      <c r="D56" s="211"/>
      <c r="E56" s="212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448"/>
    </row>
    <row r="57" spans="2:28" hidden="1" outlineLevel="1">
      <c r="B57" s="469" t="s">
        <v>369</v>
      </c>
      <c r="C57" s="211"/>
      <c r="D57" s="211"/>
      <c r="E57" s="337">
        <f t="shared" ref="E57:L57" si="39">E8</f>
        <v>1044</v>
      </c>
      <c r="F57" s="337">
        <f t="shared" si="39"/>
        <v>1474</v>
      </c>
      <c r="G57" s="337">
        <f t="shared" si="39"/>
        <v>2243</v>
      </c>
      <c r="H57" s="337">
        <f t="shared" si="39"/>
        <v>1685</v>
      </c>
      <c r="I57" s="337">
        <f t="shared" si="39"/>
        <v>2180</v>
      </c>
      <c r="J57" s="337">
        <f t="shared" si="39"/>
        <v>3947</v>
      </c>
      <c r="K57" s="337">
        <f t="shared" si="39"/>
        <v>2480</v>
      </c>
      <c r="L57" s="337">
        <f t="shared" si="39"/>
        <v>2480</v>
      </c>
      <c r="M57" s="337">
        <f t="shared" ref="M57:AB57" si="40">M48*M58</f>
        <v>1809.6000000000001</v>
      </c>
      <c r="N57" s="337">
        <f t="shared" si="40"/>
        <v>2777.1000000000004</v>
      </c>
      <c r="O57" s="337">
        <f t="shared" si="40"/>
        <v>1348.1000000000001</v>
      </c>
      <c r="P57" s="337">
        <f>O57</f>
        <v>1348.1000000000001</v>
      </c>
      <c r="Q57" s="337">
        <f t="shared" si="40"/>
        <v>11913.428429494903</v>
      </c>
      <c r="R57" s="337">
        <f t="shared" si="40"/>
        <v>8239.7870486481916</v>
      </c>
      <c r="S57" s="337">
        <f t="shared" si="40"/>
        <v>9606.4471533530595</v>
      </c>
      <c r="T57" s="337">
        <f t="shared" si="40"/>
        <v>14770.436954136301</v>
      </c>
      <c r="U57" s="337">
        <f t="shared" si="40"/>
        <v>17708.668092594751</v>
      </c>
      <c r="V57" s="337">
        <f t="shared" si="40"/>
        <v>22664.573600747535</v>
      </c>
      <c r="W57" s="337">
        <f t="shared" si="40"/>
        <v>25135.928987757165</v>
      </c>
      <c r="X57" s="337">
        <f t="shared" si="40"/>
        <v>29136.935043991154</v>
      </c>
      <c r="Y57" s="337">
        <f t="shared" si="40"/>
        <v>31213.815462142422</v>
      </c>
      <c r="Z57" s="337">
        <f t="shared" si="40"/>
        <v>34259.507867821252</v>
      </c>
      <c r="AA57" s="337">
        <f t="shared" si="40"/>
        <v>37357.281021357354</v>
      </c>
      <c r="AB57" s="459">
        <f t="shared" si="40"/>
        <v>39798.807797957823</v>
      </c>
    </row>
    <row r="58" spans="2:28" hidden="1" outlineLevel="1">
      <c r="B58" s="471" t="s">
        <v>368</v>
      </c>
      <c r="C58" s="211"/>
      <c r="D58" s="211"/>
      <c r="E58" s="472">
        <f>E57/E48</f>
        <v>1.2903066332142724E-2</v>
      </c>
      <c r="F58" s="472">
        <f>F57/F48</f>
        <v>9.6630392028320439E-2</v>
      </c>
      <c r="G58" s="472">
        <f>G57/G48</f>
        <v>3.9192731085095231E-2</v>
      </c>
      <c r="H58" s="472">
        <f>H57/(H48*4)</f>
        <v>0.12738131236770486</v>
      </c>
      <c r="I58" s="472">
        <f>I57/(I48*4)</f>
        <v>0.13364394310936734</v>
      </c>
      <c r="J58" s="472">
        <f>J57/(J48*4)</f>
        <v>0.28128563283922464</v>
      </c>
      <c r="K58" s="472">
        <f>K57/(K48*4)</f>
        <v>0.16581973789783364</v>
      </c>
      <c r="L58" s="472">
        <f>L57/L48</f>
        <v>0.16949152542372881</v>
      </c>
      <c r="M58" s="473">
        <v>0.1</v>
      </c>
      <c r="N58" s="473">
        <v>0.1</v>
      </c>
      <c r="O58" s="473">
        <v>0.1</v>
      </c>
      <c r="P58" s="473">
        <v>0.08</v>
      </c>
      <c r="Q58" s="473">
        <v>7.0000000000000007E-2</v>
      </c>
      <c r="R58" s="473">
        <v>0.06</v>
      </c>
      <c r="S58" s="473">
        <v>0.05</v>
      </c>
      <c r="T58" s="473">
        <f>S58</f>
        <v>0.05</v>
      </c>
      <c r="U58" s="473">
        <f t="shared" ref="U58:AB58" si="41">T58</f>
        <v>0.05</v>
      </c>
      <c r="V58" s="473">
        <f t="shared" si="41"/>
        <v>0.05</v>
      </c>
      <c r="W58" s="473">
        <f t="shared" si="41"/>
        <v>0.05</v>
      </c>
      <c r="X58" s="473">
        <f t="shared" si="41"/>
        <v>0.05</v>
      </c>
      <c r="Y58" s="473">
        <f t="shared" si="41"/>
        <v>0.05</v>
      </c>
      <c r="Z58" s="473">
        <f t="shared" si="41"/>
        <v>0.05</v>
      </c>
      <c r="AA58" s="473">
        <f t="shared" si="41"/>
        <v>0.05</v>
      </c>
      <c r="AB58" s="474">
        <f t="shared" si="41"/>
        <v>0.05</v>
      </c>
    </row>
    <row r="59" spans="2:28" hidden="1" outlineLevel="1">
      <c r="B59" s="469" t="s">
        <v>370</v>
      </c>
      <c r="C59" s="211"/>
      <c r="D59" s="211"/>
      <c r="E59" s="337">
        <f t="shared" ref="E59:L59" si="42">E7</f>
        <v>0</v>
      </c>
      <c r="F59" s="337">
        <f t="shared" si="42"/>
        <v>0</v>
      </c>
      <c r="G59" s="337">
        <f t="shared" si="42"/>
        <v>0</v>
      </c>
      <c r="H59" s="337">
        <f t="shared" si="42"/>
        <v>0</v>
      </c>
      <c r="I59" s="337">
        <f t="shared" si="42"/>
        <v>0</v>
      </c>
      <c r="J59" s="337">
        <f t="shared" si="42"/>
        <v>0</v>
      </c>
      <c r="K59" s="337">
        <f t="shared" si="42"/>
        <v>0</v>
      </c>
      <c r="L59" s="337">
        <f t="shared" si="42"/>
        <v>0</v>
      </c>
      <c r="M59" s="475">
        <v>0</v>
      </c>
      <c r="N59" s="475">
        <v>0</v>
      </c>
      <c r="O59" s="475">
        <v>0</v>
      </c>
      <c r="P59" s="475">
        <v>0</v>
      </c>
      <c r="Q59" s="475">
        <v>0</v>
      </c>
      <c r="R59" s="337">
        <f t="shared" ref="R59:AB59" si="43">R60*R49</f>
        <v>0</v>
      </c>
      <c r="S59" s="337">
        <f t="shared" si="43"/>
        <v>0</v>
      </c>
      <c r="T59" s="337">
        <f t="shared" si="43"/>
        <v>0</v>
      </c>
      <c r="U59" s="337">
        <f t="shared" si="43"/>
        <v>0</v>
      </c>
      <c r="V59" s="337">
        <f t="shared" si="43"/>
        <v>0</v>
      </c>
      <c r="W59" s="337">
        <f t="shared" si="43"/>
        <v>0</v>
      </c>
      <c r="X59" s="337">
        <f t="shared" si="43"/>
        <v>0</v>
      </c>
      <c r="Y59" s="337">
        <f t="shared" si="43"/>
        <v>0</v>
      </c>
      <c r="Z59" s="337">
        <f t="shared" si="43"/>
        <v>0</v>
      </c>
      <c r="AA59" s="337">
        <f t="shared" si="43"/>
        <v>0</v>
      </c>
      <c r="AB59" s="459">
        <f t="shared" si="43"/>
        <v>0</v>
      </c>
    </row>
    <row r="60" spans="2:28" hidden="1" outlineLevel="1">
      <c r="B60" s="471" t="s">
        <v>368</v>
      </c>
      <c r="C60" s="211"/>
      <c r="D60" s="211"/>
      <c r="E60" s="434" t="s">
        <v>371</v>
      </c>
      <c r="F60" s="425" t="s">
        <v>371</v>
      </c>
      <c r="G60" s="425" t="s">
        <v>371</v>
      </c>
      <c r="H60" s="425" t="s">
        <v>371</v>
      </c>
      <c r="I60" s="425" t="s">
        <v>371</v>
      </c>
      <c r="J60" s="425" t="s">
        <v>371</v>
      </c>
      <c r="K60" s="425" t="s">
        <v>371</v>
      </c>
      <c r="L60" s="425" t="s">
        <v>371</v>
      </c>
      <c r="M60" s="425" t="s">
        <v>371</v>
      </c>
      <c r="N60" s="425" t="s">
        <v>371</v>
      </c>
      <c r="O60" s="425" t="s">
        <v>371</v>
      </c>
      <c r="P60" s="425" t="s">
        <v>371</v>
      </c>
      <c r="Q60" s="425" t="s">
        <v>371</v>
      </c>
      <c r="R60" s="476">
        <v>0.08</v>
      </c>
      <c r="S60" s="476">
        <v>7.0000000000000007E-2</v>
      </c>
      <c r="T60" s="476">
        <v>0.06</v>
      </c>
      <c r="U60" s="476">
        <v>0.05</v>
      </c>
      <c r="V60" s="476">
        <v>0.04</v>
      </c>
      <c r="W60" s="476">
        <v>0.03</v>
      </c>
      <c r="X60" s="476">
        <v>0.02</v>
      </c>
      <c r="Y60" s="476">
        <v>0.02</v>
      </c>
      <c r="Z60" s="476">
        <f>Y60</f>
        <v>0.02</v>
      </c>
      <c r="AA60" s="476">
        <f>Z60</f>
        <v>0.02</v>
      </c>
      <c r="AB60" s="477">
        <f>AA60</f>
        <v>0.02</v>
      </c>
    </row>
    <row r="61" spans="2:28" hidden="1" outlineLevel="1">
      <c r="B61" s="469" t="s">
        <v>244</v>
      </c>
      <c r="C61" s="211"/>
      <c r="D61" s="211"/>
      <c r="E61" s="337">
        <f>E18</f>
        <v>1914</v>
      </c>
      <c r="F61" s="337">
        <f t="shared" ref="F61:L61" si="44">F18</f>
        <v>642</v>
      </c>
      <c r="G61" s="337">
        <f t="shared" si="44"/>
        <v>885</v>
      </c>
      <c r="H61" s="337">
        <f t="shared" si="44"/>
        <v>2295</v>
      </c>
      <c r="I61" s="337">
        <f t="shared" si="44"/>
        <v>2614</v>
      </c>
      <c r="J61" s="337">
        <f t="shared" si="44"/>
        <v>3314</v>
      </c>
      <c r="K61" s="337">
        <f t="shared" si="44"/>
        <v>724</v>
      </c>
      <c r="L61" s="337">
        <f t="shared" si="44"/>
        <v>724</v>
      </c>
      <c r="M61" s="337">
        <f t="shared" ref="M61:AB61" si="45">M51*M62</f>
        <v>789.77</v>
      </c>
      <c r="N61" s="337">
        <f t="shared" si="45"/>
        <v>938.75</v>
      </c>
      <c r="O61" s="337">
        <f t="shared" si="45"/>
        <v>2469.2800000000002</v>
      </c>
      <c r="P61" s="337">
        <f t="shared" si="45"/>
        <v>3150</v>
      </c>
      <c r="Q61" s="337">
        <f t="shared" si="45"/>
        <v>3700</v>
      </c>
      <c r="R61" s="337">
        <f t="shared" si="45"/>
        <v>4180</v>
      </c>
      <c r="S61" s="337">
        <f t="shared" si="45"/>
        <v>4664</v>
      </c>
      <c r="T61" s="337">
        <f t="shared" si="45"/>
        <v>5254.7</v>
      </c>
      <c r="U61" s="337">
        <f t="shared" si="45"/>
        <v>5982.1850000000004</v>
      </c>
      <c r="V61" s="337">
        <f t="shared" si="45"/>
        <v>6885.469250000001</v>
      </c>
      <c r="W61" s="337">
        <f t="shared" si="45"/>
        <v>7700.9992124999999</v>
      </c>
      <c r="X61" s="337">
        <f t="shared" si="45"/>
        <v>8274.5517731250002</v>
      </c>
      <c r="Y61" s="337">
        <f t="shared" si="45"/>
        <v>8895.6322217812503</v>
      </c>
      <c r="Z61" s="337">
        <f t="shared" si="45"/>
        <v>9568.5019788703139</v>
      </c>
      <c r="AA61" s="337">
        <f t="shared" si="45"/>
        <v>10297.824038413832</v>
      </c>
      <c r="AB61" s="459">
        <f t="shared" si="45"/>
        <v>11088.701896994524</v>
      </c>
    </row>
    <row r="62" spans="2:28" hidden="1" outlineLevel="1">
      <c r="B62" s="471" t="s">
        <v>372</v>
      </c>
      <c r="C62" s="211"/>
      <c r="D62" s="211"/>
      <c r="E62" s="472">
        <f>E61/E51</f>
        <v>4.5189469956321567E-2</v>
      </c>
      <c r="F62" s="472">
        <f t="shared" ref="F62:L62" si="46">F61/F51</f>
        <v>1.454364225358494E-2</v>
      </c>
      <c r="G62" s="472">
        <f t="shared" si="46"/>
        <v>1.7602132145272287E-2</v>
      </c>
      <c r="H62" s="472">
        <f>H61/(H51*4)</f>
        <v>3.6980341604898485E-2</v>
      </c>
      <c r="I62" s="472">
        <f>I61/(I51*4)</f>
        <v>3.0553088035906308E-2</v>
      </c>
      <c r="J62" s="472">
        <f>J61/(J51*4)</f>
        <v>5.5607758909993962E-2</v>
      </c>
      <c r="K62" s="472">
        <f>K61/(K51*4)</f>
        <v>9.8944951620838564E-3</v>
      </c>
      <c r="L62" s="472">
        <f t="shared" si="46"/>
        <v>1.032869207943392E-2</v>
      </c>
      <c r="M62" s="473">
        <v>0.01</v>
      </c>
      <c r="N62" s="473">
        <v>0.01</v>
      </c>
      <c r="O62" s="473">
        <v>0.02</v>
      </c>
      <c r="P62" s="473">
        <v>0.02</v>
      </c>
      <c r="Q62" s="473">
        <v>0.02</v>
      </c>
      <c r="R62" s="473">
        <v>0.02</v>
      </c>
      <c r="S62" s="473">
        <f>R62</f>
        <v>0.02</v>
      </c>
      <c r="T62" s="473">
        <f t="shared" ref="T62:AB62" si="47">S62</f>
        <v>0.02</v>
      </c>
      <c r="U62" s="473">
        <f t="shared" si="47"/>
        <v>0.02</v>
      </c>
      <c r="V62" s="473">
        <f t="shared" si="47"/>
        <v>0.02</v>
      </c>
      <c r="W62" s="473">
        <f t="shared" si="47"/>
        <v>0.02</v>
      </c>
      <c r="X62" s="473">
        <f t="shared" si="47"/>
        <v>0.02</v>
      </c>
      <c r="Y62" s="473">
        <f t="shared" si="47"/>
        <v>0.02</v>
      </c>
      <c r="Z62" s="473">
        <f t="shared" si="47"/>
        <v>0.02</v>
      </c>
      <c r="AA62" s="473">
        <f t="shared" si="47"/>
        <v>0.02</v>
      </c>
      <c r="AB62" s="474">
        <f t="shared" si="47"/>
        <v>0.02</v>
      </c>
    </row>
    <row r="63" spans="2:28" hidden="1" outlineLevel="1">
      <c r="B63" s="469" t="s">
        <v>289</v>
      </c>
      <c r="C63" s="211"/>
      <c r="D63" s="211"/>
      <c r="E63" s="337">
        <f>E19</f>
        <v>4513</v>
      </c>
      <c r="F63" s="337">
        <f t="shared" ref="F63:L63" si="48">F19</f>
        <v>6153</v>
      </c>
      <c r="G63" s="337">
        <f t="shared" si="48"/>
        <v>6927</v>
      </c>
      <c r="H63" s="337">
        <f t="shared" si="48"/>
        <v>4659</v>
      </c>
      <c r="I63" s="337">
        <f t="shared" si="48"/>
        <v>6475</v>
      </c>
      <c r="J63" s="337">
        <f t="shared" si="48"/>
        <v>5938</v>
      </c>
      <c r="K63" s="337">
        <f t="shared" si="48"/>
        <v>6848</v>
      </c>
      <c r="L63" s="337">
        <f t="shared" si="48"/>
        <v>6848</v>
      </c>
      <c r="M63" s="337">
        <f t="shared" ref="M63:AB63" si="49">M51*M64</f>
        <v>7897.7000000000007</v>
      </c>
      <c r="N63" s="337">
        <f t="shared" si="49"/>
        <v>9387.5</v>
      </c>
      <c r="O63" s="337">
        <f t="shared" si="49"/>
        <v>12346.400000000001</v>
      </c>
      <c r="P63" s="337">
        <f t="shared" si="49"/>
        <v>15750</v>
      </c>
      <c r="Q63" s="337">
        <f t="shared" si="49"/>
        <v>18500</v>
      </c>
      <c r="R63" s="337">
        <f t="shared" si="49"/>
        <v>20900</v>
      </c>
      <c r="S63" s="337">
        <f t="shared" si="49"/>
        <v>23320</v>
      </c>
      <c r="T63" s="337">
        <f t="shared" si="49"/>
        <v>26273.5</v>
      </c>
      <c r="U63" s="337">
        <f t="shared" si="49"/>
        <v>29910.925000000003</v>
      </c>
      <c r="V63" s="337">
        <f t="shared" si="49"/>
        <v>34427.346250000002</v>
      </c>
      <c r="W63" s="337">
        <f t="shared" si="49"/>
        <v>38504.996062500002</v>
      </c>
      <c r="X63" s="337">
        <f t="shared" si="49"/>
        <v>41372.758865625008</v>
      </c>
      <c r="Y63" s="337">
        <f t="shared" si="49"/>
        <v>44478.161108906257</v>
      </c>
      <c r="Z63" s="337">
        <f t="shared" si="49"/>
        <v>47842.50989435157</v>
      </c>
      <c r="AA63" s="337">
        <f t="shared" si="49"/>
        <v>51489.120192069153</v>
      </c>
      <c r="AB63" s="459">
        <f t="shared" si="49"/>
        <v>55443.509484972623</v>
      </c>
    </row>
    <row r="64" spans="2:28" hidden="1" outlineLevel="1">
      <c r="B64" s="478" t="s">
        <v>372</v>
      </c>
      <c r="C64" s="451"/>
      <c r="D64" s="451"/>
      <c r="E64" s="479">
        <f>E63/E51</f>
        <v>0.10655176484476449</v>
      </c>
      <c r="F64" s="479">
        <f t="shared" ref="F64:L64" si="50">F63/F51</f>
        <v>0.13938789842104071</v>
      </c>
      <c r="G64" s="479">
        <f t="shared" si="50"/>
        <v>0.13777397668960578</v>
      </c>
      <c r="H64" s="479">
        <f>H63/(H51*4)</f>
        <v>7.5072510473735102E-2</v>
      </c>
      <c r="I64" s="479">
        <f>I63/(I51*4)</f>
        <v>7.568142503155828E-2</v>
      </c>
      <c r="J64" s="479">
        <f>J63/(J51*4)</f>
        <v>9.9637559567756231E-2</v>
      </c>
      <c r="K64" s="479">
        <f>K63/(K51*4)</f>
        <v>9.3587711146340125E-2</v>
      </c>
      <c r="L64" s="479">
        <f t="shared" si="50"/>
        <v>9.769459027619265E-2</v>
      </c>
      <c r="M64" s="480">
        <v>0.1</v>
      </c>
      <c r="N64" s="480">
        <v>0.1</v>
      </c>
      <c r="O64" s="480">
        <v>0.1</v>
      </c>
      <c r="P64" s="480">
        <v>0.1</v>
      </c>
      <c r="Q64" s="480">
        <v>0.1</v>
      </c>
      <c r="R64" s="480">
        <v>0.1</v>
      </c>
      <c r="S64" s="480">
        <v>0.1</v>
      </c>
      <c r="T64" s="480">
        <v>0.1</v>
      </c>
      <c r="U64" s="480">
        <f>T64</f>
        <v>0.1</v>
      </c>
      <c r="V64" s="480">
        <f t="shared" ref="V64:AB64" si="51">U64</f>
        <v>0.1</v>
      </c>
      <c r="W64" s="480">
        <f t="shared" si="51"/>
        <v>0.1</v>
      </c>
      <c r="X64" s="480">
        <f t="shared" si="51"/>
        <v>0.1</v>
      </c>
      <c r="Y64" s="480">
        <f t="shared" si="51"/>
        <v>0.1</v>
      </c>
      <c r="Z64" s="480">
        <f t="shared" si="51"/>
        <v>0.1</v>
      </c>
      <c r="AA64" s="480">
        <f t="shared" si="51"/>
        <v>0.1</v>
      </c>
      <c r="AB64" s="481">
        <f t="shared" si="51"/>
        <v>0.1</v>
      </c>
    </row>
    <row r="65" spans="2:28" hidden="1" outlineLevel="1">
      <c r="B65" s="211"/>
      <c r="C65" s="211"/>
      <c r="D65" s="211"/>
      <c r="E65" s="212"/>
    </row>
    <row r="66" spans="2:28" collapsed="1">
      <c r="B66" s="379"/>
      <c r="C66" s="211"/>
      <c r="D66" s="211"/>
      <c r="E66" s="212"/>
    </row>
    <row r="67" spans="2:28">
      <c r="B67" s="211" t="s">
        <v>377</v>
      </c>
      <c r="C67" s="211"/>
      <c r="D67" s="211"/>
      <c r="E67" s="212"/>
    </row>
    <row r="68" spans="2:28" hidden="1" outlineLevel="1">
      <c r="B68" s="455" t="s">
        <v>378</v>
      </c>
      <c r="C68" s="443"/>
      <c r="D68" s="443"/>
      <c r="E68" s="444"/>
      <c r="F68" s="456">
        <f t="shared" ref="F68:K68" si="52">E73</f>
        <v>4911</v>
      </c>
      <c r="G68" s="456">
        <f t="shared" si="52"/>
        <v>4059</v>
      </c>
      <c r="H68" s="456">
        <f t="shared" si="52"/>
        <v>3705</v>
      </c>
      <c r="I68" s="456">
        <f t="shared" si="52"/>
        <v>3674</v>
      </c>
      <c r="J68" s="456">
        <f t="shared" si="52"/>
        <v>3581</v>
      </c>
      <c r="K68" s="456">
        <f t="shared" si="52"/>
        <v>3379</v>
      </c>
      <c r="L68" s="456">
        <f>G73</f>
        <v>3705</v>
      </c>
      <c r="M68" s="456">
        <f>L73</f>
        <v>3087</v>
      </c>
      <c r="N68" s="456">
        <f t="shared" ref="N68:AB68" si="53">M73</f>
        <v>2549.75</v>
      </c>
      <c r="O68" s="456">
        <f t="shared" si="53"/>
        <v>2219.125</v>
      </c>
      <c r="P68" s="456">
        <f t="shared" si="53"/>
        <v>1936.3374999999999</v>
      </c>
      <c r="Q68" s="456">
        <f t="shared" si="53"/>
        <v>1631.7049999999999</v>
      </c>
      <c r="R68" s="456">
        <f t="shared" si="53"/>
        <v>1204.098</v>
      </c>
      <c r="S68" s="456">
        <f t="shared" si="53"/>
        <v>718.31905000000006</v>
      </c>
      <c r="T68" s="456">
        <f t="shared" si="53"/>
        <v>226.37595500000043</v>
      </c>
      <c r="U68" s="456">
        <f t="shared" si="53"/>
        <v>-144.71231174999957</v>
      </c>
      <c r="V68" s="456">
        <f t="shared" si="53"/>
        <v>-399.36927601249954</v>
      </c>
      <c r="W68" s="456">
        <f t="shared" si="53"/>
        <v>-544.93716741437493</v>
      </c>
      <c r="X68" s="456">
        <f t="shared" si="53"/>
        <v>-592.34024252653126</v>
      </c>
      <c r="Y68" s="456">
        <f t="shared" si="53"/>
        <v>-526.85377890551081</v>
      </c>
      <c r="Z68" s="456">
        <f t="shared" si="53"/>
        <v>-331.54434574133757</v>
      </c>
      <c r="AA68" s="456">
        <f t="shared" si="53"/>
        <v>13.061502397461481</v>
      </c>
      <c r="AB68" s="457">
        <f t="shared" si="53"/>
        <v>529.35822775707948</v>
      </c>
    </row>
    <row r="69" spans="2:28" hidden="1" outlineLevel="1">
      <c r="B69" s="458" t="s">
        <v>379</v>
      </c>
      <c r="C69" s="211"/>
      <c r="D69" s="211"/>
      <c r="E69" s="337">
        <f t="shared" ref="E69:AB69" si="54">-E55</f>
        <v>27</v>
      </c>
      <c r="F69" s="337">
        <f t="shared" si="54"/>
        <v>441</v>
      </c>
      <c r="G69" s="337">
        <f t="shared" si="54"/>
        <v>307</v>
      </c>
      <c r="H69" s="337">
        <f t="shared" si="54"/>
        <v>150</v>
      </c>
      <c r="I69" s="337">
        <f t="shared" si="54"/>
        <v>229</v>
      </c>
      <c r="J69" s="337">
        <f t="shared" si="54"/>
        <v>119</v>
      </c>
      <c r="K69" s="337">
        <f t="shared" si="54"/>
        <v>16</v>
      </c>
      <c r="L69" s="337">
        <f t="shared" si="54"/>
        <v>514</v>
      </c>
      <c r="M69" s="337">
        <f t="shared" si="54"/>
        <v>771</v>
      </c>
      <c r="N69" s="337">
        <f t="shared" si="54"/>
        <v>1156.5</v>
      </c>
      <c r="O69" s="337">
        <f t="shared" si="54"/>
        <v>1503.45</v>
      </c>
      <c r="P69" s="337">
        <f t="shared" si="54"/>
        <v>1804.14</v>
      </c>
      <c r="Q69" s="337">
        <f t="shared" si="54"/>
        <v>1984.5540000000003</v>
      </c>
      <c r="R69" s="337">
        <f t="shared" si="54"/>
        <v>2183.0094000000004</v>
      </c>
      <c r="S69" s="337">
        <f t="shared" si="54"/>
        <v>2401.3103400000005</v>
      </c>
      <c r="T69" s="337">
        <f t="shared" si="54"/>
        <v>2761.5068910000005</v>
      </c>
      <c r="U69" s="337">
        <f t="shared" si="54"/>
        <v>3175.7329246500003</v>
      </c>
      <c r="V69" s="337">
        <f t="shared" si="54"/>
        <v>3652.0928633475</v>
      </c>
      <c r="W69" s="337">
        <f t="shared" si="54"/>
        <v>4199.9067928496252</v>
      </c>
      <c r="X69" s="337">
        <f t="shared" si="54"/>
        <v>4829.8928117770683</v>
      </c>
      <c r="Y69" s="337">
        <f t="shared" si="54"/>
        <v>5554.3767335436278</v>
      </c>
      <c r="Z69" s="337">
        <f t="shared" si="54"/>
        <v>6387.5332435751716</v>
      </c>
      <c r="AA69" s="337">
        <f t="shared" si="54"/>
        <v>7345.6632301114469</v>
      </c>
      <c r="AB69" s="459">
        <f t="shared" si="54"/>
        <v>8447.5127146281629</v>
      </c>
    </row>
    <row r="70" spans="2:28" hidden="1" outlineLevel="1">
      <c r="B70" s="460" t="s">
        <v>380</v>
      </c>
      <c r="C70" s="211"/>
      <c r="D70" s="211"/>
      <c r="E70" s="461">
        <f t="shared" ref="E70:AB70" si="55">E69/E48</f>
        <v>3.3369999134851876E-4</v>
      </c>
      <c r="F70" s="461">
        <f t="shared" si="55"/>
        <v>2.8910449718106725E-2</v>
      </c>
      <c r="G70" s="461">
        <f t="shared" si="55"/>
        <v>5.3643194128953344E-3</v>
      </c>
      <c r="H70" s="461">
        <f t="shared" si="55"/>
        <v>4.5358330813426065E-2</v>
      </c>
      <c r="I70" s="461">
        <f t="shared" si="55"/>
        <v>5.6154977930358022E-2</v>
      </c>
      <c r="J70" s="461">
        <f t="shared" si="55"/>
        <v>3.3922462941847205E-2</v>
      </c>
      <c r="K70" s="461">
        <f t="shared" si="55"/>
        <v>4.2792190425247388E-3</v>
      </c>
      <c r="L70" s="461">
        <f t="shared" si="55"/>
        <v>3.5128485511208313E-2</v>
      </c>
      <c r="M70" s="461">
        <f t="shared" si="55"/>
        <v>4.2606100795755969E-2</v>
      </c>
      <c r="N70" s="461">
        <f t="shared" si="55"/>
        <v>4.164416117532678E-2</v>
      </c>
      <c r="O70" s="461">
        <f t="shared" si="55"/>
        <v>0.11152362584378014</v>
      </c>
      <c r="P70" s="461">
        <f t="shared" si="55"/>
        <v>0.13217142857142858</v>
      </c>
      <c r="Q70" s="461">
        <f t="shared" si="55"/>
        <v>1.1660688677666385E-2</v>
      </c>
      <c r="R70" s="461">
        <f t="shared" si="55"/>
        <v>1.5896110327449361E-2</v>
      </c>
      <c r="S70" s="461">
        <f t="shared" si="55"/>
        <v>1.2498431010271267E-2</v>
      </c>
      <c r="T70" s="461">
        <f t="shared" si="55"/>
        <v>9.348088007060178E-3</v>
      </c>
      <c r="U70" s="461">
        <f t="shared" si="55"/>
        <v>8.9666058114726294E-3</v>
      </c>
      <c r="V70" s="461">
        <f t="shared" si="55"/>
        <v>8.0568311755643274E-3</v>
      </c>
      <c r="W70" s="461">
        <f t="shared" si="55"/>
        <v>8.3543894377153399E-3</v>
      </c>
      <c r="X70" s="461">
        <f t="shared" si="55"/>
        <v>8.2882650568511431E-3</v>
      </c>
      <c r="Y70" s="461">
        <f t="shared" si="55"/>
        <v>8.8973050095081073E-3</v>
      </c>
      <c r="Z70" s="461">
        <f t="shared" si="55"/>
        <v>9.3222781661361168E-3</v>
      </c>
      <c r="AA70" s="461">
        <f t="shared" si="55"/>
        <v>9.8316352653073074E-3</v>
      </c>
      <c r="AB70" s="462">
        <f t="shared" si="55"/>
        <v>1.0612771062782472E-2</v>
      </c>
    </row>
    <row r="71" spans="2:28" hidden="1" outlineLevel="1">
      <c r="B71" s="458" t="s">
        <v>260</v>
      </c>
      <c r="C71" s="211"/>
      <c r="D71" s="211"/>
      <c r="E71" s="337">
        <f>-'XLRN - CFS'!F7</f>
        <v>-3134</v>
      </c>
      <c r="F71" s="337">
        <f>-'XLRN - CFS'!G7</f>
        <v>-1293</v>
      </c>
      <c r="G71" s="337">
        <f>-'XLRN - CFS'!H7</f>
        <v>-915</v>
      </c>
      <c r="H71" s="337">
        <f>-'XLRN - CFS'!I7</f>
        <v>-265</v>
      </c>
      <c r="I71" s="337">
        <f>-'XLRN - CFS'!J7</f>
        <v>-277</v>
      </c>
      <c r="J71" s="337">
        <f>-'XLRN - CFS'!K7</f>
        <v>-290</v>
      </c>
      <c r="K71" s="337">
        <f>-'XLRN - CFS'!L7</f>
        <v>-286</v>
      </c>
      <c r="L71" s="337">
        <f>-'XLRN - CFS'!M7</f>
        <v>-1118</v>
      </c>
      <c r="M71" s="337">
        <f>-'XLRN - CFS'!N7</f>
        <v>-1308.25</v>
      </c>
      <c r="N71" s="337">
        <f>-'XLRN - CFS'!O7</f>
        <v>-1487.125</v>
      </c>
      <c r="O71" s="337">
        <f>-'XLRN - CFS'!P7</f>
        <v>-1786.2375</v>
      </c>
      <c r="P71" s="337">
        <f>-'XLRN - CFS'!Q7</f>
        <v>-2108.7725</v>
      </c>
      <c r="Q71" s="337">
        <f>-'XLRN - CFS'!R7</f>
        <v>-2412.1610000000001</v>
      </c>
      <c r="R71" s="337">
        <f>-'XLRN - CFS'!S7</f>
        <v>-2668.7883500000003</v>
      </c>
      <c r="S71" s="337">
        <f>-'XLRN - CFS'!T7</f>
        <v>-2893.2534350000001</v>
      </c>
      <c r="T71" s="337">
        <f>-'XLRN - CFS'!U7</f>
        <v>-3132.5951577500005</v>
      </c>
      <c r="U71" s="337">
        <f>-'XLRN - CFS'!V7</f>
        <v>-3430.3898889125003</v>
      </c>
      <c r="V71" s="337">
        <f>-'XLRN - CFS'!W7</f>
        <v>-3797.6607547493754</v>
      </c>
      <c r="W71" s="337">
        <f>-'XLRN - CFS'!X7</f>
        <v>-4247.3098679617815</v>
      </c>
      <c r="X71" s="337">
        <f>-'XLRN - CFS'!Y7</f>
        <v>-4764.4063481560479</v>
      </c>
      <c r="Y71" s="337">
        <f>-'XLRN - CFS'!Z7</f>
        <v>-5359.0673003794545</v>
      </c>
      <c r="Z71" s="337">
        <f>-'XLRN - CFS'!AA7</f>
        <v>-6042.9273954363725</v>
      </c>
      <c r="AA71" s="337">
        <f>-'XLRN - CFS'!AB7</f>
        <v>-6829.3665047518289</v>
      </c>
      <c r="AB71" s="459">
        <f>-'XLRN - CFS'!AC7</f>
        <v>-7733.7714804646021</v>
      </c>
    </row>
    <row r="72" spans="2:28" hidden="1" outlineLevel="1">
      <c r="B72" s="458" t="s">
        <v>381</v>
      </c>
      <c r="C72" s="211"/>
      <c r="D72" s="211"/>
      <c r="E72" s="212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448"/>
    </row>
    <row r="73" spans="2:28" hidden="1" outlineLevel="1">
      <c r="B73" s="463" t="s">
        <v>382</v>
      </c>
      <c r="C73" s="451"/>
      <c r="D73" s="451"/>
      <c r="E73" s="464">
        <f t="shared" ref="E73:L73" si="56">E10</f>
        <v>4911</v>
      </c>
      <c r="F73" s="464">
        <f t="shared" si="56"/>
        <v>4059</v>
      </c>
      <c r="G73" s="464">
        <f t="shared" si="56"/>
        <v>3705</v>
      </c>
      <c r="H73" s="464">
        <f t="shared" si="56"/>
        <v>3674</v>
      </c>
      <c r="I73" s="464">
        <f t="shared" si="56"/>
        <v>3581</v>
      </c>
      <c r="J73" s="464">
        <f t="shared" si="56"/>
        <v>3379</v>
      </c>
      <c r="K73" s="464">
        <f t="shared" si="56"/>
        <v>3087</v>
      </c>
      <c r="L73" s="464">
        <f t="shared" si="56"/>
        <v>3087</v>
      </c>
      <c r="M73" s="464">
        <f>M68+M69+M71</f>
        <v>2549.75</v>
      </c>
      <c r="N73" s="464">
        <f t="shared" ref="N73:AB73" si="57">N68+N69+N71</f>
        <v>2219.125</v>
      </c>
      <c r="O73" s="464">
        <f t="shared" si="57"/>
        <v>1936.3374999999999</v>
      </c>
      <c r="P73" s="464">
        <f t="shared" si="57"/>
        <v>1631.7049999999999</v>
      </c>
      <c r="Q73" s="464">
        <f t="shared" si="57"/>
        <v>1204.098</v>
      </c>
      <c r="R73" s="464">
        <f t="shared" si="57"/>
        <v>718.31905000000006</v>
      </c>
      <c r="S73" s="464">
        <f t="shared" si="57"/>
        <v>226.37595500000043</v>
      </c>
      <c r="T73" s="464">
        <f t="shared" si="57"/>
        <v>-144.71231174999957</v>
      </c>
      <c r="U73" s="464">
        <f t="shared" si="57"/>
        <v>-399.36927601249954</v>
      </c>
      <c r="V73" s="464">
        <f t="shared" si="57"/>
        <v>-544.93716741437493</v>
      </c>
      <c r="W73" s="464">
        <f t="shared" si="57"/>
        <v>-592.34024252653126</v>
      </c>
      <c r="X73" s="464">
        <f t="shared" si="57"/>
        <v>-526.85377890551081</v>
      </c>
      <c r="Y73" s="464">
        <f t="shared" si="57"/>
        <v>-331.54434574133757</v>
      </c>
      <c r="Z73" s="464">
        <f t="shared" si="57"/>
        <v>13.061502397461481</v>
      </c>
      <c r="AA73" s="464">
        <f t="shared" si="57"/>
        <v>529.35822775707948</v>
      </c>
      <c r="AB73" s="465">
        <f t="shared" si="57"/>
        <v>1243.0994619206394</v>
      </c>
    </row>
    <row r="74" spans="2:28" hidden="1" outlineLevel="1">
      <c r="B74" s="379"/>
      <c r="C74" s="211"/>
      <c r="D74" s="211"/>
      <c r="E74" s="212"/>
    </row>
    <row r="75" spans="2:28" collapsed="1">
      <c r="B75" s="379"/>
      <c r="C75" s="211"/>
      <c r="D75" s="211"/>
      <c r="E75" s="212"/>
    </row>
    <row r="76" spans="2:28">
      <c r="B76" s="211" t="s">
        <v>277</v>
      </c>
      <c r="C76" s="211"/>
      <c r="D76" s="211"/>
      <c r="E76" s="212"/>
    </row>
    <row r="77" spans="2:28" hidden="1" outlineLevel="1">
      <c r="B77" s="454" t="s">
        <v>404</v>
      </c>
      <c r="C77" s="443"/>
      <c r="D77" s="443"/>
      <c r="E77" s="445">
        <v>3125</v>
      </c>
      <c r="F77" s="445">
        <v>1137</v>
      </c>
      <c r="G77" s="445">
        <v>800</v>
      </c>
      <c r="H77" s="445"/>
      <c r="I77" s="445"/>
      <c r="J77" s="445"/>
      <c r="K77" s="445"/>
      <c r="L77" s="445">
        <v>800</v>
      </c>
      <c r="M77" s="445">
        <v>800</v>
      </c>
      <c r="N77" s="445">
        <v>800</v>
      </c>
      <c r="O77" s="445">
        <v>800</v>
      </c>
      <c r="P77" s="445">
        <f>O77</f>
        <v>800</v>
      </c>
      <c r="Q77" s="445">
        <f>P77</f>
        <v>800</v>
      </c>
      <c r="R77" s="445">
        <f>Q77</f>
        <v>800</v>
      </c>
      <c r="S77" s="445">
        <f>R77</f>
        <v>800</v>
      </c>
      <c r="T77" s="445">
        <f t="shared" ref="T77:AB77" si="58">S77</f>
        <v>800</v>
      </c>
      <c r="U77" s="445">
        <f t="shared" si="58"/>
        <v>800</v>
      </c>
      <c r="V77" s="445">
        <f t="shared" si="58"/>
        <v>800</v>
      </c>
      <c r="W77" s="445">
        <f t="shared" si="58"/>
        <v>800</v>
      </c>
      <c r="X77" s="445">
        <f t="shared" si="58"/>
        <v>800</v>
      </c>
      <c r="Y77" s="445">
        <f t="shared" si="58"/>
        <v>800</v>
      </c>
      <c r="Z77" s="445">
        <f t="shared" si="58"/>
        <v>800</v>
      </c>
      <c r="AA77" s="445">
        <f t="shared" si="58"/>
        <v>800</v>
      </c>
      <c r="AB77" s="446">
        <f t="shared" si="58"/>
        <v>800</v>
      </c>
    </row>
    <row r="78" spans="2:28" hidden="1" outlineLevel="1">
      <c r="B78" s="447" t="s">
        <v>402</v>
      </c>
      <c r="C78" s="211"/>
      <c r="D78" s="211"/>
      <c r="E78" s="337">
        <f>$E$69/4</f>
        <v>6.75</v>
      </c>
      <c r="F78" s="337">
        <f t="shared" ref="F78:L78" si="59">$E$69/4</f>
        <v>6.75</v>
      </c>
      <c r="G78" s="337">
        <f t="shared" si="59"/>
        <v>6.75</v>
      </c>
      <c r="H78" s="337">
        <f t="shared" si="59"/>
        <v>6.75</v>
      </c>
      <c r="I78" s="337">
        <f t="shared" si="59"/>
        <v>6.75</v>
      </c>
      <c r="J78" s="337">
        <f t="shared" si="59"/>
        <v>6.75</v>
      </c>
      <c r="K78" s="337">
        <f t="shared" si="59"/>
        <v>6.75</v>
      </c>
      <c r="L78" s="337">
        <f t="shared" si="59"/>
        <v>6.75</v>
      </c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448"/>
    </row>
    <row r="79" spans="2:28" hidden="1" outlineLevel="1">
      <c r="B79" s="447" t="s">
        <v>403</v>
      </c>
      <c r="C79" s="211"/>
      <c r="D79" s="211"/>
      <c r="E79" s="212"/>
      <c r="F79" s="338">
        <f>$F$69/4</f>
        <v>110.25</v>
      </c>
      <c r="G79" s="338">
        <f t="shared" ref="G79:M79" si="60">$F$69/4</f>
        <v>110.25</v>
      </c>
      <c r="H79" s="338">
        <f t="shared" si="60"/>
        <v>110.25</v>
      </c>
      <c r="I79" s="338">
        <f t="shared" si="60"/>
        <v>110.25</v>
      </c>
      <c r="J79" s="338">
        <f t="shared" si="60"/>
        <v>110.25</v>
      </c>
      <c r="K79" s="338">
        <f t="shared" si="60"/>
        <v>110.25</v>
      </c>
      <c r="L79" s="338">
        <f t="shared" si="60"/>
        <v>110.25</v>
      </c>
      <c r="M79" s="338">
        <f t="shared" si="60"/>
        <v>110.25</v>
      </c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448"/>
    </row>
    <row r="80" spans="2:28" hidden="1" outlineLevel="1">
      <c r="B80" s="447" t="s">
        <v>383</v>
      </c>
      <c r="C80" s="211"/>
      <c r="D80" s="211"/>
      <c r="E80" s="212"/>
      <c r="F80" s="116"/>
      <c r="G80" s="338">
        <f>$G$69/4</f>
        <v>76.75</v>
      </c>
      <c r="H80" s="338">
        <f t="shared" ref="H80:N80" si="61">$G$69/4</f>
        <v>76.75</v>
      </c>
      <c r="I80" s="338">
        <f t="shared" si="61"/>
        <v>76.75</v>
      </c>
      <c r="J80" s="338">
        <f t="shared" si="61"/>
        <v>76.75</v>
      </c>
      <c r="K80" s="338">
        <f t="shared" si="61"/>
        <v>76.75</v>
      </c>
      <c r="L80" s="338">
        <f t="shared" si="61"/>
        <v>76.75</v>
      </c>
      <c r="M80" s="338">
        <f t="shared" si="61"/>
        <v>76.75</v>
      </c>
      <c r="N80" s="338">
        <f t="shared" si="61"/>
        <v>76.75</v>
      </c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448"/>
    </row>
    <row r="81" spans="2:30" hidden="1" outlineLevel="1">
      <c r="B81" s="447" t="s">
        <v>384</v>
      </c>
      <c r="C81" s="211"/>
      <c r="D81" s="211"/>
      <c r="E81" s="212"/>
      <c r="F81" s="116"/>
      <c r="G81" s="116"/>
      <c r="H81" s="338"/>
      <c r="I81" s="338"/>
      <c r="J81" s="338"/>
      <c r="K81" s="116"/>
      <c r="L81" s="338">
        <f>$L$69/4</f>
        <v>128.5</v>
      </c>
      <c r="M81" s="338">
        <f>$L$69/4</f>
        <v>128.5</v>
      </c>
      <c r="N81" s="338">
        <f>$L$69/4</f>
        <v>128.5</v>
      </c>
      <c r="O81" s="338">
        <f>$L$69/4</f>
        <v>128.5</v>
      </c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448"/>
    </row>
    <row r="82" spans="2:30" hidden="1" outlineLevel="1">
      <c r="B82" s="447" t="s">
        <v>385</v>
      </c>
      <c r="C82" s="211"/>
      <c r="D82" s="211"/>
      <c r="E82" s="212"/>
      <c r="F82" s="116"/>
      <c r="G82" s="116"/>
      <c r="H82" s="116"/>
      <c r="I82" s="116"/>
      <c r="J82" s="116"/>
      <c r="K82" s="116"/>
      <c r="L82" s="116"/>
      <c r="M82" s="338">
        <f>$M$69/4</f>
        <v>192.75</v>
      </c>
      <c r="N82" s="338">
        <f>$M$69/4</f>
        <v>192.75</v>
      </c>
      <c r="O82" s="338">
        <f>$M$69/4</f>
        <v>192.75</v>
      </c>
      <c r="P82" s="338">
        <f>$M$69/4</f>
        <v>192.75</v>
      </c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448"/>
    </row>
    <row r="83" spans="2:30" hidden="1" outlineLevel="1">
      <c r="B83" s="447" t="s">
        <v>386</v>
      </c>
      <c r="C83" s="211"/>
      <c r="D83" s="211"/>
      <c r="E83" s="212"/>
      <c r="F83" s="116"/>
      <c r="G83" s="116"/>
      <c r="H83" s="116"/>
      <c r="I83" s="116"/>
      <c r="J83" s="116"/>
      <c r="K83" s="116"/>
      <c r="L83" s="116"/>
      <c r="M83" s="116"/>
      <c r="N83" s="338">
        <f>$N$69/4</f>
        <v>289.125</v>
      </c>
      <c r="O83" s="338">
        <f>$N$69/4</f>
        <v>289.125</v>
      </c>
      <c r="P83" s="338">
        <f>$N$69/4</f>
        <v>289.125</v>
      </c>
      <c r="Q83" s="338">
        <f>$N$69/4</f>
        <v>289.125</v>
      </c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448"/>
    </row>
    <row r="84" spans="2:30" hidden="1" outlineLevel="1">
      <c r="B84" s="447" t="s">
        <v>387</v>
      </c>
      <c r="C84" s="211"/>
      <c r="D84" s="211"/>
      <c r="E84" s="212"/>
      <c r="F84" s="116"/>
      <c r="G84" s="116"/>
      <c r="H84" s="116"/>
      <c r="I84" s="116"/>
      <c r="J84" s="116"/>
      <c r="K84" s="116"/>
      <c r="L84" s="116"/>
      <c r="M84" s="116"/>
      <c r="N84" s="116"/>
      <c r="O84" s="338">
        <f>$O$69/4</f>
        <v>375.86250000000001</v>
      </c>
      <c r="P84" s="338">
        <f>$O$69/4</f>
        <v>375.86250000000001</v>
      </c>
      <c r="Q84" s="338">
        <f>$O$69/4</f>
        <v>375.86250000000001</v>
      </c>
      <c r="R84" s="338">
        <f>$O$69/4</f>
        <v>375.86250000000001</v>
      </c>
      <c r="S84" s="116"/>
      <c r="T84" s="116"/>
      <c r="U84" s="116"/>
      <c r="V84" s="116"/>
      <c r="W84" s="116"/>
      <c r="X84" s="116"/>
      <c r="Y84" s="116"/>
      <c r="Z84" s="116"/>
      <c r="AA84" s="116"/>
      <c r="AB84" s="448"/>
    </row>
    <row r="85" spans="2:30" hidden="1" outlineLevel="1">
      <c r="B85" s="447" t="s">
        <v>388</v>
      </c>
      <c r="C85" s="211"/>
      <c r="D85" s="211"/>
      <c r="E85" s="212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338">
        <f>$P$69/4</f>
        <v>451.03500000000003</v>
      </c>
      <c r="Q85" s="338">
        <f>$P$69/4</f>
        <v>451.03500000000003</v>
      </c>
      <c r="R85" s="338">
        <f>$P$69/4</f>
        <v>451.03500000000003</v>
      </c>
      <c r="S85" s="338">
        <f>$P$69/4</f>
        <v>451.03500000000003</v>
      </c>
      <c r="T85" s="338"/>
      <c r="U85" s="338"/>
      <c r="V85" s="338"/>
      <c r="W85" s="338"/>
      <c r="X85" s="338"/>
      <c r="Y85" s="338"/>
      <c r="Z85" s="338"/>
      <c r="AA85" s="338"/>
      <c r="AB85" s="449"/>
    </row>
    <row r="86" spans="2:30" hidden="1" outlineLevel="1">
      <c r="B86" s="447" t="s">
        <v>389</v>
      </c>
      <c r="C86" s="211"/>
      <c r="D86" s="211"/>
      <c r="E86" s="212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338">
        <f>$Q$69/4</f>
        <v>496.13850000000008</v>
      </c>
      <c r="R86" s="338">
        <f>$Q$69/4</f>
        <v>496.13850000000008</v>
      </c>
      <c r="S86" s="338">
        <f>$Q$69/4</f>
        <v>496.13850000000008</v>
      </c>
      <c r="T86" s="338">
        <f>$Q$69/4</f>
        <v>496.13850000000008</v>
      </c>
      <c r="U86" s="338"/>
      <c r="V86" s="338"/>
      <c r="W86" s="338"/>
      <c r="X86" s="338"/>
      <c r="Y86" s="338"/>
      <c r="Z86" s="338"/>
      <c r="AA86" s="338"/>
      <c r="AB86" s="449"/>
      <c r="AC86" s="436"/>
      <c r="AD86" s="436"/>
    </row>
    <row r="87" spans="2:30" hidden="1" outlineLevel="1">
      <c r="B87" s="447" t="s">
        <v>390</v>
      </c>
      <c r="C87" s="211"/>
      <c r="D87" s="211"/>
      <c r="E87" s="212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338"/>
      <c r="R87" s="338">
        <f>$R$69/4</f>
        <v>545.75235000000009</v>
      </c>
      <c r="S87" s="338">
        <f>$R$69/4</f>
        <v>545.75235000000009</v>
      </c>
      <c r="T87" s="338">
        <f>$R$69/4</f>
        <v>545.75235000000009</v>
      </c>
      <c r="U87" s="338">
        <f>$R$69/4</f>
        <v>545.75235000000009</v>
      </c>
      <c r="V87" s="338"/>
      <c r="W87" s="338"/>
      <c r="X87" s="338"/>
      <c r="Y87" s="338"/>
      <c r="Z87" s="338"/>
      <c r="AA87" s="338"/>
      <c r="AB87" s="449"/>
      <c r="AC87" s="436"/>
      <c r="AD87" s="436"/>
    </row>
    <row r="88" spans="2:30" hidden="1" outlineLevel="1">
      <c r="B88" s="447" t="s">
        <v>391</v>
      </c>
      <c r="C88" s="211"/>
      <c r="D88" s="211"/>
      <c r="E88" s="212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338"/>
      <c r="R88" s="338"/>
      <c r="S88" s="338">
        <f>$S$69/4</f>
        <v>600.32758500000011</v>
      </c>
      <c r="T88" s="338">
        <f>$S$69/4</f>
        <v>600.32758500000011</v>
      </c>
      <c r="U88" s="338">
        <f>$S$69/4</f>
        <v>600.32758500000011</v>
      </c>
      <c r="V88" s="338">
        <f>$S$69/4</f>
        <v>600.32758500000011</v>
      </c>
      <c r="W88" s="338"/>
      <c r="X88" s="338"/>
      <c r="Y88" s="338"/>
      <c r="Z88" s="338"/>
      <c r="AA88" s="338"/>
      <c r="AB88" s="449"/>
      <c r="AC88" s="436"/>
      <c r="AD88" s="436"/>
    </row>
    <row r="89" spans="2:30" hidden="1" outlineLevel="1">
      <c r="B89" s="447" t="s">
        <v>392</v>
      </c>
      <c r="C89" s="211"/>
      <c r="D89" s="211"/>
      <c r="E89" s="212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338"/>
      <c r="T89" s="338">
        <f>$T$69/4</f>
        <v>690.37672275000011</v>
      </c>
      <c r="U89" s="338">
        <f>$T$69/4</f>
        <v>690.37672275000011</v>
      </c>
      <c r="V89" s="338">
        <f>$T$69/4</f>
        <v>690.37672275000011</v>
      </c>
      <c r="W89" s="338">
        <f>$T$69/4</f>
        <v>690.37672275000011</v>
      </c>
      <c r="X89" s="338"/>
      <c r="Y89" s="338"/>
      <c r="Z89" s="116"/>
      <c r="AA89" s="116"/>
      <c r="AB89" s="448"/>
    </row>
    <row r="90" spans="2:30" hidden="1" outlineLevel="1">
      <c r="B90" s="447" t="s">
        <v>393</v>
      </c>
      <c r="C90" s="211"/>
      <c r="D90" s="211"/>
      <c r="E90" s="212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338"/>
      <c r="T90" s="338"/>
      <c r="U90" s="338">
        <f>$U$69/4</f>
        <v>793.93323116250008</v>
      </c>
      <c r="V90" s="338">
        <f>$U$69/4</f>
        <v>793.93323116250008</v>
      </c>
      <c r="W90" s="338">
        <f>$U$69/4</f>
        <v>793.93323116250008</v>
      </c>
      <c r="X90" s="338">
        <f>$U$69/4</f>
        <v>793.93323116250008</v>
      </c>
      <c r="Y90" s="338"/>
      <c r="Z90" s="338"/>
      <c r="AA90" s="338"/>
      <c r="AB90" s="449"/>
    </row>
    <row r="91" spans="2:30" hidden="1" outlineLevel="1">
      <c r="B91" s="447" t="s">
        <v>394</v>
      </c>
      <c r="C91" s="211"/>
      <c r="D91" s="211"/>
      <c r="E91" s="212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338"/>
      <c r="T91" s="338"/>
      <c r="U91" s="338"/>
      <c r="V91" s="338">
        <f>$V$69/4</f>
        <v>913.02321583687501</v>
      </c>
      <c r="W91" s="338">
        <f>$V$69/4</f>
        <v>913.02321583687501</v>
      </c>
      <c r="X91" s="338">
        <f>$V$69/4</f>
        <v>913.02321583687501</v>
      </c>
      <c r="Y91" s="338">
        <f>$V$69/4</f>
        <v>913.02321583687501</v>
      </c>
      <c r="Z91" s="338"/>
      <c r="AA91" s="338"/>
      <c r="AB91" s="449"/>
    </row>
    <row r="92" spans="2:30" hidden="1" outlineLevel="1">
      <c r="B92" s="447" t="s">
        <v>395</v>
      </c>
      <c r="C92" s="211"/>
      <c r="D92" s="211"/>
      <c r="E92" s="212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338"/>
      <c r="T92" s="338"/>
      <c r="U92" s="338"/>
      <c r="V92" s="338"/>
      <c r="W92" s="338">
        <f>$W$69/4</f>
        <v>1049.9766982124063</v>
      </c>
      <c r="X92" s="338">
        <f>$W$69/4</f>
        <v>1049.9766982124063</v>
      </c>
      <c r="Y92" s="338">
        <f>$W$69/4</f>
        <v>1049.9766982124063</v>
      </c>
      <c r="Z92" s="338">
        <f>$W$69/4</f>
        <v>1049.9766982124063</v>
      </c>
      <c r="AA92" s="338"/>
      <c r="AB92" s="449"/>
    </row>
    <row r="93" spans="2:30" hidden="1" outlineLevel="1">
      <c r="B93" s="447" t="s">
        <v>396</v>
      </c>
      <c r="C93" s="211"/>
      <c r="D93" s="211"/>
      <c r="E93" s="212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338"/>
      <c r="T93" s="338"/>
      <c r="U93" s="338"/>
      <c r="V93" s="338"/>
      <c r="W93" s="338"/>
      <c r="X93" s="338">
        <f>$X$69/4</f>
        <v>1207.4732029442671</v>
      </c>
      <c r="Y93" s="338">
        <f>$X$69/4</f>
        <v>1207.4732029442671</v>
      </c>
      <c r="Z93" s="338">
        <f>$X$69/4</f>
        <v>1207.4732029442671</v>
      </c>
      <c r="AA93" s="338">
        <f>$X$69/4</f>
        <v>1207.4732029442671</v>
      </c>
      <c r="AB93" s="449"/>
    </row>
    <row r="94" spans="2:30" hidden="1" outlineLevel="1">
      <c r="B94" s="447" t="s">
        <v>397</v>
      </c>
      <c r="C94" s="211"/>
      <c r="D94" s="211"/>
      <c r="E94" s="212"/>
      <c r="F94" s="116"/>
      <c r="G94" s="116"/>
      <c r="H94" s="116"/>
      <c r="I94" s="116"/>
      <c r="J94" s="116"/>
      <c r="K94" s="116"/>
      <c r="L94" s="116"/>
      <c r="M94" s="116"/>
      <c r="N94" s="116"/>
      <c r="O94" s="116"/>
      <c r="P94" s="116"/>
      <c r="Q94" s="116"/>
      <c r="R94" s="116"/>
      <c r="S94" s="338"/>
      <c r="T94" s="338"/>
      <c r="U94" s="338"/>
      <c r="V94" s="338"/>
      <c r="W94" s="338"/>
      <c r="X94" s="338"/>
      <c r="Y94" s="338">
        <f>$Y$69/4</f>
        <v>1388.5941833859069</v>
      </c>
      <c r="Z94" s="338">
        <f>$Y$69/4</f>
        <v>1388.5941833859069</v>
      </c>
      <c r="AA94" s="338">
        <f>$Y$69/4</f>
        <v>1388.5941833859069</v>
      </c>
      <c r="AB94" s="449">
        <f>$Y$69/4</f>
        <v>1388.5941833859069</v>
      </c>
    </row>
    <row r="95" spans="2:30" hidden="1" outlineLevel="1">
      <c r="B95" s="447" t="s">
        <v>398</v>
      </c>
      <c r="C95" s="211"/>
      <c r="D95" s="211"/>
      <c r="E95" s="212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338"/>
      <c r="V95" s="338"/>
      <c r="W95" s="338"/>
      <c r="X95" s="338"/>
      <c r="Y95" s="338"/>
      <c r="Z95" s="338">
        <f>$Z$69/4</f>
        <v>1596.8833108937929</v>
      </c>
      <c r="AA95" s="338">
        <f>$Z$69/4</f>
        <v>1596.8833108937929</v>
      </c>
      <c r="AB95" s="449">
        <f>$Z$69/4</f>
        <v>1596.8833108937929</v>
      </c>
      <c r="AC95" s="436"/>
    </row>
    <row r="96" spans="2:30" hidden="1" outlineLevel="1">
      <c r="B96" s="447" t="s">
        <v>399</v>
      </c>
      <c r="C96" s="211"/>
      <c r="D96" s="211"/>
      <c r="E96" s="212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338"/>
      <c r="V96" s="338"/>
      <c r="W96" s="338"/>
      <c r="X96" s="338"/>
      <c r="Y96" s="338"/>
      <c r="Z96" s="338"/>
      <c r="AA96" s="338">
        <f>$AA$69/4</f>
        <v>1836.4158075278617</v>
      </c>
      <c r="AB96" s="449">
        <f>$AA$69/4</f>
        <v>1836.4158075278617</v>
      </c>
    </row>
    <row r="97" spans="2:38" hidden="1" outlineLevel="1">
      <c r="B97" s="447" t="s">
        <v>400</v>
      </c>
      <c r="C97" s="211"/>
      <c r="D97" s="211"/>
      <c r="E97" s="212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338"/>
      <c r="V97" s="338"/>
      <c r="W97" s="338"/>
      <c r="X97" s="338"/>
      <c r="Y97" s="338"/>
      <c r="Z97" s="338"/>
      <c r="AA97" s="338"/>
      <c r="AB97" s="449">
        <f>$AB$69/4</f>
        <v>2111.8781786570407</v>
      </c>
    </row>
    <row r="98" spans="2:38" hidden="1" outlineLevel="1">
      <c r="B98" s="450" t="s">
        <v>401</v>
      </c>
      <c r="C98" s="451"/>
      <c r="D98" s="451"/>
      <c r="E98" s="452">
        <f>SUM(E77:E97)</f>
        <v>3131.75</v>
      </c>
      <c r="F98" s="452">
        <f t="shared" ref="F98:R98" si="62">SUM(F77:F97)</f>
        <v>1254</v>
      </c>
      <c r="G98" s="452">
        <f t="shared" si="62"/>
        <v>993.75</v>
      </c>
      <c r="H98" s="452">
        <f t="shared" si="62"/>
        <v>193.75</v>
      </c>
      <c r="I98" s="452">
        <f t="shared" si="62"/>
        <v>193.75</v>
      </c>
      <c r="J98" s="452">
        <f t="shared" si="62"/>
        <v>193.75</v>
      </c>
      <c r="K98" s="452">
        <f t="shared" si="62"/>
        <v>193.75</v>
      </c>
      <c r="L98" s="452">
        <f t="shared" si="62"/>
        <v>1122.25</v>
      </c>
      <c r="M98" s="452">
        <f t="shared" si="62"/>
        <v>1308.25</v>
      </c>
      <c r="N98" s="452">
        <f t="shared" si="62"/>
        <v>1487.125</v>
      </c>
      <c r="O98" s="452">
        <f t="shared" si="62"/>
        <v>1786.2375</v>
      </c>
      <c r="P98" s="452">
        <f t="shared" si="62"/>
        <v>2108.7725</v>
      </c>
      <c r="Q98" s="452">
        <f t="shared" si="62"/>
        <v>2412.1610000000001</v>
      </c>
      <c r="R98" s="452">
        <f t="shared" si="62"/>
        <v>2668.7883500000003</v>
      </c>
      <c r="S98" s="452">
        <f t="shared" ref="S98:AB98" si="63">SUM(S77:S97)</f>
        <v>2893.2534350000001</v>
      </c>
      <c r="T98" s="452">
        <f t="shared" si="63"/>
        <v>3132.5951577500005</v>
      </c>
      <c r="U98" s="452">
        <f t="shared" si="63"/>
        <v>3430.3898889125003</v>
      </c>
      <c r="V98" s="452">
        <f t="shared" si="63"/>
        <v>3797.6607547493754</v>
      </c>
      <c r="W98" s="452">
        <f t="shared" si="63"/>
        <v>4247.3098679617815</v>
      </c>
      <c r="X98" s="452">
        <f t="shared" si="63"/>
        <v>4764.4063481560479</v>
      </c>
      <c r="Y98" s="452">
        <f t="shared" si="63"/>
        <v>5359.0673003794545</v>
      </c>
      <c r="Z98" s="452">
        <f t="shared" si="63"/>
        <v>6042.9273954363725</v>
      </c>
      <c r="AA98" s="452">
        <f t="shared" si="63"/>
        <v>6829.3665047518289</v>
      </c>
      <c r="AB98" s="453">
        <f t="shared" si="63"/>
        <v>7733.7714804646021</v>
      </c>
      <c r="AC98" s="212"/>
      <c r="AD98" s="212"/>
    </row>
    <row r="99" spans="2:38" hidden="1" outlineLevel="1">
      <c r="B99" s="379"/>
      <c r="C99" s="211"/>
      <c r="D99" s="211"/>
      <c r="E99" s="212"/>
    </row>
    <row r="100" spans="2:38" collapsed="1">
      <c r="B100" s="211"/>
      <c r="C100" s="211"/>
      <c r="D100" s="211"/>
      <c r="E100" s="212"/>
    </row>
    <row r="101" spans="2:38" s="30" customFormat="1" ht="18">
      <c r="B101" s="439" t="s">
        <v>405</v>
      </c>
      <c r="C101" s="377"/>
      <c r="D101" s="377"/>
      <c r="E101" s="378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8"/>
      <c r="R101" s="378"/>
      <c r="S101" s="378"/>
      <c r="T101" s="378"/>
      <c r="U101" s="378"/>
      <c r="V101" s="378"/>
      <c r="W101" s="378"/>
      <c r="X101" s="378"/>
      <c r="Y101" s="378"/>
      <c r="Z101" s="378"/>
      <c r="AA101" s="378"/>
      <c r="AB101" s="378"/>
      <c r="AG101"/>
      <c r="AH101"/>
      <c r="AI101"/>
      <c r="AJ101"/>
      <c r="AK101"/>
      <c r="AL101"/>
    </row>
    <row r="102" spans="2:38" s="30" customFormat="1" ht="18" hidden="1" outlineLevel="1">
      <c r="B102" s="482" t="s">
        <v>406</v>
      </c>
      <c r="C102" s="483"/>
      <c r="D102" s="483"/>
      <c r="E102" s="484"/>
      <c r="F102" s="484"/>
      <c r="G102" s="484"/>
      <c r="H102" s="484"/>
      <c r="I102" s="484"/>
      <c r="J102" s="484"/>
      <c r="K102" s="484"/>
      <c r="L102" s="485">
        <v>38.35</v>
      </c>
      <c r="M102" s="485">
        <v>50</v>
      </c>
      <c r="N102" s="485">
        <f>M102*1.1</f>
        <v>55.000000000000007</v>
      </c>
      <c r="O102" s="485">
        <f>N102*1.1</f>
        <v>60.500000000000014</v>
      </c>
      <c r="P102" s="485">
        <f>O102*1.1</f>
        <v>66.550000000000026</v>
      </c>
      <c r="Q102" s="485">
        <f>P102*1.1</f>
        <v>73.205000000000041</v>
      </c>
      <c r="R102" s="485">
        <f>Q102*1.1</f>
        <v>80.525500000000051</v>
      </c>
      <c r="S102" s="485">
        <f t="shared" ref="S102:AB102" si="64">R102*1.1</f>
        <v>88.578050000000061</v>
      </c>
      <c r="T102" s="485">
        <f t="shared" si="64"/>
        <v>97.435855000000075</v>
      </c>
      <c r="U102" s="485">
        <f t="shared" si="64"/>
        <v>107.1794405000001</v>
      </c>
      <c r="V102" s="485">
        <f t="shared" si="64"/>
        <v>117.89738455000011</v>
      </c>
      <c r="W102" s="485">
        <f t="shared" si="64"/>
        <v>129.68712300500013</v>
      </c>
      <c r="X102" s="485">
        <f t="shared" si="64"/>
        <v>142.65583530550015</v>
      </c>
      <c r="Y102" s="485">
        <f t="shared" si="64"/>
        <v>156.92141883605018</v>
      </c>
      <c r="Z102" s="485">
        <f t="shared" si="64"/>
        <v>172.6135607196552</v>
      </c>
      <c r="AA102" s="485">
        <f t="shared" si="64"/>
        <v>189.87491679162073</v>
      </c>
      <c r="AB102" s="486">
        <f t="shared" si="64"/>
        <v>208.86240847078281</v>
      </c>
      <c r="AG102"/>
      <c r="AH102"/>
      <c r="AI102"/>
      <c r="AJ102"/>
      <c r="AK102"/>
      <c r="AL102"/>
    </row>
    <row r="103" spans="2:38" s="30" customFormat="1" ht="18" hidden="1" outlineLevel="1">
      <c r="B103" s="487" t="s">
        <v>407</v>
      </c>
      <c r="C103" s="377"/>
      <c r="D103" s="377"/>
      <c r="E103" s="488"/>
      <c r="F103" s="488"/>
      <c r="G103" s="488"/>
      <c r="H103" s="488"/>
      <c r="I103" s="488"/>
      <c r="J103" s="488"/>
      <c r="K103" s="488"/>
      <c r="L103" s="489">
        <v>3942</v>
      </c>
      <c r="M103" s="489">
        <f t="shared" ref="M103:R103" si="65">L103+L115-L107-L109</f>
        <v>3210</v>
      </c>
      <c r="N103" s="489">
        <f t="shared" si="65"/>
        <v>3627.3</v>
      </c>
      <c r="O103" s="489">
        <f t="shared" si="65"/>
        <v>3917.4839999999995</v>
      </c>
      <c r="P103" s="489">
        <f t="shared" si="65"/>
        <v>4035.0085199999994</v>
      </c>
      <c r="Q103" s="489">
        <f t="shared" si="65"/>
        <v>4014.8334773999991</v>
      </c>
      <c r="R103" s="489">
        <f t="shared" si="65"/>
        <v>3954.6109752389989</v>
      </c>
      <c r="S103" s="489">
        <f t="shared" ref="S103:AB103" si="66">R103+R115-R107-R109</f>
        <v>3895.291810610413</v>
      </c>
      <c r="T103" s="489">
        <f t="shared" si="66"/>
        <v>3836.8624334512569</v>
      </c>
      <c r="U103" s="489">
        <f t="shared" si="66"/>
        <v>3779.3094969494878</v>
      </c>
      <c r="V103" s="489">
        <f t="shared" si="66"/>
        <v>3722.6198544952454</v>
      </c>
      <c r="W103" s="489">
        <f t="shared" si="66"/>
        <v>3666.7805566778165</v>
      </c>
      <c r="X103" s="489">
        <f t="shared" si="66"/>
        <v>3611.7788483276499</v>
      </c>
      <c r="Y103" s="489">
        <f t="shared" si="66"/>
        <v>3557.6021656027351</v>
      </c>
      <c r="Z103" s="489">
        <f t="shared" si="66"/>
        <v>3504.2381331186943</v>
      </c>
      <c r="AA103" s="489">
        <f t="shared" si="66"/>
        <v>3451.6745611219139</v>
      </c>
      <c r="AB103" s="490">
        <f t="shared" si="66"/>
        <v>3399.8994427050857</v>
      </c>
      <c r="AG103"/>
      <c r="AH103"/>
      <c r="AI103"/>
      <c r="AJ103"/>
      <c r="AK103"/>
      <c r="AL103"/>
    </row>
    <row r="104" spans="2:38" s="30" customFormat="1" ht="18" hidden="1" outlineLevel="1">
      <c r="B104" s="470" t="s">
        <v>408</v>
      </c>
      <c r="C104" s="377"/>
      <c r="D104" s="377"/>
      <c r="E104" s="488"/>
      <c r="F104" s="488"/>
      <c r="G104" s="488"/>
      <c r="H104" s="488"/>
      <c r="I104" s="488"/>
      <c r="J104" s="488"/>
      <c r="K104" s="488"/>
      <c r="L104" s="489">
        <v>2292</v>
      </c>
      <c r="M104" s="489">
        <f t="shared" ref="M104:AB104" si="67">M103*M105</f>
        <v>1926</v>
      </c>
      <c r="N104" s="489">
        <f t="shared" si="67"/>
        <v>2176.38</v>
      </c>
      <c r="O104" s="489">
        <f t="shared" si="67"/>
        <v>2350.4903999999997</v>
      </c>
      <c r="P104" s="489">
        <f t="shared" si="67"/>
        <v>2421.0051119999994</v>
      </c>
      <c r="Q104" s="489">
        <f t="shared" si="67"/>
        <v>2408.9000864399995</v>
      </c>
      <c r="R104" s="489">
        <f t="shared" si="67"/>
        <v>2372.7665851433994</v>
      </c>
      <c r="S104" s="489">
        <f t="shared" si="67"/>
        <v>2337.1750863662478</v>
      </c>
      <c r="T104" s="489">
        <f t="shared" si="67"/>
        <v>2302.1174600707541</v>
      </c>
      <c r="U104" s="489">
        <f t="shared" si="67"/>
        <v>2267.5856981696925</v>
      </c>
      <c r="V104" s="489">
        <f t="shared" si="67"/>
        <v>2233.5719126971471</v>
      </c>
      <c r="W104" s="489">
        <f t="shared" si="67"/>
        <v>2200.0683340066898</v>
      </c>
      <c r="X104" s="489">
        <f t="shared" si="67"/>
        <v>2167.0673089965899</v>
      </c>
      <c r="Y104" s="489">
        <f t="shared" si="67"/>
        <v>2134.561299361641</v>
      </c>
      <c r="Z104" s="489">
        <f t="shared" si="67"/>
        <v>2102.5428798712164</v>
      </c>
      <c r="AA104" s="489">
        <f t="shared" si="67"/>
        <v>2071.0047366731483</v>
      </c>
      <c r="AB104" s="490">
        <f t="shared" si="67"/>
        <v>2039.9396656230513</v>
      </c>
      <c r="AG104"/>
      <c r="AH104"/>
      <c r="AI104"/>
      <c r="AJ104"/>
      <c r="AK104"/>
      <c r="AL104"/>
    </row>
    <row r="105" spans="2:38" s="30" customFormat="1" ht="18" hidden="1" outlineLevel="1">
      <c r="B105" s="491" t="s">
        <v>409</v>
      </c>
      <c r="C105" s="377"/>
      <c r="D105" s="377"/>
      <c r="E105" s="488"/>
      <c r="F105" s="488"/>
      <c r="G105" s="488"/>
      <c r="H105" s="488"/>
      <c r="I105" s="488"/>
      <c r="J105" s="488"/>
      <c r="K105" s="488"/>
      <c r="L105" s="461">
        <f>L104/L103</f>
        <v>0.58143074581430743</v>
      </c>
      <c r="M105" s="492">
        <v>0.6</v>
      </c>
      <c r="N105" s="492">
        <v>0.6</v>
      </c>
      <c r="O105" s="492">
        <v>0.6</v>
      </c>
      <c r="P105" s="492">
        <v>0.6</v>
      </c>
      <c r="Q105" s="492">
        <v>0.6</v>
      </c>
      <c r="R105" s="492">
        <v>0.6</v>
      </c>
      <c r="S105" s="492">
        <f>R105</f>
        <v>0.6</v>
      </c>
      <c r="T105" s="492">
        <f t="shared" ref="T105:AB105" si="68">S105</f>
        <v>0.6</v>
      </c>
      <c r="U105" s="492">
        <f t="shared" si="68"/>
        <v>0.6</v>
      </c>
      <c r="V105" s="492">
        <f t="shared" si="68"/>
        <v>0.6</v>
      </c>
      <c r="W105" s="492">
        <f t="shared" si="68"/>
        <v>0.6</v>
      </c>
      <c r="X105" s="492">
        <f t="shared" si="68"/>
        <v>0.6</v>
      </c>
      <c r="Y105" s="492">
        <f t="shared" si="68"/>
        <v>0.6</v>
      </c>
      <c r="Z105" s="492">
        <f t="shared" si="68"/>
        <v>0.6</v>
      </c>
      <c r="AA105" s="492">
        <f t="shared" si="68"/>
        <v>0.6</v>
      </c>
      <c r="AB105" s="493">
        <f t="shared" si="68"/>
        <v>0.6</v>
      </c>
      <c r="AG105"/>
      <c r="AH105"/>
      <c r="AI105"/>
      <c r="AJ105"/>
      <c r="AK105"/>
      <c r="AL105"/>
    </row>
    <row r="106" spans="2:38" s="30" customFormat="1" ht="18" hidden="1" outlineLevel="1">
      <c r="B106" s="470" t="s">
        <v>410</v>
      </c>
      <c r="C106" s="377"/>
      <c r="D106" s="377"/>
      <c r="E106" s="488"/>
      <c r="F106" s="488"/>
      <c r="G106" s="488"/>
      <c r="H106" s="488"/>
      <c r="I106" s="488"/>
      <c r="J106" s="488"/>
      <c r="K106" s="488"/>
      <c r="L106" s="494">
        <v>3.76</v>
      </c>
      <c r="M106" s="494">
        <f>L106*3</f>
        <v>11.28</v>
      </c>
      <c r="N106" s="494">
        <f>M106*1.15</f>
        <v>12.971999999999998</v>
      </c>
      <c r="O106" s="494">
        <f>N106*1.15</f>
        <v>14.917799999999996</v>
      </c>
      <c r="P106" s="494">
        <f>O106*1.15</f>
        <v>17.155469999999994</v>
      </c>
      <c r="Q106" s="494">
        <f>P106*1.15</f>
        <v>19.728790499999992</v>
      </c>
      <c r="R106" s="494">
        <f>Q106*1.15</f>
        <v>22.688109074999989</v>
      </c>
      <c r="S106" s="494">
        <f t="shared" ref="S106:AB106" si="69">R106*1.15</f>
        <v>26.091325436249985</v>
      </c>
      <c r="T106" s="494">
        <f t="shared" si="69"/>
        <v>30.00502425168748</v>
      </c>
      <c r="U106" s="494">
        <f t="shared" si="69"/>
        <v>34.505777889440601</v>
      </c>
      <c r="V106" s="494">
        <f t="shared" si="69"/>
        <v>39.68164457285669</v>
      </c>
      <c r="W106" s="494">
        <f t="shared" si="69"/>
        <v>45.633891258785191</v>
      </c>
      <c r="X106" s="494">
        <f t="shared" si="69"/>
        <v>52.478974947602964</v>
      </c>
      <c r="Y106" s="494">
        <f t="shared" si="69"/>
        <v>60.350821189743407</v>
      </c>
      <c r="Z106" s="494">
        <f t="shared" si="69"/>
        <v>69.403444368204916</v>
      </c>
      <c r="AA106" s="494">
        <f t="shared" si="69"/>
        <v>79.813961023435652</v>
      </c>
      <c r="AB106" s="495">
        <f t="shared" si="69"/>
        <v>91.786055176950995</v>
      </c>
      <c r="AG106"/>
      <c r="AH106"/>
      <c r="AI106"/>
      <c r="AJ106"/>
      <c r="AK106"/>
      <c r="AL106"/>
    </row>
    <row r="107" spans="2:38" s="30" customFormat="1" ht="18" hidden="1" outlineLevel="1">
      <c r="B107" s="470" t="s">
        <v>411</v>
      </c>
      <c r="C107" s="377"/>
      <c r="D107" s="377"/>
      <c r="E107" s="488"/>
      <c r="F107" s="488"/>
      <c r="G107" s="488"/>
      <c r="H107" s="488"/>
      <c r="I107" s="488"/>
      <c r="J107" s="488"/>
      <c r="K107" s="488"/>
      <c r="L107" s="489">
        <v>82</v>
      </c>
      <c r="M107" s="489">
        <f t="shared" ref="M107:AB107" si="70">M103*M108</f>
        <v>64.2</v>
      </c>
      <c r="N107" s="489">
        <f t="shared" si="70"/>
        <v>72.546000000000006</v>
      </c>
      <c r="O107" s="489">
        <f t="shared" si="70"/>
        <v>78.349679999999992</v>
      </c>
      <c r="P107" s="489">
        <f t="shared" si="70"/>
        <v>121.05025559999997</v>
      </c>
      <c r="Q107" s="489">
        <f t="shared" si="70"/>
        <v>160.59333909599997</v>
      </c>
      <c r="R107" s="489">
        <f t="shared" si="70"/>
        <v>158.18443900955995</v>
      </c>
      <c r="S107" s="489">
        <f t="shared" si="70"/>
        <v>155.81167242441651</v>
      </c>
      <c r="T107" s="489">
        <f t="shared" si="70"/>
        <v>153.47449733805027</v>
      </c>
      <c r="U107" s="489">
        <f t="shared" si="70"/>
        <v>151.17237987797952</v>
      </c>
      <c r="V107" s="489">
        <f t="shared" si="70"/>
        <v>148.90479417980981</v>
      </c>
      <c r="W107" s="489">
        <f t="shared" si="70"/>
        <v>146.67122226711265</v>
      </c>
      <c r="X107" s="489">
        <f t="shared" si="70"/>
        <v>144.471153933106</v>
      </c>
      <c r="Y107" s="489">
        <f t="shared" si="70"/>
        <v>142.3040866241094</v>
      </c>
      <c r="Z107" s="489">
        <f t="shared" si="70"/>
        <v>140.16952532474778</v>
      </c>
      <c r="AA107" s="489">
        <f t="shared" si="70"/>
        <v>138.06698244487657</v>
      </c>
      <c r="AB107" s="490">
        <f t="shared" si="70"/>
        <v>135.99597770820344</v>
      </c>
      <c r="AG107"/>
      <c r="AH107"/>
      <c r="AI107"/>
      <c r="AJ107"/>
      <c r="AK107"/>
      <c r="AL107"/>
    </row>
    <row r="108" spans="2:38" s="30" customFormat="1" ht="18" hidden="1" outlineLevel="1">
      <c r="B108" s="491" t="s">
        <v>412</v>
      </c>
      <c r="C108" s="377"/>
      <c r="D108" s="377"/>
      <c r="E108" s="488"/>
      <c r="F108" s="488"/>
      <c r="G108" s="488"/>
      <c r="H108" s="488"/>
      <c r="I108" s="488"/>
      <c r="J108" s="488"/>
      <c r="K108" s="488"/>
      <c r="L108" s="461">
        <f>L107/L103</f>
        <v>2.0801623541349568E-2</v>
      </c>
      <c r="M108" s="492">
        <v>0.02</v>
      </c>
      <c r="N108" s="492">
        <v>0.02</v>
      </c>
      <c r="O108" s="492">
        <v>0.02</v>
      </c>
      <c r="P108" s="492">
        <v>0.03</v>
      </c>
      <c r="Q108" s="492">
        <v>0.04</v>
      </c>
      <c r="R108" s="492">
        <v>0.04</v>
      </c>
      <c r="S108" s="492">
        <f>R108</f>
        <v>0.04</v>
      </c>
      <c r="T108" s="492">
        <f t="shared" ref="T108:AB108" si="71">S108</f>
        <v>0.04</v>
      </c>
      <c r="U108" s="492">
        <f t="shared" si="71"/>
        <v>0.04</v>
      </c>
      <c r="V108" s="492">
        <f t="shared" si="71"/>
        <v>0.04</v>
      </c>
      <c r="W108" s="492">
        <f t="shared" si="71"/>
        <v>0.04</v>
      </c>
      <c r="X108" s="492">
        <f t="shared" si="71"/>
        <v>0.04</v>
      </c>
      <c r="Y108" s="492">
        <f t="shared" si="71"/>
        <v>0.04</v>
      </c>
      <c r="Z108" s="492">
        <f t="shared" si="71"/>
        <v>0.04</v>
      </c>
      <c r="AA108" s="492">
        <f t="shared" si="71"/>
        <v>0.04</v>
      </c>
      <c r="AB108" s="493">
        <f t="shared" si="71"/>
        <v>0.04</v>
      </c>
      <c r="AG108"/>
      <c r="AH108"/>
      <c r="AI108"/>
      <c r="AJ108"/>
      <c r="AK108"/>
      <c r="AL108"/>
    </row>
    <row r="109" spans="2:38" s="30" customFormat="1" ht="18" hidden="1" outlineLevel="1">
      <c r="B109" s="470" t="s">
        <v>413</v>
      </c>
      <c r="C109" s="377"/>
      <c r="D109" s="377"/>
      <c r="E109" s="488"/>
      <c r="F109" s="488"/>
      <c r="G109" s="488"/>
      <c r="H109" s="488"/>
      <c r="I109" s="488"/>
      <c r="J109" s="488"/>
      <c r="K109" s="488"/>
      <c r="L109" s="489">
        <v>854</v>
      </c>
      <c r="M109" s="489">
        <f t="shared" ref="M109:AB109" si="72">M110*M103</f>
        <v>642</v>
      </c>
      <c r="N109" s="489">
        <f t="shared" si="72"/>
        <v>725.46</v>
      </c>
      <c r="O109" s="489">
        <f t="shared" si="72"/>
        <v>783.49679999999989</v>
      </c>
      <c r="P109" s="489">
        <f t="shared" si="72"/>
        <v>504.37606499999993</v>
      </c>
      <c r="Q109" s="489">
        <f t="shared" si="72"/>
        <v>501.85418467499989</v>
      </c>
      <c r="R109" s="489">
        <f t="shared" si="72"/>
        <v>494.32637190487486</v>
      </c>
      <c r="S109" s="489">
        <f t="shared" si="72"/>
        <v>486.91147632630162</v>
      </c>
      <c r="T109" s="489">
        <f t="shared" si="72"/>
        <v>479.60780418140712</v>
      </c>
      <c r="U109" s="489">
        <f t="shared" si="72"/>
        <v>472.41368711868597</v>
      </c>
      <c r="V109" s="489">
        <f t="shared" si="72"/>
        <v>465.32748181190567</v>
      </c>
      <c r="W109" s="489">
        <f t="shared" si="72"/>
        <v>458.34756958472707</v>
      </c>
      <c r="X109" s="489">
        <f t="shared" si="72"/>
        <v>451.47235604095624</v>
      </c>
      <c r="Y109" s="489">
        <f t="shared" si="72"/>
        <v>444.70027070034189</v>
      </c>
      <c r="Z109" s="489">
        <f t="shared" si="72"/>
        <v>438.02976663983679</v>
      </c>
      <c r="AA109" s="489">
        <f t="shared" si="72"/>
        <v>431.45932014023924</v>
      </c>
      <c r="AB109" s="490">
        <f t="shared" si="72"/>
        <v>424.98743033813571</v>
      </c>
      <c r="AG109"/>
      <c r="AH109"/>
      <c r="AI109"/>
      <c r="AJ109"/>
      <c r="AK109"/>
      <c r="AL109"/>
    </row>
    <row r="110" spans="2:38" s="30" customFormat="1" ht="18" hidden="1" outlineLevel="1">
      <c r="B110" s="491" t="s">
        <v>414</v>
      </c>
      <c r="C110" s="377"/>
      <c r="D110" s="377"/>
      <c r="E110" s="488"/>
      <c r="F110" s="488"/>
      <c r="G110" s="488"/>
      <c r="H110" s="488"/>
      <c r="I110" s="488"/>
      <c r="J110" s="488"/>
      <c r="K110" s="488"/>
      <c r="L110" s="461">
        <f>L109/L103</f>
        <v>0.21664129883307964</v>
      </c>
      <c r="M110" s="492">
        <v>0.2</v>
      </c>
      <c r="N110" s="492">
        <v>0.2</v>
      </c>
      <c r="O110" s="492">
        <v>0.2</v>
      </c>
      <c r="P110" s="492">
        <v>0.125</v>
      </c>
      <c r="Q110" s="492">
        <v>0.125</v>
      </c>
      <c r="R110" s="492">
        <v>0.125</v>
      </c>
      <c r="S110" s="492">
        <v>0.125</v>
      </c>
      <c r="T110" s="492">
        <f t="shared" ref="T110:AB110" si="73">S110</f>
        <v>0.125</v>
      </c>
      <c r="U110" s="492">
        <f t="shared" si="73"/>
        <v>0.125</v>
      </c>
      <c r="V110" s="492">
        <f t="shared" si="73"/>
        <v>0.125</v>
      </c>
      <c r="W110" s="492">
        <f t="shared" si="73"/>
        <v>0.125</v>
      </c>
      <c r="X110" s="492">
        <f t="shared" si="73"/>
        <v>0.125</v>
      </c>
      <c r="Y110" s="492">
        <f t="shared" si="73"/>
        <v>0.125</v>
      </c>
      <c r="Z110" s="492">
        <f t="shared" si="73"/>
        <v>0.125</v>
      </c>
      <c r="AA110" s="492">
        <f t="shared" si="73"/>
        <v>0.125</v>
      </c>
      <c r="AB110" s="493">
        <f t="shared" si="73"/>
        <v>0.125</v>
      </c>
      <c r="AG110"/>
      <c r="AH110"/>
      <c r="AI110"/>
      <c r="AJ110"/>
      <c r="AK110"/>
      <c r="AL110"/>
    </row>
    <row r="111" spans="2:38" s="30" customFormat="1" ht="18" hidden="1" outlineLevel="1">
      <c r="B111" s="470" t="s">
        <v>479</v>
      </c>
      <c r="C111" s="377"/>
      <c r="D111" s="377"/>
      <c r="E111" s="488"/>
      <c r="F111" s="488"/>
      <c r="G111" s="488"/>
      <c r="H111" s="488"/>
      <c r="I111" s="488"/>
      <c r="J111" s="488"/>
      <c r="K111" s="488"/>
      <c r="L111" s="488">
        <v>3.76</v>
      </c>
      <c r="M111" s="488">
        <f>M106</f>
        <v>11.28</v>
      </c>
      <c r="N111" s="488">
        <f t="shared" ref="N111:AB111" si="74">N106</f>
        <v>12.971999999999998</v>
      </c>
      <c r="O111" s="488">
        <f t="shared" si="74"/>
        <v>14.917799999999996</v>
      </c>
      <c r="P111" s="488">
        <f t="shared" si="74"/>
        <v>17.155469999999994</v>
      </c>
      <c r="Q111" s="488">
        <f t="shared" si="74"/>
        <v>19.728790499999992</v>
      </c>
      <c r="R111" s="488">
        <f t="shared" si="74"/>
        <v>22.688109074999989</v>
      </c>
      <c r="S111" s="488">
        <f t="shared" si="74"/>
        <v>26.091325436249985</v>
      </c>
      <c r="T111" s="488">
        <f t="shared" si="74"/>
        <v>30.00502425168748</v>
      </c>
      <c r="U111" s="488">
        <f t="shared" si="74"/>
        <v>34.505777889440601</v>
      </c>
      <c r="V111" s="488">
        <f t="shared" si="74"/>
        <v>39.68164457285669</v>
      </c>
      <c r="W111" s="488">
        <f t="shared" si="74"/>
        <v>45.633891258785191</v>
      </c>
      <c r="X111" s="488">
        <f t="shared" si="74"/>
        <v>52.478974947602964</v>
      </c>
      <c r="Y111" s="488">
        <f t="shared" si="74"/>
        <v>60.350821189743407</v>
      </c>
      <c r="Z111" s="488">
        <f t="shared" si="74"/>
        <v>69.403444368204916</v>
      </c>
      <c r="AA111" s="488">
        <f t="shared" si="74"/>
        <v>79.813961023435652</v>
      </c>
      <c r="AB111" s="496">
        <f t="shared" si="74"/>
        <v>91.786055176950995</v>
      </c>
      <c r="AG111"/>
      <c r="AH111"/>
      <c r="AI111"/>
      <c r="AJ111"/>
      <c r="AK111"/>
      <c r="AL111"/>
    </row>
    <row r="112" spans="2:38" s="30" customFormat="1" ht="18" hidden="1" outlineLevel="1">
      <c r="B112" s="470" t="s">
        <v>415</v>
      </c>
      <c r="C112" s="377"/>
      <c r="D112" s="377"/>
      <c r="E112" s="488"/>
      <c r="F112" s="488"/>
      <c r="G112" s="488"/>
      <c r="H112" s="488"/>
      <c r="I112" s="488"/>
      <c r="J112" s="488"/>
      <c r="K112" s="488"/>
      <c r="L112" s="497">
        <v>0.35</v>
      </c>
      <c r="M112" s="497">
        <f t="shared" ref="M112:S112" si="75">L112</f>
        <v>0.35</v>
      </c>
      <c r="N112" s="497">
        <f t="shared" si="75"/>
        <v>0.35</v>
      </c>
      <c r="O112" s="497">
        <f t="shared" si="75"/>
        <v>0.35</v>
      </c>
      <c r="P112" s="497">
        <f t="shared" si="75"/>
        <v>0.35</v>
      </c>
      <c r="Q112" s="497">
        <f t="shared" si="75"/>
        <v>0.35</v>
      </c>
      <c r="R112" s="497">
        <f t="shared" si="75"/>
        <v>0.35</v>
      </c>
      <c r="S112" s="497">
        <f t="shared" si="75"/>
        <v>0.35</v>
      </c>
      <c r="T112" s="497">
        <f t="shared" ref="T112:AB112" si="76">S112</f>
        <v>0.35</v>
      </c>
      <c r="U112" s="497">
        <f t="shared" si="76"/>
        <v>0.35</v>
      </c>
      <c r="V112" s="497">
        <f t="shared" si="76"/>
        <v>0.35</v>
      </c>
      <c r="W112" s="497">
        <f t="shared" si="76"/>
        <v>0.35</v>
      </c>
      <c r="X112" s="497">
        <f t="shared" si="76"/>
        <v>0.35</v>
      </c>
      <c r="Y112" s="497">
        <f t="shared" si="76"/>
        <v>0.35</v>
      </c>
      <c r="Z112" s="497">
        <f t="shared" si="76"/>
        <v>0.35</v>
      </c>
      <c r="AA112" s="497">
        <f t="shared" si="76"/>
        <v>0.35</v>
      </c>
      <c r="AB112" s="498">
        <f t="shared" si="76"/>
        <v>0.35</v>
      </c>
      <c r="AG112"/>
      <c r="AH112"/>
      <c r="AI112"/>
      <c r="AJ112"/>
      <c r="AK112"/>
      <c r="AL112"/>
    </row>
    <row r="113" spans="2:38" s="30" customFormat="1" ht="18" hidden="1" outlineLevel="1">
      <c r="B113" s="470" t="s">
        <v>416</v>
      </c>
      <c r="C113" s="377"/>
      <c r="D113" s="377"/>
      <c r="E113" s="488"/>
      <c r="F113" s="488"/>
      <c r="G113" s="488"/>
      <c r="H113" s="488"/>
      <c r="I113" s="488"/>
      <c r="J113" s="488"/>
      <c r="K113" s="488"/>
      <c r="L113" s="127">
        <f>L109*L111</f>
        <v>3211.04</v>
      </c>
      <c r="M113" s="127">
        <f>M109*M111</f>
        <v>7241.7599999999993</v>
      </c>
      <c r="N113" s="127">
        <f t="shared" ref="N113:AB113" si="77">N109*N111</f>
        <v>9410.6671199999982</v>
      </c>
      <c r="O113" s="127">
        <f t="shared" si="77"/>
        <v>11688.048563039996</v>
      </c>
      <c r="P113" s="127">
        <f t="shared" si="77"/>
        <v>8652.8084518255455</v>
      </c>
      <c r="Q113" s="127">
        <f t="shared" si="77"/>
        <v>9900.9760710013798</v>
      </c>
      <c r="R113" s="127">
        <f t="shared" si="77"/>
        <v>11215.330644426811</v>
      </c>
      <c r="S113" s="127">
        <f t="shared" si="77"/>
        <v>12704.165787474465</v>
      </c>
      <c r="T113" s="127">
        <f t="shared" si="77"/>
        <v>14390.6437957617</v>
      </c>
      <c r="U113" s="127">
        <f t="shared" si="77"/>
        <v>16301.001759649065</v>
      </c>
      <c r="V113" s="127">
        <f t="shared" si="77"/>
        <v>18464.959743242478</v>
      </c>
      <c r="W113" s="127">
        <f t="shared" si="77"/>
        <v>20916.183149157914</v>
      </c>
      <c r="X113" s="127">
        <f t="shared" si="77"/>
        <v>23692.806462208628</v>
      </c>
      <c r="Y113" s="127">
        <f t="shared" si="77"/>
        <v>26838.026520066822</v>
      </c>
      <c r="Z113" s="127">
        <f t="shared" si="77"/>
        <v>30400.774540605693</v>
      </c>
      <c r="AA113" s="127">
        <f t="shared" si="77"/>
        <v>34436.477360871097</v>
      </c>
      <c r="AB113" s="106">
        <f t="shared" si="77"/>
        <v>39007.919730526744</v>
      </c>
      <c r="AG113"/>
      <c r="AH113"/>
      <c r="AI113"/>
      <c r="AJ113"/>
      <c r="AK113"/>
      <c r="AL113"/>
    </row>
    <row r="114" spans="2:38" s="30" customFormat="1" ht="18" hidden="1" outlineLevel="1">
      <c r="B114" s="470" t="s">
        <v>417</v>
      </c>
      <c r="C114" s="377"/>
      <c r="D114" s="377"/>
      <c r="E114" s="488"/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488"/>
      <c r="R114" s="488"/>
      <c r="S114" s="488"/>
      <c r="T114" s="488"/>
      <c r="U114" s="488"/>
      <c r="V114" s="488"/>
      <c r="W114" s="488"/>
      <c r="X114" s="488"/>
      <c r="Y114" s="488"/>
      <c r="Z114" s="488"/>
      <c r="AA114" s="488"/>
      <c r="AB114" s="496"/>
      <c r="AG114"/>
      <c r="AH114"/>
      <c r="AI114"/>
      <c r="AJ114"/>
      <c r="AK114"/>
      <c r="AL114"/>
    </row>
    <row r="115" spans="2:38" hidden="1" outlineLevel="1">
      <c r="B115" s="470" t="s">
        <v>418</v>
      </c>
      <c r="C115" s="261"/>
      <c r="D115" s="261"/>
      <c r="E115" s="488"/>
      <c r="F115" s="488"/>
      <c r="G115" s="488"/>
      <c r="H115" s="488"/>
      <c r="I115" s="488"/>
      <c r="J115" s="488"/>
      <c r="K115" s="488"/>
      <c r="L115" s="489">
        <v>204</v>
      </c>
      <c r="M115" s="489">
        <f t="shared" ref="M115:AB115" si="78">M103*M116</f>
        <v>1123.5</v>
      </c>
      <c r="N115" s="489">
        <f t="shared" si="78"/>
        <v>1088.19</v>
      </c>
      <c r="O115" s="489">
        <f t="shared" si="78"/>
        <v>979.37099999999987</v>
      </c>
      <c r="P115" s="489">
        <f t="shared" si="78"/>
        <v>605.25127799999984</v>
      </c>
      <c r="Q115" s="489">
        <f t="shared" si="78"/>
        <v>602.22502160999989</v>
      </c>
      <c r="R115" s="489">
        <f t="shared" si="78"/>
        <v>593.19164628584986</v>
      </c>
      <c r="S115" s="489">
        <f t="shared" si="78"/>
        <v>584.29377159156195</v>
      </c>
      <c r="T115" s="489">
        <f t="shared" si="78"/>
        <v>575.52936501768852</v>
      </c>
      <c r="U115" s="489">
        <f t="shared" si="78"/>
        <v>566.89642454242312</v>
      </c>
      <c r="V115" s="489">
        <f t="shared" si="78"/>
        <v>558.39297817428678</v>
      </c>
      <c r="W115" s="489">
        <f t="shared" si="78"/>
        <v>550.01708350167246</v>
      </c>
      <c r="X115" s="489">
        <f t="shared" si="78"/>
        <v>541.76682724914747</v>
      </c>
      <c r="Y115" s="489">
        <f t="shared" si="78"/>
        <v>533.64032484041024</v>
      </c>
      <c r="Z115" s="489">
        <f t="shared" si="78"/>
        <v>525.63571996780411</v>
      </c>
      <c r="AA115" s="489">
        <f t="shared" si="78"/>
        <v>517.75118416828707</v>
      </c>
      <c r="AB115" s="490">
        <f t="shared" si="78"/>
        <v>509.98491640576282</v>
      </c>
    </row>
    <row r="116" spans="2:38" hidden="1" outlineLevel="1">
      <c r="B116" s="499" t="s">
        <v>427</v>
      </c>
      <c r="C116" s="500"/>
      <c r="D116" s="500"/>
      <c r="E116" s="488"/>
      <c r="F116" s="488"/>
      <c r="G116" s="488"/>
      <c r="H116" s="488"/>
      <c r="I116" s="488"/>
      <c r="J116" s="488"/>
      <c r="K116" s="488"/>
      <c r="L116" s="501">
        <f>L115/L103</f>
        <v>5.1750380517503802E-2</v>
      </c>
      <c r="M116" s="492">
        <v>0.35</v>
      </c>
      <c r="N116" s="492">
        <v>0.3</v>
      </c>
      <c r="O116" s="492">
        <v>0.25</v>
      </c>
      <c r="P116" s="492">
        <v>0.15</v>
      </c>
      <c r="Q116" s="492">
        <v>0.15</v>
      </c>
      <c r="R116" s="492">
        <v>0.15</v>
      </c>
      <c r="S116" s="492">
        <v>0.15</v>
      </c>
      <c r="T116" s="492">
        <v>0.15</v>
      </c>
      <c r="U116" s="492">
        <v>0.15</v>
      </c>
      <c r="V116" s="492">
        <v>0.15</v>
      </c>
      <c r="W116" s="492">
        <v>0.15</v>
      </c>
      <c r="X116" s="492">
        <v>0.15</v>
      </c>
      <c r="Y116" s="492">
        <v>0.15</v>
      </c>
      <c r="Z116" s="492">
        <f>Y116</f>
        <v>0.15</v>
      </c>
      <c r="AA116" s="492">
        <f>Z116</f>
        <v>0.15</v>
      </c>
      <c r="AB116" s="493">
        <f>AA116</f>
        <v>0.15</v>
      </c>
    </row>
    <row r="117" spans="2:38" hidden="1" outlineLevel="1">
      <c r="B117" s="499"/>
      <c r="C117" s="500"/>
      <c r="D117" s="500"/>
      <c r="E117" s="488"/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488"/>
      <c r="R117" s="488"/>
      <c r="S117" s="488"/>
      <c r="T117" s="488"/>
      <c r="U117" s="488"/>
      <c r="V117" s="488"/>
      <c r="W117" s="488"/>
      <c r="X117" s="488"/>
      <c r="Y117" s="488"/>
      <c r="Z117" s="488"/>
      <c r="AA117" s="488"/>
      <c r="AB117" s="496"/>
    </row>
    <row r="118" spans="2:38" hidden="1" outlineLevel="1">
      <c r="B118" s="487" t="s">
        <v>419</v>
      </c>
      <c r="C118" s="500"/>
      <c r="D118" s="500"/>
      <c r="E118" s="488"/>
      <c r="F118" s="488"/>
      <c r="G118" s="488"/>
      <c r="H118" s="488"/>
      <c r="I118" s="488"/>
      <c r="J118" s="488"/>
      <c r="K118" s="488"/>
      <c r="L118" s="489">
        <v>2760</v>
      </c>
      <c r="M118" s="488"/>
      <c r="N118" s="489">
        <f>N119/40</f>
        <v>3510</v>
      </c>
      <c r="O118" s="688">
        <f>5405.406+810.81</f>
        <v>6216.2160000000003</v>
      </c>
      <c r="P118" s="488"/>
      <c r="Q118" s="688"/>
      <c r="R118" s="688"/>
      <c r="S118" s="488"/>
      <c r="T118" s="488"/>
      <c r="U118" s="488"/>
      <c r="V118" s="488"/>
      <c r="W118" s="488"/>
      <c r="X118" s="488"/>
      <c r="Y118" s="488"/>
      <c r="Z118" s="488"/>
      <c r="AA118" s="488"/>
      <c r="AB118" s="496"/>
    </row>
    <row r="119" spans="2:38" hidden="1" outlineLevel="1">
      <c r="B119" s="502" t="s">
        <v>420</v>
      </c>
      <c r="C119" s="500"/>
      <c r="D119" s="500"/>
      <c r="E119" s="488"/>
      <c r="F119" s="488"/>
      <c r="G119" s="488"/>
      <c r="H119" s="488"/>
      <c r="I119" s="488"/>
      <c r="J119" s="488"/>
      <c r="K119" s="488"/>
      <c r="L119" s="127">
        <v>129174</v>
      </c>
      <c r="M119" s="488"/>
      <c r="N119" s="687">
        <v>140400</v>
      </c>
      <c r="O119" s="687">
        <f>187600+28200</f>
        <v>215800</v>
      </c>
      <c r="P119" s="488"/>
      <c r="Q119" s="127"/>
      <c r="R119" s="127"/>
      <c r="S119" s="488"/>
      <c r="T119" s="488"/>
      <c r="U119" s="488"/>
      <c r="V119" s="488"/>
      <c r="W119" s="488"/>
      <c r="X119" s="488"/>
      <c r="Y119" s="488"/>
      <c r="Z119" s="488"/>
      <c r="AA119" s="488"/>
      <c r="AB119" s="496"/>
    </row>
    <row r="120" spans="2:38" hidden="1" outlineLevel="1">
      <c r="B120" s="502" t="s">
        <v>421</v>
      </c>
      <c r="C120" s="500"/>
      <c r="D120" s="500"/>
      <c r="E120" s="488"/>
      <c r="F120" s="488"/>
      <c r="G120" s="488"/>
      <c r="H120" s="488"/>
      <c r="I120" s="488"/>
      <c r="J120" s="488"/>
      <c r="K120" s="488"/>
      <c r="L120" s="127">
        <f>L113</f>
        <v>3211.04</v>
      </c>
      <c r="M120" s="127">
        <f t="shared" ref="M120:AB120" si="79">M113</f>
        <v>7241.7599999999993</v>
      </c>
      <c r="N120" s="127">
        <f t="shared" si="79"/>
        <v>9410.6671199999982</v>
      </c>
      <c r="O120" s="127">
        <f t="shared" si="79"/>
        <v>11688.048563039996</v>
      </c>
      <c r="P120" s="127">
        <f t="shared" si="79"/>
        <v>8652.8084518255455</v>
      </c>
      <c r="Q120" s="127">
        <f t="shared" si="79"/>
        <v>9900.9760710013798</v>
      </c>
      <c r="R120" s="127">
        <f t="shared" si="79"/>
        <v>11215.330644426811</v>
      </c>
      <c r="S120" s="127">
        <f t="shared" si="79"/>
        <v>12704.165787474465</v>
      </c>
      <c r="T120" s="127">
        <f t="shared" si="79"/>
        <v>14390.6437957617</v>
      </c>
      <c r="U120" s="127">
        <f t="shared" si="79"/>
        <v>16301.001759649065</v>
      </c>
      <c r="V120" s="127">
        <f t="shared" si="79"/>
        <v>18464.959743242478</v>
      </c>
      <c r="W120" s="127">
        <f t="shared" si="79"/>
        <v>20916.183149157914</v>
      </c>
      <c r="X120" s="127">
        <f t="shared" si="79"/>
        <v>23692.806462208628</v>
      </c>
      <c r="Y120" s="127">
        <f t="shared" si="79"/>
        <v>26838.026520066822</v>
      </c>
      <c r="Z120" s="127">
        <f t="shared" si="79"/>
        <v>30400.774540605693</v>
      </c>
      <c r="AA120" s="127">
        <f t="shared" si="79"/>
        <v>34436.477360871097</v>
      </c>
      <c r="AB120" s="106">
        <f t="shared" si="79"/>
        <v>39007.919730526744</v>
      </c>
    </row>
    <row r="121" spans="2:38" hidden="1" outlineLevel="1">
      <c r="B121" s="502" t="s">
        <v>422</v>
      </c>
      <c r="C121" s="500"/>
      <c r="D121" s="500"/>
      <c r="E121" s="488"/>
      <c r="F121" s="488"/>
      <c r="G121" s="488"/>
      <c r="H121" s="488"/>
      <c r="I121" s="488"/>
      <c r="J121" s="488"/>
      <c r="K121" s="488"/>
      <c r="L121" s="488"/>
      <c r="M121" s="488"/>
      <c r="N121" s="488"/>
      <c r="O121" s="488"/>
      <c r="P121" s="488"/>
      <c r="Q121" s="488"/>
      <c r="R121" s="488"/>
      <c r="S121" s="488"/>
      <c r="T121" s="488"/>
      <c r="U121" s="488"/>
      <c r="V121" s="488"/>
      <c r="W121" s="488"/>
      <c r="X121" s="488"/>
      <c r="Y121" s="488"/>
      <c r="Z121" s="488"/>
      <c r="AA121" s="488"/>
      <c r="AB121" s="496"/>
    </row>
    <row r="122" spans="2:38" hidden="1" outlineLevel="1">
      <c r="B122" s="502" t="s">
        <v>423</v>
      </c>
      <c r="C122" s="500"/>
      <c r="D122" s="500"/>
      <c r="E122" s="488"/>
      <c r="F122" s="488"/>
      <c r="G122" s="488"/>
      <c r="H122" s="488"/>
      <c r="I122" s="488"/>
      <c r="J122" s="488"/>
      <c r="K122" s="488"/>
      <c r="L122" s="488"/>
      <c r="M122" s="488"/>
      <c r="N122" s="488"/>
      <c r="O122" s="488"/>
      <c r="P122" s="488"/>
      <c r="Q122" s="488"/>
      <c r="R122" s="488"/>
      <c r="S122" s="488"/>
      <c r="T122" s="488"/>
      <c r="U122" s="488"/>
      <c r="V122" s="488"/>
      <c r="W122" s="488"/>
      <c r="X122" s="488"/>
      <c r="Y122" s="488"/>
      <c r="Z122" s="488"/>
      <c r="AA122" s="488"/>
      <c r="AB122" s="496"/>
    </row>
    <row r="123" spans="2:38" hidden="1" outlineLevel="1">
      <c r="B123" s="502" t="s">
        <v>424</v>
      </c>
      <c r="C123" s="500"/>
      <c r="D123" s="500"/>
      <c r="E123" s="488"/>
      <c r="F123" s="488"/>
      <c r="G123" s="488"/>
      <c r="H123" s="488"/>
      <c r="I123" s="488"/>
      <c r="J123" s="488"/>
      <c r="K123" s="488"/>
      <c r="L123" s="488"/>
      <c r="M123" s="488"/>
      <c r="N123" s="488"/>
      <c r="O123" s="488"/>
      <c r="P123" s="488"/>
      <c r="Q123" s="488"/>
      <c r="R123" s="488"/>
      <c r="S123" s="488"/>
      <c r="T123" s="488"/>
      <c r="U123" s="488"/>
      <c r="V123" s="488"/>
      <c r="W123" s="488"/>
      <c r="X123" s="488"/>
      <c r="Y123" s="488"/>
      <c r="Z123" s="488"/>
      <c r="AA123" s="488"/>
      <c r="AB123" s="496"/>
    </row>
    <row r="124" spans="2:38" hidden="1" outlineLevel="1">
      <c r="B124" s="502" t="s">
        <v>425</v>
      </c>
      <c r="C124" s="500"/>
      <c r="D124" s="500"/>
      <c r="E124" s="488"/>
      <c r="F124" s="488"/>
      <c r="G124" s="488"/>
      <c r="H124" s="488"/>
      <c r="I124" s="488"/>
      <c r="J124" s="488"/>
      <c r="K124" s="488"/>
      <c r="L124" s="127">
        <f>'XLRN - CFS'!M9</f>
        <v>4778</v>
      </c>
      <c r="M124" s="127">
        <f>'XLRN - CFS'!N9</f>
        <v>12075</v>
      </c>
      <c r="N124" s="127">
        <f>'XLRN - CFS'!O9</f>
        <v>18557</v>
      </c>
      <c r="O124" s="127">
        <f>'XLRN - CFS'!P9</f>
        <v>20781.650000000001</v>
      </c>
      <c r="P124" s="127">
        <f>'XLRN - CFS'!Q9</f>
        <v>21025</v>
      </c>
      <c r="Q124" s="127">
        <f>'XLRN - CFS'!R9</f>
        <v>32200.000000000007</v>
      </c>
      <c r="R124" s="127">
        <f>'XLRN - CFS'!S9</f>
        <v>29150</v>
      </c>
      <c r="S124" s="127">
        <f>'XLRN - CFS'!T9</f>
        <v>34045</v>
      </c>
      <c r="T124" s="127">
        <f>'XLRN - CFS'!U9</f>
        <v>40216</v>
      </c>
      <c r="U124" s="127">
        <f>'XLRN - CFS'!V9</f>
        <v>48036.175000000003</v>
      </c>
      <c r="V124" s="127">
        <f>'XLRN - CFS'!W9</f>
        <v>57990.171249999999</v>
      </c>
      <c r="W124" s="127">
        <f>'XLRN - CFS'!X9</f>
        <v>66780.386062500009</v>
      </c>
      <c r="X124" s="127">
        <f>'XLRN - CFS'!Y9</f>
        <v>72475.687865625005</v>
      </c>
      <c r="Y124" s="127">
        <f>'XLRN - CFS'!Z9</f>
        <v>78691.383008906269</v>
      </c>
      <c r="Z124" s="127">
        <f>'XLRN - CFS'!AA9</f>
        <v>85477.053984351573</v>
      </c>
      <c r="AA124" s="127">
        <f>'XLRN - CFS'!AB9</f>
        <v>92887.118691069176</v>
      </c>
      <c r="AB124" s="106">
        <f>'XLRN - CFS'!AC9</f>
        <v>100981.30783387265</v>
      </c>
    </row>
    <row r="125" spans="2:38" hidden="1" outlineLevel="1">
      <c r="B125" s="502" t="s">
        <v>381</v>
      </c>
      <c r="C125" s="500"/>
      <c r="D125" s="500"/>
      <c r="E125" s="488"/>
      <c r="F125" s="488"/>
      <c r="G125" s="488"/>
      <c r="H125" s="488"/>
      <c r="I125" s="488"/>
      <c r="J125" s="488"/>
      <c r="K125" s="488"/>
      <c r="L125" s="488"/>
      <c r="M125" s="488"/>
      <c r="N125" s="488"/>
      <c r="O125" s="488"/>
      <c r="P125" s="488"/>
      <c r="Q125" s="488"/>
      <c r="R125" s="488"/>
      <c r="S125" s="488"/>
      <c r="T125" s="488"/>
      <c r="U125" s="488"/>
      <c r="V125" s="488"/>
      <c r="W125" s="488"/>
      <c r="X125" s="488"/>
      <c r="Y125" s="488"/>
      <c r="Z125" s="488"/>
      <c r="AA125" s="488"/>
      <c r="AB125" s="496"/>
    </row>
    <row r="126" spans="2:38" hidden="1" outlineLevel="1">
      <c r="B126" s="503" t="s">
        <v>426</v>
      </c>
      <c r="C126" s="500"/>
      <c r="D126" s="500"/>
      <c r="E126" s="488"/>
      <c r="F126" s="488"/>
      <c r="G126" s="488"/>
      <c r="H126" s="488"/>
      <c r="I126" s="488"/>
      <c r="J126" s="488"/>
      <c r="K126" s="488"/>
      <c r="L126" s="489">
        <f>L119+L120-L123+L124+L114+L121+L125</f>
        <v>137163.04</v>
      </c>
      <c r="M126" s="489">
        <f t="shared" ref="M126:AB126" si="80">M119+M120-M123+M124+M114+M121+M125</f>
        <v>19316.759999999998</v>
      </c>
      <c r="N126" s="489">
        <f t="shared" si="80"/>
        <v>168367.66712</v>
      </c>
      <c r="O126" s="489">
        <f t="shared" si="80"/>
        <v>248269.69856304</v>
      </c>
      <c r="P126" s="489">
        <f t="shared" si="80"/>
        <v>29677.808451825545</v>
      </c>
      <c r="Q126" s="489">
        <f t="shared" si="80"/>
        <v>42100.976071001387</v>
      </c>
      <c r="R126" s="489">
        <f t="shared" si="80"/>
        <v>40365.330644426809</v>
      </c>
      <c r="S126" s="489">
        <f t="shared" si="80"/>
        <v>46749.165787474463</v>
      </c>
      <c r="T126" s="489">
        <f t="shared" si="80"/>
        <v>54606.643795761702</v>
      </c>
      <c r="U126" s="489">
        <f t="shared" si="80"/>
        <v>64337.176759649068</v>
      </c>
      <c r="V126" s="489">
        <f t="shared" si="80"/>
        <v>76455.130993242477</v>
      </c>
      <c r="W126" s="489">
        <f t="shared" si="80"/>
        <v>87696.569211657916</v>
      </c>
      <c r="X126" s="489">
        <f t="shared" si="80"/>
        <v>96168.494327833629</v>
      </c>
      <c r="Y126" s="489">
        <f t="shared" si="80"/>
        <v>105529.40952897309</v>
      </c>
      <c r="Z126" s="489">
        <f t="shared" si="80"/>
        <v>115877.82852495727</v>
      </c>
      <c r="AA126" s="489">
        <f t="shared" si="80"/>
        <v>127323.59605194027</v>
      </c>
      <c r="AB126" s="490">
        <f t="shared" si="80"/>
        <v>139989.22756439939</v>
      </c>
    </row>
    <row r="127" spans="2:38" hidden="1" outlineLevel="1">
      <c r="B127" s="499"/>
      <c r="C127" s="500"/>
      <c r="D127" s="500"/>
      <c r="E127" s="488"/>
      <c r="F127" s="488"/>
      <c r="G127" s="488"/>
      <c r="H127" s="488"/>
      <c r="I127" s="488"/>
      <c r="J127" s="488"/>
      <c r="K127" s="488"/>
      <c r="L127" s="488"/>
      <c r="M127" s="488"/>
      <c r="N127" s="488"/>
      <c r="O127" s="488"/>
      <c r="P127" s="488"/>
      <c r="Q127" s="488"/>
      <c r="R127" s="488"/>
      <c r="S127" s="488"/>
      <c r="T127" s="488"/>
      <c r="U127" s="488"/>
      <c r="V127" s="488"/>
      <c r="W127" s="488"/>
      <c r="X127" s="488"/>
      <c r="Y127" s="488"/>
      <c r="Z127" s="488"/>
      <c r="AA127" s="488"/>
      <c r="AB127" s="496"/>
    </row>
    <row r="128" spans="2:38" hidden="1" outlineLevel="1">
      <c r="B128" s="499" t="s">
        <v>428</v>
      </c>
      <c r="C128" s="500"/>
      <c r="D128" s="500"/>
      <c r="E128" s="488"/>
      <c r="F128" s="488"/>
      <c r="G128" s="489"/>
      <c r="H128" s="489"/>
      <c r="I128" s="489"/>
      <c r="J128" s="489"/>
      <c r="K128" s="489"/>
      <c r="L128" s="489">
        <f>G129</f>
        <v>28348.63</v>
      </c>
      <c r="M128" s="489">
        <f>L129</f>
        <v>32432.025000000001</v>
      </c>
      <c r="N128" s="489">
        <f t="shared" ref="N128:AB128" si="81">M129</f>
        <v>33074.025000000001</v>
      </c>
      <c r="O128" s="489">
        <f t="shared" si="81"/>
        <v>38251</v>
      </c>
      <c r="P128" s="489">
        <f t="shared" si="81"/>
        <v>45250.712800000001</v>
      </c>
      <c r="Q128" s="489">
        <f t="shared" si="81"/>
        <v>45755.088864999998</v>
      </c>
      <c r="R128" s="489">
        <f t="shared" si="81"/>
        <v>46256.943049674999</v>
      </c>
      <c r="S128" s="489">
        <f t="shared" si="81"/>
        <v>46751.269421579877</v>
      </c>
      <c r="T128" s="489">
        <f t="shared" si="81"/>
        <v>47238.180897906175</v>
      </c>
      <c r="U128" s="489">
        <f t="shared" si="81"/>
        <v>47717.788702087579</v>
      </c>
      <c r="V128" s="489">
        <f t="shared" si="81"/>
        <v>48190.202389206264</v>
      </c>
      <c r="W128" s="489">
        <f t="shared" si="81"/>
        <v>48655.529871018167</v>
      </c>
      <c r="X128" s="489">
        <f t="shared" si="81"/>
        <v>49113.877440602897</v>
      </c>
      <c r="Y128" s="489">
        <f t="shared" si="81"/>
        <v>49565.349796643852</v>
      </c>
      <c r="Z128" s="489">
        <f t="shared" si="81"/>
        <v>50010.050067344193</v>
      </c>
      <c r="AA128" s="489">
        <f t="shared" si="81"/>
        <v>50448.079833984033</v>
      </c>
      <c r="AB128" s="490">
        <f t="shared" si="81"/>
        <v>50879.539154124272</v>
      </c>
    </row>
    <row r="129" spans="2:28" hidden="1" outlineLevel="1">
      <c r="B129" s="499" t="s">
        <v>429</v>
      </c>
      <c r="C129" s="500"/>
      <c r="D129" s="500"/>
      <c r="E129" s="488"/>
      <c r="F129" s="488"/>
      <c r="G129" s="489">
        <v>28348.63</v>
      </c>
      <c r="H129" s="489"/>
      <c r="I129" s="489"/>
      <c r="J129" s="489"/>
      <c r="K129" s="489"/>
      <c r="L129" s="489">
        <v>32432.025000000001</v>
      </c>
      <c r="M129" s="489">
        <f t="shared" ref="M129:AB129" si="82">M128+M109+M118-M122</f>
        <v>33074.025000000001</v>
      </c>
      <c r="N129" s="489">
        <v>38251</v>
      </c>
      <c r="O129" s="489">
        <f t="shared" si="82"/>
        <v>45250.712800000001</v>
      </c>
      <c r="P129" s="489">
        <f t="shared" si="82"/>
        <v>45755.088864999998</v>
      </c>
      <c r="Q129" s="489">
        <f t="shared" si="82"/>
        <v>46256.943049674999</v>
      </c>
      <c r="R129" s="489">
        <f t="shared" si="82"/>
        <v>46751.269421579877</v>
      </c>
      <c r="S129" s="489">
        <f t="shared" si="82"/>
        <v>47238.180897906175</v>
      </c>
      <c r="T129" s="489">
        <f t="shared" si="82"/>
        <v>47717.788702087579</v>
      </c>
      <c r="U129" s="489">
        <f t="shared" si="82"/>
        <v>48190.202389206264</v>
      </c>
      <c r="V129" s="489">
        <f t="shared" si="82"/>
        <v>48655.529871018167</v>
      </c>
      <c r="W129" s="489">
        <f t="shared" si="82"/>
        <v>49113.877440602897</v>
      </c>
      <c r="X129" s="489">
        <f t="shared" si="82"/>
        <v>49565.349796643852</v>
      </c>
      <c r="Y129" s="489">
        <f t="shared" si="82"/>
        <v>50010.050067344193</v>
      </c>
      <c r="Z129" s="489">
        <f t="shared" si="82"/>
        <v>50448.079833984033</v>
      </c>
      <c r="AA129" s="489">
        <f t="shared" si="82"/>
        <v>50879.539154124272</v>
      </c>
      <c r="AB129" s="490">
        <f t="shared" si="82"/>
        <v>51304.526584462408</v>
      </c>
    </row>
    <row r="130" spans="2:28" hidden="1" outlineLevel="1">
      <c r="B130" s="499" t="s">
        <v>430</v>
      </c>
      <c r="C130" s="500"/>
      <c r="D130" s="500"/>
      <c r="E130" s="488"/>
      <c r="F130" s="488"/>
      <c r="G130" s="488"/>
      <c r="H130" s="488"/>
      <c r="I130" s="488"/>
      <c r="J130" s="488"/>
      <c r="K130" s="488"/>
      <c r="L130" s="489">
        <f>'XLRN - IS'!Q51</f>
        <v>31515</v>
      </c>
      <c r="M130" s="489">
        <f t="shared" ref="M130:AB130" si="83">AVERAGE(M128:M129)</f>
        <v>32753.025000000001</v>
      </c>
      <c r="N130" s="489">
        <f t="shared" si="83"/>
        <v>35662.512499999997</v>
      </c>
      <c r="O130" s="489">
        <f t="shared" si="83"/>
        <v>41750.856400000004</v>
      </c>
      <c r="P130" s="489">
        <f t="shared" si="83"/>
        <v>45502.900832500003</v>
      </c>
      <c r="Q130" s="489">
        <f t="shared" si="83"/>
        <v>46006.015957337499</v>
      </c>
      <c r="R130" s="489">
        <f t="shared" si="83"/>
        <v>46504.106235627434</v>
      </c>
      <c r="S130" s="489">
        <f t="shared" si="83"/>
        <v>46994.72515974303</v>
      </c>
      <c r="T130" s="489">
        <f t="shared" si="83"/>
        <v>47477.984799996877</v>
      </c>
      <c r="U130" s="489">
        <f t="shared" si="83"/>
        <v>47953.995545646918</v>
      </c>
      <c r="V130" s="489">
        <f t="shared" si="83"/>
        <v>48422.866130112219</v>
      </c>
      <c r="W130" s="489">
        <f t="shared" si="83"/>
        <v>48884.703655810532</v>
      </c>
      <c r="X130" s="489">
        <f t="shared" si="83"/>
        <v>49339.613618623378</v>
      </c>
      <c r="Y130" s="489">
        <f t="shared" si="83"/>
        <v>49787.699931994022</v>
      </c>
      <c r="Z130" s="489">
        <f t="shared" si="83"/>
        <v>50229.064950664113</v>
      </c>
      <c r="AA130" s="489">
        <f t="shared" si="83"/>
        <v>50663.809494054149</v>
      </c>
      <c r="AB130" s="490">
        <f t="shared" si="83"/>
        <v>51092.03286929334</v>
      </c>
    </row>
    <row r="131" spans="2:28" hidden="1" outlineLevel="1">
      <c r="B131" s="504" t="s">
        <v>431</v>
      </c>
      <c r="C131" s="505"/>
      <c r="D131" s="505"/>
      <c r="E131" s="506"/>
      <c r="F131" s="506"/>
      <c r="G131" s="506"/>
      <c r="H131" s="506"/>
      <c r="I131" s="506"/>
      <c r="J131" s="506"/>
      <c r="K131" s="506"/>
      <c r="L131" s="506"/>
      <c r="M131" s="507">
        <f t="shared" ref="M131:AB131" si="84">M130+(M104-M107-M109)</f>
        <v>33972.825000000004</v>
      </c>
      <c r="N131" s="507">
        <f t="shared" si="84"/>
        <v>37040.886500000001</v>
      </c>
      <c r="O131" s="507">
        <f t="shared" si="84"/>
        <v>43239.500320000006</v>
      </c>
      <c r="P131" s="507">
        <f t="shared" si="84"/>
        <v>47298.479623899999</v>
      </c>
      <c r="Q131" s="507">
        <f t="shared" si="84"/>
        <v>47752.4685200065</v>
      </c>
      <c r="R131" s="507">
        <f t="shared" si="84"/>
        <v>48224.362009856399</v>
      </c>
      <c r="S131" s="507">
        <f t="shared" si="84"/>
        <v>48689.177097358559</v>
      </c>
      <c r="T131" s="507">
        <f t="shared" si="84"/>
        <v>49147.019958548175</v>
      </c>
      <c r="U131" s="507">
        <f t="shared" si="84"/>
        <v>49597.995176819946</v>
      </c>
      <c r="V131" s="507">
        <f t="shared" si="84"/>
        <v>50042.205766817649</v>
      </c>
      <c r="W131" s="507">
        <f t="shared" si="84"/>
        <v>50479.75319796538</v>
      </c>
      <c r="X131" s="507">
        <f t="shared" si="84"/>
        <v>50910.737417645905</v>
      </c>
      <c r="Y131" s="507">
        <f t="shared" si="84"/>
        <v>51335.256874031213</v>
      </c>
      <c r="Z131" s="507">
        <f t="shared" si="84"/>
        <v>51753.408538570744</v>
      </c>
      <c r="AA131" s="507">
        <f t="shared" si="84"/>
        <v>52165.287928142177</v>
      </c>
      <c r="AB131" s="508">
        <f t="shared" si="84"/>
        <v>52570.989126870052</v>
      </c>
    </row>
    <row r="132" spans="2:28" hidden="1" outlineLevel="1">
      <c r="B132" s="371"/>
      <c r="C132" s="238"/>
      <c r="D132" s="238"/>
      <c r="E132" s="440"/>
      <c r="F132" s="440"/>
      <c r="G132" s="440"/>
      <c r="H132" s="440"/>
      <c r="I132" s="440"/>
      <c r="J132" s="440"/>
      <c r="K132" s="440"/>
      <c r="L132" s="440"/>
      <c r="M132" s="440"/>
      <c r="N132" s="440"/>
      <c r="O132" s="440"/>
      <c r="P132" s="440"/>
      <c r="Q132" s="440"/>
      <c r="R132" s="440"/>
      <c r="S132" s="440"/>
      <c r="T132" s="440"/>
      <c r="U132" s="440"/>
      <c r="V132" s="440"/>
      <c r="W132" s="440"/>
      <c r="X132" s="440"/>
      <c r="Y132" s="440"/>
      <c r="Z132" s="440"/>
      <c r="AA132" s="440"/>
      <c r="AB132" s="440"/>
    </row>
    <row r="133" spans="2:28" collapsed="1">
      <c r="B133" s="371"/>
      <c r="C133" s="238"/>
      <c r="D133" s="238"/>
      <c r="E133" s="440"/>
      <c r="F133" s="440"/>
      <c r="G133" s="440"/>
      <c r="H133" s="440"/>
      <c r="I133" s="440"/>
      <c r="J133" s="440"/>
      <c r="K133" s="440"/>
      <c r="L133" s="440"/>
      <c r="M133" s="440"/>
      <c r="N133" s="440"/>
      <c r="O133" s="440"/>
      <c r="P133" s="440"/>
      <c r="Q133" s="440"/>
      <c r="R133" s="440"/>
      <c r="S133" s="440"/>
      <c r="T133" s="440"/>
      <c r="U133" s="440"/>
      <c r="V133" s="440"/>
      <c r="W133" s="440"/>
      <c r="X133" s="440"/>
      <c r="Y133" s="440"/>
      <c r="Z133" s="440"/>
      <c r="AA133" s="440"/>
      <c r="AB133" s="440"/>
    </row>
    <row r="134" spans="2:28">
      <c r="B134" s="371"/>
      <c r="C134" s="238"/>
      <c r="D134" s="238"/>
      <c r="E134" s="440"/>
      <c r="F134" s="440"/>
      <c r="G134" s="440"/>
      <c r="H134" s="440"/>
      <c r="I134" s="440"/>
      <c r="J134" s="440"/>
      <c r="K134" s="440"/>
      <c r="L134" s="440"/>
      <c r="M134" s="440"/>
      <c r="N134" s="440"/>
      <c r="O134" s="440"/>
      <c r="P134" s="440"/>
      <c r="Q134" s="440"/>
      <c r="R134" s="440"/>
      <c r="S134" s="440"/>
      <c r="T134" s="440"/>
      <c r="U134" s="440"/>
      <c r="V134" s="440"/>
      <c r="W134" s="440"/>
      <c r="X134" s="440"/>
      <c r="Y134" s="440"/>
      <c r="Z134" s="440"/>
      <c r="AA134" s="440"/>
      <c r="AB134" s="440"/>
    </row>
    <row r="135" spans="2:28">
      <c r="B135" s="371"/>
      <c r="C135" s="238"/>
      <c r="D135" s="238"/>
      <c r="E135" s="440"/>
      <c r="F135" s="440"/>
      <c r="G135" s="440"/>
      <c r="H135" s="440"/>
      <c r="I135" s="440"/>
      <c r="J135" s="440"/>
      <c r="K135" s="440"/>
      <c r="L135" s="440"/>
      <c r="M135" s="440"/>
      <c r="N135" s="440"/>
      <c r="O135" s="440"/>
      <c r="P135" s="440"/>
      <c r="Q135" s="440"/>
      <c r="R135" s="440"/>
      <c r="S135" s="440"/>
      <c r="T135" s="440"/>
      <c r="U135" s="440"/>
      <c r="V135" s="440"/>
      <c r="W135" s="440"/>
      <c r="X135" s="440"/>
      <c r="Y135" s="440"/>
      <c r="Z135" s="440"/>
      <c r="AA135" s="440"/>
      <c r="AB135" s="440"/>
    </row>
    <row r="136" spans="2:28">
      <c r="B136" s="371"/>
      <c r="C136" s="238"/>
      <c r="D136" s="238"/>
      <c r="E136" s="440"/>
      <c r="F136" s="440"/>
      <c r="G136" s="440"/>
      <c r="H136" s="440"/>
      <c r="I136" s="440"/>
      <c r="J136" s="440"/>
      <c r="K136" s="440"/>
      <c r="L136" s="440"/>
      <c r="M136" s="440"/>
      <c r="N136" s="440"/>
      <c r="O136" s="440"/>
      <c r="P136" s="440"/>
      <c r="Q136" s="440"/>
      <c r="R136" s="440"/>
      <c r="S136" s="440"/>
      <c r="T136" s="440"/>
      <c r="U136" s="440"/>
      <c r="V136" s="440"/>
      <c r="W136" s="440"/>
      <c r="X136" s="440"/>
      <c r="Y136" s="440"/>
      <c r="Z136" s="440"/>
      <c r="AA136" s="440"/>
      <c r="AB136" s="440"/>
    </row>
    <row r="137" spans="2:28">
      <c r="B137" s="371"/>
      <c r="C137" s="238"/>
      <c r="D137" s="238"/>
      <c r="E137" s="440"/>
      <c r="F137" s="440"/>
      <c r="G137" s="440"/>
      <c r="H137" s="440"/>
      <c r="I137" s="440"/>
      <c r="J137" s="440"/>
      <c r="K137" s="440"/>
      <c r="L137" s="440"/>
      <c r="M137" s="440"/>
      <c r="N137" s="440"/>
      <c r="O137" s="440"/>
      <c r="P137" s="440"/>
      <c r="Q137" s="440"/>
      <c r="R137" s="440"/>
      <c r="S137" s="440"/>
      <c r="T137" s="440"/>
      <c r="U137" s="440"/>
      <c r="V137" s="440"/>
      <c r="W137" s="440"/>
      <c r="X137" s="440"/>
      <c r="Y137" s="440"/>
      <c r="Z137" s="440"/>
      <c r="AA137" s="440"/>
      <c r="AB137" s="440"/>
    </row>
    <row r="138" spans="2:28">
      <c r="B138" s="371"/>
      <c r="C138" s="238"/>
      <c r="D138" s="238"/>
      <c r="E138" s="440"/>
      <c r="F138" s="440"/>
      <c r="G138" s="440"/>
      <c r="H138" s="440"/>
      <c r="I138" s="440"/>
      <c r="J138" s="440"/>
      <c r="K138" s="440"/>
      <c r="L138" s="440"/>
      <c r="M138" s="440"/>
      <c r="N138" s="440"/>
      <c r="O138" s="440"/>
      <c r="P138" s="440"/>
      <c r="Q138" s="440"/>
      <c r="R138" s="440"/>
      <c r="S138" s="440"/>
      <c r="T138" s="440"/>
      <c r="U138" s="440"/>
      <c r="V138" s="440"/>
      <c r="W138" s="440"/>
      <c r="X138" s="440"/>
      <c r="Y138" s="440"/>
      <c r="Z138" s="440"/>
      <c r="AA138" s="440"/>
      <c r="AB138" s="440"/>
    </row>
    <row r="139" spans="2:28">
      <c r="B139" s="371"/>
      <c r="C139" s="238"/>
      <c r="D139" s="238"/>
      <c r="E139" s="440"/>
      <c r="F139" s="440"/>
      <c r="G139" s="440"/>
      <c r="H139" s="440"/>
      <c r="I139" s="440"/>
      <c r="J139" s="440"/>
      <c r="K139" s="440"/>
      <c r="L139" s="440"/>
      <c r="M139" s="440"/>
      <c r="N139" s="440"/>
      <c r="O139" s="440"/>
      <c r="P139" s="440"/>
      <c r="Q139" s="440"/>
      <c r="R139" s="440"/>
      <c r="S139" s="440"/>
      <c r="T139" s="440"/>
      <c r="U139" s="440"/>
      <c r="V139" s="440"/>
      <c r="W139" s="440"/>
      <c r="X139" s="440"/>
      <c r="Y139" s="440"/>
      <c r="Z139" s="440"/>
      <c r="AA139" s="440"/>
      <c r="AB139" s="440"/>
    </row>
    <row r="140" spans="2:28">
      <c r="B140" s="371"/>
      <c r="C140" s="238"/>
      <c r="D140" s="238"/>
      <c r="E140" s="440"/>
      <c r="F140" s="440"/>
      <c r="G140" s="440"/>
      <c r="H140" s="440"/>
      <c r="I140" s="440"/>
      <c r="J140" s="440"/>
      <c r="K140" s="440"/>
      <c r="L140" s="440"/>
      <c r="M140" s="440"/>
      <c r="N140" s="440"/>
      <c r="O140" s="440"/>
      <c r="P140" s="440"/>
      <c r="Q140" s="440"/>
      <c r="R140" s="440"/>
      <c r="S140" s="440"/>
      <c r="T140" s="440"/>
      <c r="U140" s="440"/>
      <c r="V140" s="440"/>
      <c r="W140" s="440"/>
      <c r="X140" s="440"/>
      <c r="Y140" s="440"/>
      <c r="Z140" s="440"/>
      <c r="AA140" s="440"/>
      <c r="AB140" s="440"/>
    </row>
    <row r="141" spans="2:28">
      <c r="B141" s="371"/>
      <c r="C141" s="238"/>
      <c r="D141" s="238"/>
      <c r="E141" s="440"/>
      <c r="F141" s="440"/>
      <c r="G141" s="440"/>
      <c r="H141" s="440"/>
      <c r="I141" s="440"/>
      <c r="J141" s="440"/>
      <c r="K141" s="440"/>
      <c r="L141" s="440"/>
      <c r="M141" s="440"/>
      <c r="N141" s="440"/>
      <c r="O141" s="440"/>
      <c r="P141" s="440"/>
      <c r="Q141" s="440"/>
      <c r="R141" s="440"/>
      <c r="S141" s="440"/>
      <c r="T141" s="440"/>
      <c r="U141" s="440"/>
      <c r="V141" s="440"/>
      <c r="W141" s="440"/>
      <c r="X141" s="440"/>
      <c r="Y141" s="440"/>
      <c r="Z141" s="440"/>
      <c r="AA141" s="440"/>
      <c r="AB141" s="440"/>
    </row>
    <row r="142" spans="2:28">
      <c r="B142" s="371"/>
      <c r="C142" s="238"/>
      <c r="D142" s="238"/>
      <c r="E142" s="440"/>
      <c r="F142" s="440"/>
      <c r="G142" s="440"/>
      <c r="H142" s="440"/>
      <c r="I142" s="440"/>
      <c r="J142" s="440"/>
      <c r="K142" s="440"/>
      <c r="L142" s="440"/>
      <c r="M142" s="440"/>
      <c r="N142" s="440"/>
      <c r="O142" s="440"/>
      <c r="P142" s="440"/>
      <c r="Q142" s="440"/>
      <c r="R142" s="440"/>
      <c r="S142" s="440"/>
      <c r="T142" s="440"/>
      <c r="U142" s="440"/>
      <c r="V142" s="440"/>
      <c r="W142" s="440"/>
      <c r="X142" s="440"/>
      <c r="Y142" s="440"/>
      <c r="Z142" s="440"/>
      <c r="AA142" s="440"/>
      <c r="AB142" s="440"/>
    </row>
    <row r="143" spans="2:28">
      <c r="C143" s="238"/>
      <c r="D143" s="238"/>
      <c r="E143" s="440"/>
      <c r="F143" s="440"/>
      <c r="G143" s="440"/>
      <c r="H143" s="440"/>
      <c r="I143" s="440"/>
      <c r="J143" s="440"/>
      <c r="K143" s="440"/>
      <c r="L143" s="440"/>
      <c r="M143" s="440"/>
      <c r="N143" s="440"/>
      <c r="O143" s="440"/>
      <c r="P143" s="440"/>
      <c r="Q143" s="440"/>
      <c r="R143" s="440"/>
      <c r="S143" s="440"/>
      <c r="T143" s="440"/>
      <c r="U143" s="440"/>
      <c r="V143" s="440"/>
      <c r="W143" s="440"/>
      <c r="X143" s="440"/>
      <c r="Y143" s="440"/>
      <c r="Z143" s="440"/>
      <c r="AA143" s="440"/>
      <c r="AB143" s="440"/>
    </row>
    <row r="144" spans="2:28">
      <c r="C144" s="238"/>
      <c r="D144" s="238"/>
      <c r="E144" s="238"/>
      <c r="F144" s="238"/>
      <c r="G144" s="238"/>
      <c r="H144" s="238"/>
      <c r="I144" s="238"/>
      <c r="J144" s="238"/>
      <c r="K144" s="238"/>
      <c r="L144" s="238"/>
      <c r="M144" s="238"/>
      <c r="N144" s="238"/>
      <c r="O144" s="238"/>
      <c r="P144" s="238"/>
      <c r="Q144" s="238"/>
      <c r="R144" s="238"/>
      <c r="S144" s="238"/>
      <c r="T144" s="238"/>
      <c r="U144" s="238"/>
      <c r="V144" s="238"/>
      <c r="W144" s="238"/>
      <c r="X144" s="238"/>
      <c r="Y144" s="238"/>
      <c r="Z144" s="238"/>
      <c r="AA144" s="238"/>
      <c r="AB144" s="238"/>
    </row>
    <row r="145" spans="3:28" customFormat="1" hidden="1" outlineLevel="1"/>
    <row r="146" spans="3:28" collapsed="1">
      <c r="C146" s="238"/>
      <c r="D146" s="238"/>
      <c r="E146" s="238"/>
      <c r="F146" s="238"/>
      <c r="G146" s="238"/>
      <c r="H146" s="238"/>
      <c r="I146" s="238"/>
      <c r="J146" s="238"/>
      <c r="K146" s="238"/>
      <c r="L146" s="238"/>
      <c r="M146" s="238"/>
      <c r="N146" s="238"/>
      <c r="O146" s="238"/>
      <c r="P146" s="238"/>
      <c r="Q146" s="238"/>
      <c r="R146" s="238"/>
      <c r="S146" s="238"/>
      <c r="T146" s="238"/>
      <c r="U146" s="238"/>
      <c r="V146" s="238"/>
      <c r="W146" s="238"/>
      <c r="X146" s="238"/>
      <c r="Y146" s="238"/>
      <c r="Z146" s="238"/>
      <c r="AA146" s="238"/>
      <c r="AB146" s="238"/>
    </row>
    <row r="147" spans="3:28">
      <c r="C147" s="238"/>
      <c r="D147" s="238"/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38"/>
      <c r="U147" s="238"/>
      <c r="V147" s="238"/>
      <c r="W147" s="238"/>
      <c r="X147" s="238"/>
      <c r="Y147" s="238"/>
      <c r="Z147" s="238"/>
      <c r="AA147" s="238"/>
      <c r="AB147" s="238"/>
    </row>
  </sheetData>
  <mergeCells count="1">
    <mergeCell ref="H17:K17"/>
  </mergeCells>
  <pageMargins left="0" right="0" top="0" bottom="0" header="0" footer="0"/>
  <pageSetup paperSize="5" scale="3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AT127"/>
  <sheetViews>
    <sheetView showGridLines="0" zoomScale="85" zoomScaleNormal="85" workbookViewId="0"/>
  </sheetViews>
  <sheetFormatPr defaultColWidth="8.85546875" defaultRowHeight="15" outlineLevelRow="1" outlineLevelCol="1"/>
  <cols>
    <col min="1" max="1" width="1.7109375" style="167" customWidth="1"/>
    <col min="2" max="2" width="53.42578125" style="167" customWidth="1"/>
    <col min="3" max="3" width="6" style="167" customWidth="1"/>
    <col min="4" max="6" width="10" style="167" hidden="1" customWidth="1" outlineLevel="1"/>
    <col min="7" max="7" width="10" style="167" hidden="1" customWidth="1" outlineLevel="1" collapsed="1"/>
    <col min="8" max="8" width="10" style="167" customWidth="1" collapsed="1"/>
    <col min="9" max="12" width="10" style="167" hidden="1" customWidth="1" outlineLevel="1"/>
    <col min="13" max="13" width="9" style="167" bestFit="1" customWidth="1" collapsed="1"/>
    <col min="14" max="15" width="9" style="167" bestFit="1" customWidth="1"/>
    <col min="16" max="16" width="9.7109375" style="167" bestFit="1" customWidth="1"/>
    <col min="17" max="19" width="9.42578125" style="167" bestFit="1" customWidth="1"/>
    <col min="20" max="24" width="10.5703125" style="167" bestFit="1" customWidth="1"/>
    <col min="25" max="26" width="10.85546875" style="167" bestFit="1" customWidth="1"/>
    <col min="27" max="27" width="10.28515625" style="167" bestFit="1" customWidth="1"/>
    <col min="28" max="28" width="10.5703125" style="167" bestFit="1" customWidth="1"/>
    <col min="29" max="29" width="11.28515625" style="167" bestFit="1" customWidth="1"/>
    <col min="30" max="34" width="7.28515625" style="167" customWidth="1"/>
    <col min="35" max="37" width="8.85546875" style="167" customWidth="1"/>
    <col min="38" max="38" width="25.140625" bestFit="1" customWidth="1"/>
    <col min="44" max="16384" width="8.85546875" style="167"/>
  </cols>
  <sheetData>
    <row r="1" spans="1:46" ht="9" customHeight="1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  <c r="AI1" s="214"/>
      <c r="AJ1" s="214"/>
      <c r="AK1" s="418"/>
      <c r="AR1" s="214"/>
      <c r="AS1" s="215"/>
      <c r="AT1" s="215"/>
    </row>
    <row r="2" spans="1:46" ht="16.5">
      <c r="B2" s="523" t="s">
        <v>487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  <c r="AB2" s="383"/>
      <c r="AC2" s="383"/>
      <c r="AD2" s="383"/>
      <c r="AE2" s="383"/>
      <c r="AF2" s="383"/>
      <c r="AG2" s="383"/>
      <c r="AH2" s="383"/>
      <c r="AI2" s="216"/>
      <c r="AJ2" s="216"/>
      <c r="AK2" s="216"/>
      <c r="AR2" s="216"/>
      <c r="AS2" s="217"/>
      <c r="AT2" s="217"/>
    </row>
    <row r="3" spans="1:46" customFormat="1" ht="9.9499999999999993" customHeight="1">
      <c r="A3" s="165"/>
      <c r="B3" s="14"/>
      <c r="C3" s="14"/>
      <c r="D3" s="14"/>
      <c r="E3" s="14"/>
      <c r="F3" s="14"/>
      <c r="G3" s="16"/>
      <c r="H3" s="16"/>
      <c r="I3" s="16"/>
      <c r="J3" s="16"/>
      <c r="K3" s="16"/>
      <c r="L3" s="16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265"/>
      <c r="AJ3" s="265"/>
      <c r="AK3" s="265"/>
      <c r="AR3" s="265"/>
      <c r="AS3" s="265"/>
      <c r="AT3" s="265"/>
    </row>
    <row r="4" spans="1:46" ht="6.75" customHeight="1">
      <c r="I4" s="714"/>
      <c r="J4" s="715"/>
      <c r="K4" s="715"/>
      <c r="L4" s="716"/>
    </row>
    <row r="5" spans="1:46" ht="12" customHeight="1">
      <c r="B5" s="527" t="s">
        <v>449</v>
      </c>
      <c r="D5" s="262" t="s">
        <v>446</v>
      </c>
      <c r="E5" s="226" t="s">
        <v>447</v>
      </c>
      <c r="F5" s="263" t="s">
        <v>24</v>
      </c>
      <c r="G5" s="548" t="s">
        <v>25</v>
      </c>
      <c r="H5" s="548" t="s">
        <v>26</v>
      </c>
      <c r="I5" s="549" t="s">
        <v>8</v>
      </c>
      <c r="J5" s="550" t="s">
        <v>217</v>
      </c>
      <c r="K5" s="550" t="s">
        <v>223</v>
      </c>
      <c r="L5" s="551" t="s">
        <v>305</v>
      </c>
      <c r="M5" s="548" t="s">
        <v>434</v>
      </c>
      <c r="N5" s="548" t="s">
        <v>27</v>
      </c>
      <c r="O5" s="548" t="s">
        <v>28</v>
      </c>
      <c r="P5" s="548" t="s">
        <v>29</v>
      </c>
      <c r="Q5" s="548" t="s">
        <v>30</v>
      </c>
      <c r="R5" s="548" t="s">
        <v>31</v>
      </c>
      <c r="S5" s="548" t="s">
        <v>32</v>
      </c>
      <c r="T5" s="548" t="s">
        <v>435</v>
      </c>
      <c r="U5" s="548" t="s">
        <v>436</v>
      </c>
      <c r="V5" s="548" t="s">
        <v>437</v>
      </c>
      <c r="W5" s="548" t="s">
        <v>438</v>
      </c>
      <c r="X5" s="548" t="s">
        <v>439</v>
      </c>
      <c r="Y5" s="548" t="s">
        <v>440</v>
      </c>
      <c r="Z5" s="548" t="s">
        <v>441</v>
      </c>
      <c r="AA5" s="548" t="s">
        <v>442</v>
      </c>
      <c r="AB5" s="548" t="s">
        <v>443</v>
      </c>
      <c r="AC5" s="548" t="s">
        <v>444</v>
      </c>
      <c r="AD5" s="174"/>
      <c r="AE5" s="174"/>
      <c r="AF5" s="174"/>
      <c r="AG5" s="174"/>
      <c r="AH5" s="174"/>
    </row>
    <row r="6" spans="1:46">
      <c r="B6" s="524" t="s">
        <v>276</v>
      </c>
      <c r="D6" s="203"/>
      <c r="E6" s="203"/>
      <c r="F6" s="203">
        <f>'XLRN - IS'!F46</f>
        <v>36266</v>
      </c>
      <c r="G6" s="552">
        <f>'XLRN - IS'!G46</f>
        <v>-32582</v>
      </c>
      <c r="H6" s="552">
        <f>'XLRN - IS'!L46</f>
        <v>-21898</v>
      </c>
      <c r="I6" s="553">
        <f>'XLRN - IS'!M46</f>
        <v>-9120</v>
      </c>
      <c r="J6" s="554">
        <f>'XLRN - IS'!N46</f>
        <v>-16550</v>
      </c>
      <c r="K6" s="554">
        <f>'XLRN - IS'!O46</f>
        <v>-7972</v>
      </c>
      <c r="L6" s="555">
        <f>'XLRN - IS'!P46</f>
        <v>-17617</v>
      </c>
      <c r="M6" s="552">
        <f>'XLRN - IS'!Q46</f>
        <v>-51259</v>
      </c>
      <c r="N6" s="552">
        <f>'XLRN - IS'!V46</f>
        <v>-63897</v>
      </c>
      <c r="O6" s="552">
        <f>'XLRN - IS'!AA46</f>
        <v>-57012</v>
      </c>
      <c r="P6" s="552">
        <f>'XLRN - IS'!AF46</f>
        <v>-108453</v>
      </c>
      <c r="Q6" s="552">
        <f>'XLRN - IS'!AK46</f>
        <v>-142650</v>
      </c>
      <c r="R6" s="552">
        <f>'XLRN - IS'!AL46</f>
        <v>-13580.083640000666</v>
      </c>
      <c r="S6" s="552">
        <f>'XLRN - IS'!AM46</f>
        <v>-74854.082830654399</v>
      </c>
      <c r="T6" s="552">
        <f>'XLRN - IS'!AN46</f>
        <v>-50989.848046836982</v>
      </c>
      <c r="U6" s="552">
        <f>'XLRN - IS'!AO46</f>
        <v>1249.3330608012766</v>
      </c>
      <c r="V6" s="552">
        <f>'XLRN - IS'!AP46</f>
        <v>8360.1532290806754</v>
      </c>
      <c r="W6" s="552">
        <f>'XLRN - IS'!AQ46</f>
        <v>21028.799985499856</v>
      </c>
      <c r="X6" s="552">
        <f>'XLRN - IS'!AR46</f>
        <v>5771.1263430438385</v>
      </c>
      <c r="Y6" s="552">
        <f>'XLRN - IS'!AS46</f>
        <v>14303.830611437079</v>
      </c>
      <c r="Z6" s="552">
        <f>'XLRN - IS'!AT46</f>
        <v>-4609.9212553351863</v>
      </c>
      <c r="AA6" s="552">
        <f>'XLRN - IS'!AU46</f>
        <v>-17176.827238489208</v>
      </c>
      <c r="AB6" s="552">
        <f>'XLRN - IS'!AV46</f>
        <v>-24096.210998251023</v>
      </c>
      <c r="AC6" s="552">
        <f>'XLRN - IS'!AW46</f>
        <v>-37982.881881155161</v>
      </c>
      <c r="AD6" s="203"/>
      <c r="AE6" s="203"/>
      <c r="AF6" s="203"/>
      <c r="AG6" s="203"/>
      <c r="AH6" s="203"/>
    </row>
    <row r="7" spans="1:46">
      <c r="B7" s="524" t="s">
        <v>277</v>
      </c>
      <c r="D7" s="203"/>
      <c r="E7" s="203"/>
      <c r="F7" s="203">
        <v>3134</v>
      </c>
      <c r="G7" s="552">
        <v>1293</v>
      </c>
      <c r="H7" s="552">
        <v>915</v>
      </c>
      <c r="I7" s="556">
        <v>265</v>
      </c>
      <c r="J7" s="557">
        <f>542-I7</f>
        <v>277</v>
      </c>
      <c r="K7" s="557">
        <f>832-J7-I7</f>
        <v>290</v>
      </c>
      <c r="L7" s="555">
        <f>M7-I7-J7-K7</f>
        <v>286</v>
      </c>
      <c r="M7" s="552">
        <v>1118</v>
      </c>
      <c r="N7" s="552">
        <f>'XLRN - BS'!M98</f>
        <v>1308.25</v>
      </c>
      <c r="O7" s="552">
        <f>'XLRN - BS'!N98</f>
        <v>1487.125</v>
      </c>
      <c r="P7" s="552">
        <f>'XLRN - BS'!O98</f>
        <v>1786.2375</v>
      </c>
      <c r="Q7" s="552">
        <f>'XLRN - BS'!P98</f>
        <v>2108.7725</v>
      </c>
      <c r="R7" s="552">
        <f>'XLRN - BS'!Q98</f>
        <v>2412.1610000000001</v>
      </c>
      <c r="S7" s="552">
        <f>'XLRN - BS'!R98</f>
        <v>2668.7883500000003</v>
      </c>
      <c r="T7" s="552">
        <f>'XLRN - BS'!S98</f>
        <v>2893.2534350000001</v>
      </c>
      <c r="U7" s="552">
        <f>'XLRN - BS'!T98</f>
        <v>3132.5951577500005</v>
      </c>
      <c r="V7" s="552">
        <f>'XLRN - BS'!U98</f>
        <v>3430.3898889125003</v>
      </c>
      <c r="W7" s="552">
        <f>'XLRN - BS'!V98</f>
        <v>3797.6607547493754</v>
      </c>
      <c r="X7" s="552">
        <f>'XLRN - BS'!W98</f>
        <v>4247.3098679617815</v>
      </c>
      <c r="Y7" s="552">
        <f>'XLRN - BS'!X98</f>
        <v>4764.4063481560479</v>
      </c>
      <c r="Z7" s="552">
        <f>'XLRN - BS'!Y98</f>
        <v>5359.0673003794545</v>
      </c>
      <c r="AA7" s="552">
        <f>'XLRN - BS'!Z98</f>
        <v>6042.9273954363725</v>
      </c>
      <c r="AB7" s="552">
        <f>'XLRN - BS'!AA98</f>
        <v>6829.3665047518289</v>
      </c>
      <c r="AC7" s="552">
        <f>'XLRN - BS'!AB98</f>
        <v>7733.7714804646021</v>
      </c>
      <c r="AD7" s="203"/>
      <c r="AE7" s="203"/>
      <c r="AF7" s="203"/>
      <c r="AG7" s="203"/>
      <c r="AH7" s="203"/>
    </row>
    <row r="8" spans="1:46">
      <c r="B8" s="524" t="s">
        <v>278</v>
      </c>
      <c r="D8" s="203"/>
      <c r="E8" s="203"/>
      <c r="F8" s="203">
        <v>0</v>
      </c>
      <c r="G8" s="552">
        <v>0</v>
      </c>
      <c r="H8" s="552">
        <v>32</v>
      </c>
      <c r="I8" s="556">
        <v>0</v>
      </c>
      <c r="J8" s="557">
        <v>0</v>
      </c>
      <c r="K8" s="557">
        <v>0</v>
      </c>
      <c r="L8" s="555">
        <f t="shared" ref="L8:L25" si="0">M8-I8-J8-K8</f>
        <v>25</v>
      </c>
      <c r="M8" s="552">
        <v>25</v>
      </c>
      <c r="N8" s="552">
        <v>0</v>
      </c>
      <c r="O8" s="552">
        <v>0</v>
      </c>
      <c r="P8" s="552">
        <v>0</v>
      </c>
      <c r="Q8" s="552">
        <v>0</v>
      </c>
      <c r="R8" s="552">
        <v>0</v>
      </c>
      <c r="S8" s="552">
        <v>0</v>
      </c>
      <c r="T8" s="552">
        <f>S8</f>
        <v>0</v>
      </c>
      <c r="U8" s="552">
        <f>T8</f>
        <v>0</v>
      </c>
      <c r="V8" s="552">
        <f t="shared" ref="V8:AC8" si="1">U8</f>
        <v>0</v>
      </c>
      <c r="W8" s="552">
        <f t="shared" si="1"/>
        <v>0</v>
      </c>
      <c r="X8" s="552">
        <f t="shared" si="1"/>
        <v>0</v>
      </c>
      <c r="Y8" s="552">
        <f t="shared" si="1"/>
        <v>0</v>
      </c>
      <c r="Z8" s="552">
        <f t="shared" si="1"/>
        <v>0</v>
      </c>
      <c r="AA8" s="552">
        <f t="shared" si="1"/>
        <v>0</v>
      </c>
      <c r="AB8" s="552">
        <f t="shared" si="1"/>
        <v>0</v>
      </c>
      <c r="AC8" s="552">
        <f t="shared" si="1"/>
        <v>0</v>
      </c>
      <c r="AD8" s="203"/>
      <c r="AE8" s="203"/>
      <c r="AF8" s="203"/>
      <c r="AG8" s="203"/>
      <c r="AH8" s="203"/>
    </row>
    <row r="9" spans="1:46">
      <c r="B9" s="524" t="s">
        <v>279</v>
      </c>
      <c r="D9" s="203"/>
      <c r="E9" s="203"/>
      <c r="F9" s="203">
        <v>1427</v>
      </c>
      <c r="G9" s="552">
        <v>1206</v>
      </c>
      <c r="H9" s="552">
        <v>2196</v>
      </c>
      <c r="I9" s="556">
        <v>1018</v>
      </c>
      <c r="J9" s="557">
        <f>2132-I9</f>
        <v>1114</v>
      </c>
      <c r="K9" s="557">
        <f>3327-J9-I9</f>
        <v>1195</v>
      </c>
      <c r="L9" s="555">
        <f t="shared" si="0"/>
        <v>1451</v>
      </c>
      <c r="M9" s="552">
        <v>4778</v>
      </c>
      <c r="N9" s="552">
        <f>'XLRN - IS'!V35</f>
        <v>12075</v>
      </c>
      <c r="O9" s="552">
        <f>'XLRN - IS'!AA35</f>
        <v>18557</v>
      </c>
      <c r="P9" s="552">
        <f>'XLRN - IS'!AF35</f>
        <v>20781.650000000001</v>
      </c>
      <c r="Q9" s="552">
        <f>'XLRN - IS'!AK35</f>
        <v>21025</v>
      </c>
      <c r="R9" s="552">
        <f>'XLRN - IS'!AL35</f>
        <v>32200.000000000007</v>
      </c>
      <c r="S9" s="552">
        <f>'XLRN - IS'!AM35</f>
        <v>29150</v>
      </c>
      <c r="T9" s="552">
        <f>'XLRN - IS'!AN35</f>
        <v>34045</v>
      </c>
      <c r="U9" s="552">
        <f>'XLRN - IS'!AO35</f>
        <v>40216</v>
      </c>
      <c r="V9" s="552">
        <f>'XLRN - IS'!AP35</f>
        <v>48036.175000000003</v>
      </c>
      <c r="W9" s="552">
        <f>'XLRN - IS'!AQ35</f>
        <v>57990.171249999999</v>
      </c>
      <c r="X9" s="552">
        <f>'XLRN - IS'!AR35</f>
        <v>66780.386062500009</v>
      </c>
      <c r="Y9" s="552">
        <f>'XLRN - IS'!AS35</f>
        <v>72475.687865625005</v>
      </c>
      <c r="Z9" s="552">
        <f>'XLRN - IS'!AT35</f>
        <v>78691.383008906269</v>
      </c>
      <c r="AA9" s="552">
        <f>'XLRN - IS'!AU35</f>
        <v>85477.053984351573</v>
      </c>
      <c r="AB9" s="552">
        <f>'XLRN - IS'!AV35</f>
        <v>92887.118691069176</v>
      </c>
      <c r="AC9" s="552">
        <f>'XLRN - IS'!AW35</f>
        <v>100981.30783387265</v>
      </c>
      <c r="AD9" s="203"/>
      <c r="AE9" s="203"/>
      <c r="AF9" s="203"/>
      <c r="AG9" s="203"/>
      <c r="AH9" s="203"/>
    </row>
    <row r="10" spans="1:46">
      <c r="B10" s="524" t="s">
        <v>280</v>
      </c>
      <c r="D10" s="203"/>
      <c r="E10" s="203"/>
      <c r="F10" s="203">
        <v>162</v>
      </c>
      <c r="G10" s="552">
        <v>51</v>
      </c>
      <c r="H10" s="552">
        <v>0</v>
      </c>
      <c r="I10" s="556">
        <v>0</v>
      </c>
      <c r="J10" s="557">
        <v>0</v>
      </c>
      <c r="K10" s="557">
        <v>0</v>
      </c>
      <c r="L10" s="555">
        <f t="shared" si="0"/>
        <v>0</v>
      </c>
      <c r="M10" s="552">
        <v>0</v>
      </c>
      <c r="N10" s="552">
        <v>0</v>
      </c>
      <c r="O10" s="552">
        <v>0</v>
      </c>
      <c r="P10" s="552">
        <v>0</v>
      </c>
      <c r="Q10" s="552">
        <v>0</v>
      </c>
      <c r="R10" s="552">
        <v>0</v>
      </c>
      <c r="S10" s="552">
        <v>0</v>
      </c>
      <c r="T10" s="552">
        <f t="shared" ref="T10:T15" si="2">S10</f>
        <v>0</v>
      </c>
      <c r="U10" s="552">
        <f t="shared" ref="U10:AC10" si="3">T10</f>
        <v>0</v>
      </c>
      <c r="V10" s="552">
        <f t="shared" si="3"/>
        <v>0</v>
      </c>
      <c r="W10" s="552">
        <f t="shared" si="3"/>
        <v>0</v>
      </c>
      <c r="X10" s="552">
        <f t="shared" si="3"/>
        <v>0</v>
      </c>
      <c r="Y10" s="552">
        <f t="shared" si="3"/>
        <v>0</v>
      </c>
      <c r="Z10" s="552">
        <f t="shared" si="3"/>
        <v>0</v>
      </c>
      <c r="AA10" s="552">
        <f t="shared" si="3"/>
        <v>0</v>
      </c>
      <c r="AB10" s="552">
        <f t="shared" si="3"/>
        <v>0</v>
      </c>
      <c r="AC10" s="552">
        <f t="shared" si="3"/>
        <v>0</v>
      </c>
      <c r="AD10" s="203"/>
      <c r="AE10" s="203"/>
      <c r="AF10" s="203"/>
      <c r="AG10" s="203"/>
      <c r="AH10" s="203"/>
    </row>
    <row r="11" spans="1:46">
      <c r="B11" s="524" t="s">
        <v>281</v>
      </c>
      <c r="D11" s="203"/>
      <c r="E11" s="203"/>
      <c r="F11" s="203">
        <v>271</v>
      </c>
      <c r="G11" s="552">
        <v>335</v>
      </c>
      <c r="H11" s="552">
        <v>342</v>
      </c>
      <c r="I11" s="556">
        <v>-536</v>
      </c>
      <c r="J11" s="557">
        <v>0</v>
      </c>
      <c r="K11" s="557">
        <f>-536-J11-I11</f>
        <v>0</v>
      </c>
      <c r="L11" s="555">
        <f t="shared" si="0"/>
        <v>0</v>
      </c>
      <c r="M11" s="552">
        <v>-536</v>
      </c>
      <c r="N11" s="552">
        <v>0</v>
      </c>
      <c r="O11" s="552">
        <v>0</v>
      </c>
      <c r="P11" s="552">
        <v>0</v>
      </c>
      <c r="Q11" s="552">
        <v>0</v>
      </c>
      <c r="R11" s="552">
        <v>0</v>
      </c>
      <c r="S11" s="552">
        <v>0</v>
      </c>
      <c r="T11" s="552">
        <f t="shared" si="2"/>
        <v>0</v>
      </c>
      <c r="U11" s="552">
        <f t="shared" ref="U11:AC11" si="4">T11</f>
        <v>0</v>
      </c>
      <c r="V11" s="552">
        <f t="shared" si="4"/>
        <v>0</v>
      </c>
      <c r="W11" s="552">
        <f t="shared" si="4"/>
        <v>0</v>
      </c>
      <c r="X11" s="552">
        <f t="shared" si="4"/>
        <v>0</v>
      </c>
      <c r="Y11" s="552">
        <f t="shared" si="4"/>
        <v>0</v>
      </c>
      <c r="Z11" s="552">
        <f t="shared" si="4"/>
        <v>0</v>
      </c>
      <c r="AA11" s="552">
        <f t="shared" si="4"/>
        <v>0</v>
      </c>
      <c r="AB11" s="552">
        <f t="shared" si="4"/>
        <v>0</v>
      </c>
      <c r="AC11" s="552">
        <f t="shared" si="4"/>
        <v>0</v>
      </c>
      <c r="AD11" s="203"/>
      <c r="AE11" s="203"/>
      <c r="AF11" s="203"/>
      <c r="AG11" s="203"/>
      <c r="AH11" s="203"/>
    </row>
    <row r="12" spans="1:46">
      <c r="B12" s="524" t="s">
        <v>282</v>
      </c>
      <c r="F12" s="203">
        <v>79</v>
      </c>
      <c r="G12" s="552">
        <v>84</v>
      </c>
      <c r="H12" s="552">
        <v>186</v>
      </c>
      <c r="I12" s="556">
        <v>36</v>
      </c>
      <c r="J12" s="557">
        <v>0</v>
      </c>
      <c r="K12" s="557">
        <f>36-J12-I12</f>
        <v>0</v>
      </c>
      <c r="L12" s="555">
        <f t="shared" si="0"/>
        <v>0</v>
      </c>
      <c r="M12" s="552">
        <v>36</v>
      </c>
      <c r="N12" s="552">
        <v>0</v>
      </c>
      <c r="O12" s="552">
        <v>0</v>
      </c>
      <c r="P12" s="552">
        <v>0</v>
      </c>
      <c r="Q12" s="552">
        <v>0</v>
      </c>
      <c r="R12" s="552">
        <v>0</v>
      </c>
      <c r="S12" s="552">
        <v>0</v>
      </c>
      <c r="T12" s="552">
        <f t="shared" si="2"/>
        <v>0</v>
      </c>
      <c r="U12" s="552">
        <f t="shared" ref="U12:AC12" si="5">T12</f>
        <v>0</v>
      </c>
      <c r="V12" s="552">
        <f t="shared" si="5"/>
        <v>0</v>
      </c>
      <c r="W12" s="552">
        <f t="shared" si="5"/>
        <v>0</v>
      </c>
      <c r="X12" s="552">
        <f t="shared" si="5"/>
        <v>0</v>
      </c>
      <c r="Y12" s="552">
        <f t="shared" si="5"/>
        <v>0</v>
      </c>
      <c r="Z12" s="552">
        <f t="shared" si="5"/>
        <v>0</v>
      </c>
      <c r="AA12" s="552">
        <f t="shared" si="5"/>
        <v>0</v>
      </c>
      <c r="AB12" s="552">
        <f t="shared" si="5"/>
        <v>0</v>
      </c>
      <c r="AC12" s="552">
        <f t="shared" si="5"/>
        <v>0</v>
      </c>
      <c r="AD12" s="203"/>
      <c r="AE12" s="203"/>
      <c r="AF12" s="203"/>
      <c r="AG12" s="203"/>
      <c r="AH12" s="203"/>
    </row>
    <row r="13" spans="1:46">
      <c r="B13" s="524" t="s">
        <v>283</v>
      </c>
      <c r="F13" s="203">
        <v>481</v>
      </c>
      <c r="G13" s="552">
        <v>2258</v>
      </c>
      <c r="H13" s="552">
        <v>26875</v>
      </c>
      <c r="I13" s="556">
        <v>-3990</v>
      </c>
      <c r="J13" s="557">
        <f>-4730-I13</f>
        <v>-740</v>
      </c>
      <c r="K13" s="557">
        <f>-8124-J13-I13</f>
        <v>-3394</v>
      </c>
      <c r="L13" s="555">
        <f t="shared" si="0"/>
        <v>3087</v>
      </c>
      <c r="M13" s="552">
        <v>-5037</v>
      </c>
      <c r="N13" s="552">
        <v>0</v>
      </c>
      <c r="O13" s="552">
        <v>0</v>
      </c>
      <c r="P13" s="552">
        <v>0</v>
      </c>
      <c r="Q13" s="552">
        <v>0</v>
      </c>
      <c r="R13" s="552">
        <v>0</v>
      </c>
      <c r="S13" s="552">
        <v>0</v>
      </c>
      <c r="T13" s="552">
        <f t="shared" si="2"/>
        <v>0</v>
      </c>
      <c r="U13" s="552">
        <f t="shared" ref="U13:AC13" si="6">T13</f>
        <v>0</v>
      </c>
      <c r="V13" s="552">
        <f t="shared" si="6"/>
        <v>0</v>
      </c>
      <c r="W13" s="552">
        <f t="shared" si="6"/>
        <v>0</v>
      </c>
      <c r="X13" s="552">
        <f t="shared" si="6"/>
        <v>0</v>
      </c>
      <c r="Y13" s="552">
        <f t="shared" si="6"/>
        <v>0</v>
      </c>
      <c r="Z13" s="552">
        <f t="shared" si="6"/>
        <v>0</v>
      </c>
      <c r="AA13" s="552">
        <f t="shared" si="6"/>
        <v>0</v>
      </c>
      <c r="AB13" s="552">
        <f t="shared" si="6"/>
        <v>0</v>
      </c>
      <c r="AC13" s="552">
        <f t="shared" si="6"/>
        <v>0</v>
      </c>
      <c r="AD13" s="203"/>
      <c r="AE13" s="203"/>
      <c r="AF13" s="203"/>
      <c r="AG13" s="203"/>
      <c r="AH13" s="203"/>
    </row>
    <row r="14" spans="1:46">
      <c r="B14" s="524" t="s">
        <v>284</v>
      </c>
      <c r="F14" s="203">
        <v>0</v>
      </c>
      <c r="G14" s="552">
        <v>0</v>
      </c>
      <c r="H14" s="552">
        <v>-76</v>
      </c>
      <c r="I14" s="556">
        <v>0</v>
      </c>
      <c r="J14" s="557">
        <v>0</v>
      </c>
      <c r="K14" s="557">
        <v>0</v>
      </c>
      <c r="L14" s="555">
        <f t="shared" si="0"/>
        <v>0</v>
      </c>
      <c r="M14" s="552">
        <v>0</v>
      </c>
      <c r="N14" s="552">
        <v>0</v>
      </c>
      <c r="O14" s="552">
        <v>0</v>
      </c>
      <c r="P14" s="552">
        <v>0</v>
      </c>
      <c r="Q14" s="552">
        <v>0</v>
      </c>
      <c r="R14" s="552">
        <v>0</v>
      </c>
      <c r="S14" s="552">
        <v>0</v>
      </c>
      <c r="T14" s="552">
        <f t="shared" si="2"/>
        <v>0</v>
      </c>
      <c r="U14" s="552">
        <f t="shared" ref="U14:AC14" si="7">T14</f>
        <v>0</v>
      </c>
      <c r="V14" s="552">
        <f t="shared" si="7"/>
        <v>0</v>
      </c>
      <c r="W14" s="552">
        <f t="shared" si="7"/>
        <v>0</v>
      </c>
      <c r="X14" s="552">
        <f t="shared" si="7"/>
        <v>0</v>
      </c>
      <c r="Y14" s="552">
        <f t="shared" si="7"/>
        <v>0</v>
      </c>
      <c r="Z14" s="552">
        <f t="shared" si="7"/>
        <v>0</v>
      </c>
      <c r="AA14" s="552">
        <f t="shared" si="7"/>
        <v>0</v>
      </c>
      <c r="AB14" s="552">
        <f t="shared" si="7"/>
        <v>0</v>
      </c>
      <c r="AC14" s="552">
        <f t="shared" si="7"/>
        <v>0</v>
      </c>
      <c r="AD14" s="203"/>
      <c r="AE14" s="203"/>
      <c r="AF14" s="203"/>
      <c r="AG14" s="203"/>
      <c r="AH14" s="203"/>
    </row>
    <row r="15" spans="1:46">
      <c r="B15" s="524" t="s">
        <v>285</v>
      </c>
      <c r="F15" s="203">
        <v>0</v>
      </c>
      <c r="G15" s="552">
        <v>0</v>
      </c>
      <c r="H15" s="552">
        <v>237</v>
      </c>
      <c r="I15" s="556">
        <v>0</v>
      </c>
      <c r="J15" s="557">
        <v>0</v>
      </c>
      <c r="K15" s="557">
        <v>0</v>
      </c>
      <c r="L15" s="555">
        <f t="shared" si="0"/>
        <v>0</v>
      </c>
      <c r="M15" s="552">
        <v>0</v>
      </c>
      <c r="N15" s="552">
        <v>0</v>
      </c>
      <c r="O15" s="552">
        <v>0</v>
      </c>
      <c r="P15" s="552">
        <v>0</v>
      </c>
      <c r="Q15" s="552">
        <v>0</v>
      </c>
      <c r="R15" s="552">
        <v>0</v>
      </c>
      <c r="S15" s="552">
        <v>0</v>
      </c>
      <c r="T15" s="552">
        <f t="shared" si="2"/>
        <v>0</v>
      </c>
      <c r="U15" s="552">
        <f t="shared" ref="U15:AC15" si="8">T15</f>
        <v>0</v>
      </c>
      <c r="V15" s="552">
        <f t="shared" si="8"/>
        <v>0</v>
      </c>
      <c r="W15" s="552">
        <f t="shared" si="8"/>
        <v>0</v>
      </c>
      <c r="X15" s="552">
        <f t="shared" si="8"/>
        <v>0</v>
      </c>
      <c r="Y15" s="552">
        <f t="shared" si="8"/>
        <v>0</v>
      </c>
      <c r="Z15" s="552">
        <f t="shared" si="8"/>
        <v>0</v>
      </c>
      <c r="AA15" s="552">
        <f t="shared" si="8"/>
        <v>0</v>
      </c>
      <c r="AB15" s="552">
        <f t="shared" si="8"/>
        <v>0</v>
      </c>
      <c r="AC15" s="552">
        <f t="shared" si="8"/>
        <v>0</v>
      </c>
      <c r="AD15" s="203"/>
      <c r="AE15" s="203"/>
      <c r="AF15" s="203"/>
      <c r="AG15" s="203"/>
      <c r="AH15" s="203"/>
    </row>
    <row r="16" spans="1:46">
      <c r="B16" s="525" t="s">
        <v>286</v>
      </c>
      <c r="F16" s="203">
        <f t="shared" ref="F16:K16" si="9">SUM(F17:F25)</f>
        <v>-32764</v>
      </c>
      <c r="G16" s="552">
        <f t="shared" si="9"/>
        <v>-11529</v>
      </c>
      <c r="H16" s="552">
        <f t="shared" si="9"/>
        <v>-28459</v>
      </c>
      <c r="I16" s="556">
        <f t="shared" si="9"/>
        <v>-145</v>
      </c>
      <c r="J16" s="557">
        <f t="shared" si="9"/>
        <v>126</v>
      </c>
      <c r="K16" s="557">
        <f t="shared" si="9"/>
        <v>-1475</v>
      </c>
      <c r="L16" s="555">
        <f t="shared" si="0"/>
        <v>-851</v>
      </c>
      <c r="M16" s="552">
        <f>SUM(M17:M25)</f>
        <v>-2345</v>
      </c>
      <c r="N16" s="552">
        <f t="shared" ref="N16:AC16" si="10">SUM(N17:N25)</f>
        <v>-5281.1299999999992</v>
      </c>
      <c r="O16" s="552">
        <f t="shared" si="10"/>
        <v>309.27999999999906</v>
      </c>
      <c r="P16" s="552">
        <f t="shared" si="10"/>
        <v>5918.4300000000021</v>
      </c>
      <c r="Q16" s="552">
        <f t="shared" si="10"/>
        <v>4084.3199999999983</v>
      </c>
      <c r="R16" s="552">
        <f t="shared" si="10"/>
        <v>-7265.3284294949026</v>
      </c>
      <c r="S16" s="552">
        <f t="shared" si="10"/>
        <v>6553.6413808467114</v>
      </c>
      <c r="T16" s="552">
        <f t="shared" si="10"/>
        <v>1537.339895295132</v>
      </c>
      <c r="U16" s="552">
        <f t="shared" si="10"/>
        <v>-1619.7898007832418</v>
      </c>
      <c r="V16" s="552">
        <f t="shared" si="10"/>
        <v>1426.6788615415535</v>
      </c>
      <c r="W16" s="552">
        <f t="shared" si="10"/>
        <v>463.79999184721601</v>
      </c>
      <c r="X16" s="552">
        <f t="shared" si="10"/>
        <v>2421.8243879903694</v>
      </c>
      <c r="Y16" s="552">
        <f t="shared" si="10"/>
        <v>-559.69069248398318</v>
      </c>
      <c r="Z16" s="552">
        <f t="shared" si="10"/>
        <v>1649.6022737862313</v>
      </c>
      <c r="AA16" s="552">
        <f t="shared" si="10"/>
        <v>991.5261368555457</v>
      </c>
      <c r="AB16" s="552">
        <f t="shared" si="10"/>
        <v>1278.1592037249993</v>
      </c>
      <c r="AC16" s="552">
        <f t="shared" si="10"/>
        <v>2303.7403748836932</v>
      </c>
      <c r="AD16" s="203"/>
      <c r="AE16" s="203"/>
      <c r="AF16" s="203"/>
      <c r="AG16" s="203"/>
      <c r="AH16" s="203"/>
    </row>
    <row r="17" spans="2:34" hidden="1" outlineLevel="1">
      <c r="B17" s="526" t="s">
        <v>287</v>
      </c>
      <c r="F17" s="203">
        <v>2564</v>
      </c>
      <c r="G17" s="552">
        <v>-594</v>
      </c>
      <c r="H17" s="552">
        <v>-823</v>
      </c>
      <c r="I17" s="556">
        <v>539</v>
      </c>
      <c r="J17" s="557">
        <f>44-I17</f>
        <v>-495</v>
      </c>
      <c r="K17" s="557">
        <f>-1723-J17-I17</f>
        <v>-1767</v>
      </c>
      <c r="L17" s="555">
        <f t="shared" si="0"/>
        <v>1468</v>
      </c>
      <c r="M17" s="552">
        <v>-255</v>
      </c>
      <c r="N17" s="552">
        <f>'XLRN - BS'!L8-'XLRN - BS'!M8</f>
        <v>670.39999999999986</v>
      </c>
      <c r="O17" s="552">
        <f>'XLRN - BS'!M8-'XLRN - BS'!N8</f>
        <v>-967.50000000000023</v>
      </c>
      <c r="P17" s="552">
        <f>'XLRN - BS'!N8-'XLRN - BS'!O8</f>
        <v>1429.0000000000002</v>
      </c>
      <c r="Q17" s="552">
        <f>'XLRN - BS'!O8-'XLRN - BS'!P8</f>
        <v>0</v>
      </c>
      <c r="R17" s="552">
        <f>'XLRN - BS'!P8-'XLRN - BS'!Q8</f>
        <v>-10565.328429494903</v>
      </c>
      <c r="S17" s="552">
        <f>'XLRN - BS'!Q8-'XLRN - BS'!R8</f>
        <v>3673.6413808467114</v>
      </c>
      <c r="T17" s="552">
        <f>'XLRN - BS'!R8-'XLRN - BS'!S8</f>
        <v>-1366.660104704868</v>
      </c>
      <c r="U17" s="552">
        <f>'XLRN - BS'!S8-'XLRN - BS'!T8</f>
        <v>-5163.9898007832417</v>
      </c>
      <c r="V17" s="552">
        <f>'XLRN - BS'!T8-'XLRN - BS'!U8</f>
        <v>-2938.23113845845</v>
      </c>
      <c r="W17" s="552">
        <f>'XLRN - BS'!U8-'XLRN - BS'!V8</f>
        <v>-4955.905508152784</v>
      </c>
      <c r="X17" s="552">
        <f>'XLRN - BS'!V8-'XLRN - BS'!W8</f>
        <v>-2471.3553870096293</v>
      </c>
      <c r="Y17" s="552">
        <f>'XLRN - BS'!W8-'XLRN - BS'!X8</f>
        <v>-4001.0060562339895</v>
      </c>
      <c r="Z17" s="552">
        <f>'XLRN - BS'!X8-'XLRN - BS'!Y8</f>
        <v>-2076.8804181512678</v>
      </c>
      <c r="AA17" s="552">
        <f>'XLRN - BS'!Y8-'XLRN - BS'!Z8</f>
        <v>-3045.6924056788303</v>
      </c>
      <c r="AB17" s="552">
        <f>'XLRN - BS'!Z8-'XLRN - BS'!AA8</f>
        <v>-3097.7731535361017</v>
      </c>
      <c r="AC17" s="552">
        <f>'XLRN - BS'!AA8-'XLRN - BS'!AB8</f>
        <v>-2441.526776600469</v>
      </c>
      <c r="AD17" s="203"/>
      <c r="AE17" s="203"/>
      <c r="AF17" s="203"/>
      <c r="AG17" s="203"/>
      <c r="AH17" s="203"/>
    </row>
    <row r="18" spans="2:34" hidden="1" outlineLevel="1">
      <c r="B18" s="526" t="s">
        <v>370</v>
      </c>
      <c r="F18" s="203"/>
      <c r="G18" s="552"/>
      <c r="H18" s="552"/>
      <c r="I18" s="556"/>
      <c r="J18" s="557"/>
      <c r="K18" s="557"/>
      <c r="L18" s="555"/>
      <c r="M18" s="552"/>
      <c r="N18" s="552">
        <f>'XLRN - BS'!L7-'XLRN - BS'!M7</f>
        <v>0</v>
      </c>
      <c r="O18" s="552">
        <f>'XLRN - BS'!M7-'XLRN - BS'!N7</f>
        <v>0</v>
      </c>
      <c r="P18" s="552">
        <f>'XLRN - BS'!N7-'XLRN - BS'!O7</f>
        <v>0</v>
      </c>
      <c r="Q18" s="552">
        <f>'XLRN - BS'!O7-'XLRN - BS'!P7</f>
        <v>0</v>
      </c>
      <c r="R18" s="552">
        <f>'XLRN - BS'!P7-'XLRN - BS'!Q7</f>
        <v>0</v>
      </c>
      <c r="S18" s="552">
        <f>'XLRN - BS'!Q7-'XLRN - BS'!R7</f>
        <v>0</v>
      </c>
      <c r="T18" s="552">
        <f>'XLRN - BS'!R7-'XLRN - BS'!S7</f>
        <v>0</v>
      </c>
      <c r="U18" s="552">
        <f>'XLRN - BS'!S7-'XLRN - BS'!T7</f>
        <v>0</v>
      </c>
      <c r="V18" s="552">
        <f>'XLRN - BS'!T7-'XLRN - BS'!U7</f>
        <v>0</v>
      </c>
      <c r="W18" s="552">
        <f>'XLRN - BS'!U7-'XLRN - BS'!V7</f>
        <v>0</v>
      </c>
      <c r="X18" s="552">
        <f>'XLRN - BS'!V7-'XLRN - BS'!W7</f>
        <v>0</v>
      </c>
      <c r="Y18" s="552">
        <f>'XLRN - BS'!W7-'XLRN - BS'!X7</f>
        <v>0</v>
      </c>
      <c r="Z18" s="552">
        <f>'XLRN - BS'!X7-'XLRN - BS'!Y7</f>
        <v>0</v>
      </c>
      <c r="AA18" s="552">
        <f>'XLRN - BS'!Y7-'XLRN - BS'!Z7</f>
        <v>0</v>
      </c>
      <c r="AB18" s="552">
        <f>'XLRN - BS'!Z7-'XLRN - BS'!AA7</f>
        <v>0</v>
      </c>
      <c r="AC18" s="552">
        <f>'XLRN - BS'!AA7-'XLRN - BS'!AB7</f>
        <v>0</v>
      </c>
      <c r="AD18" s="203"/>
      <c r="AE18" s="203"/>
      <c r="AF18" s="203"/>
      <c r="AG18" s="203"/>
      <c r="AH18" s="203"/>
    </row>
    <row r="19" spans="2:34" hidden="1" outlineLevel="1">
      <c r="B19" s="526" t="s">
        <v>288</v>
      </c>
      <c r="F19" s="203">
        <v>1836</v>
      </c>
      <c r="G19" s="552">
        <v>-1116</v>
      </c>
      <c r="H19" s="552">
        <v>-840</v>
      </c>
      <c r="I19" s="556">
        <v>983</v>
      </c>
      <c r="J19" s="557">
        <f>-115-I19</f>
        <v>-1098</v>
      </c>
      <c r="K19" s="557">
        <f>388-J19-I19</f>
        <v>503</v>
      </c>
      <c r="L19" s="555">
        <f t="shared" si="0"/>
        <v>-139</v>
      </c>
      <c r="M19" s="552">
        <v>249</v>
      </c>
      <c r="N19" s="552">
        <f>'XLRN - BS'!L6-'XLRN - BS'!M6</f>
        <v>367</v>
      </c>
      <c r="O19" s="552">
        <f>'XLRN - BS'!M6-'XLRN - BS'!N6</f>
        <v>0</v>
      </c>
      <c r="P19" s="552">
        <f>'XLRN - BS'!N6-'XLRN - BS'!O6</f>
        <v>0</v>
      </c>
      <c r="Q19" s="552">
        <f>'XLRN - BS'!O6-'XLRN - BS'!P6</f>
        <v>0</v>
      </c>
      <c r="R19" s="552">
        <f>'XLRN - BS'!P6-'XLRN - BS'!Q6</f>
        <v>0</v>
      </c>
      <c r="S19" s="552">
        <f>'XLRN - BS'!Q6-'XLRN - BS'!R6</f>
        <v>0</v>
      </c>
      <c r="T19" s="552">
        <f>'XLRN - BS'!R6-'XLRN - BS'!S6</f>
        <v>0</v>
      </c>
      <c r="U19" s="552">
        <f>'XLRN - BS'!S6-'XLRN - BS'!T6</f>
        <v>0</v>
      </c>
      <c r="V19" s="552">
        <f>'XLRN - BS'!T6-'XLRN - BS'!U6</f>
        <v>0</v>
      </c>
      <c r="W19" s="552">
        <f>'XLRN - BS'!U6-'XLRN - BS'!V6</f>
        <v>0</v>
      </c>
      <c r="X19" s="552">
        <f>'XLRN - BS'!V6-'XLRN - BS'!W6</f>
        <v>0</v>
      </c>
      <c r="Y19" s="552">
        <f>'XLRN - BS'!W6-'XLRN - BS'!X6</f>
        <v>0</v>
      </c>
      <c r="Z19" s="552">
        <f>'XLRN - BS'!X6-'XLRN - BS'!Y6</f>
        <v>0</v>
      </c>
      <c r="AA19" s="552">
        <f>'XLRN - BS'!Y6-'XLRN - BS'!Z6</f>
        <v>0</v>
      </c>
      <c r="AB19" s="552">
        <f>'XLRN - BS'!Z6-'XLRN - BS'!AA6</f>
        <v>0</v>
      </c>
      <c r="AC19" s="552">
        <f>'XLRN - BS'!AA6-'XLRN - BS'!AB6</f>
        <v>0</v>
      </c>
      <c r="AD19" s="203"/>
      <c r="AE19" s="203"/>
      <c r="AF19" s="203"/>
      <c r="AG19" s="203"/>
      <c r="AH19" s="203"/>
    </row>
    <row r="20" spans="2:34" hidden="1" outlineLevel="1">
      <c r="B20" s="526" t="s">
        <v>241</v>
      </c>
      <c r="F20" s="203">
        <v>-6</v>
      </c>
      <c r="G20" s="552">
        <v>-8</v>
      </c>
      <c r="H20" s="552">
        <v>-4</v>
      </c>
      <c r="I20" s="556">
        <v>0</v>
      </c>
      <c r="J20" s="557">
        <v>0</v>
      </c>
      <c r="K20" s="557">
        <v>0</v>
      </c>
      <c r="L20" s="555">
        <f t="shared" si="0"/>
        <v>0</v>
      </c>
      <c r="M20" s="552">
        <v>0</v>
      </c>
      <c r="N20" s="552">
        <v>0</v>
      </c>
      <c r="O20" s="552">
        <v>0</v>
      </c>
      <c r="P20" s="552">
        <v>0</v>
      </c>
      <c r="Q20" s="552">
        <v>0</v>
      </c>
      <c r="R20" s="552">
        <v>0</v>
      </c>
      <c r="S20" s="552">
        <v>0</v>
      </c>
      <c r="T20" s="552">
        <f>S20</f>
        <v>0</v>
      </c>
      <c r="U20" s="552">
        <f t="shared" ref="U20:AC20" si="11">T20</f>
        <v>0</v>
      </c>
      <c r="V20" s="552">
        <f t="shared" si="11"/>
        <v>0</v>
      </c>
      <c r="W20" s="552">
        <f t="shared" si="11"/>
        <v>0</v>
      </c>
      <c r="X20" s="552">
        <f t="shared" si="11"/>
        <v>0</v>
      </c>
      <c r="Y20" s="552">
        <f t="shared" si="11"/>
        <v>0</v>
      </c>
      <c r="Z20" s="552">
        <f t="shared" si="11"/>
        <v>0</v>
      </c>
      <c r="AA20" s="552">
        <f t="shared" si="11"/>
        <v>0</v>
      </c>
      <c r="AB20" s="552">
        <f t="shared" si="11"/>
        <v>0</v>
      </c>
      <c r="AC20" s="552">
        <f t="shared" si="11"/>
        <v>0</v>
      </c>
      <c r="AD20" s="203"/>
      <c r="AE20" s="203"/>
      <c r="AF20" s="203"/>
      <c r="AG20" s="203"/>
      <c r="AH20" s="203"/>
    </row>
    <row r="21" spans="2:34" hidden="1" outlineLevel="1">
      <c r="B21" s="526" t="s">
        <v>244</v>
      </c>
      <c r="F21" s="203">
        <v>334</v>
      </c>
      <c r="G21" s="552">
        <v>-1272</v>
      </c>
      <c r="H21" s="552">
        <v>-53</v>
      </c>
      <c r="I21" s="556">
        <v>1410</v>
      </c>
      <c r="J21" s="557">
        <f>1729-I21</f>
        <v>319</v>
      </c>
      <c r="K21" s="557">
        <f>2429-J21-I21</f>
        <v>700</v>
      </c>
      <c r="L21" s="555">
        <f t="shared" si="0"/>
        <v>-2590</v>
      </c>
      <c r="M21" s="552">
        <v>-161</v>
      </c>
      <c r="N21" s="552">
        <f>'XLRN - BS'!M18-'XLRN - BS'!L18</f>
        <v>65.769999999999982</v>
      </c>
      <c r="O21" s="552">
        <f>'XLRN - BS'!N18-'XLRN - BS'!M18</f>
        <v>148.98000000000002</v>
      </c>
      <c r="P21" s="552">
        <f>'XLRN - BS'!O18-'XLRN - BS'!N18</f>
        <v>1530.5300000000002</v>
      </c>
      <c r="Q21" s="552">
        <f>'XLRN - BS'!P18-'XLRN - BS'!O18</f>
        <v>680.7199999999998</v>
      </c>
      <c r="R21" s="552">
        <f>'XLRN - BS'!Q18-'XLRN - BS'!P18</f>
        <v>550</v>
      </c>
      <c r="S21" s="552">
        <f>'XLRN - BS'!R18-'XLRN - BS'!Q18</f>
        <v>480</v>
      </c>
      <c r="T21" s="552">
        <f>'XLRN - BS'!S18-'XLRN - BS'!R18</f>
        <v>484</v>
      </c>
      <c r="U21" s="552">
        <f>'XLRN - BS'!T18-'XLRN - BS'!S18</f>
        <v>590.69999999999982</v>
      </c>
      <c r="V21" s="552">
        <f>'XLRN - BS'!U18-'XLRN - BS'!T18</f>
        <v>727.48500000000058</v>
      </c>
      <c r="W21" s="552">
        <f>'XLRN - BS'!V18-'XLRN - BS'!U18</f>
        <v>903.28425000000061</v>
      </c>
      <c r="X21" s="552">
        <f>'XLRN - BS'!W18-'XLRN - BS'!V18</f>
        <v>815.52996249999887</v>
      </c>
      <c r="Y21" s="552">
        <f>'XLRN - BS'!X18-'XLRN - BS'!W18</f>
        <v>573.5525606250003</v>
      </c>
      <c r="Z21" s="552">
        <f>'XLRN - BS'!Y18-'XLRN - BS'!X18</f>
        <v>621.08044865625016</v>
      </c>
      <c r="AA21" s="552">
        <f>'XLRN - BS'!Z18-'XLRN - BS'!Y18</f>
        <v>672.86975708906357</v>
      </c>
      <c r="AB21" s="552">
        <f>'XLRN - BS'!AA18-'XLRN - BS'!Z18</f>
        <v>729.32205954351775</v>
      </c>
      <c r="AC21" s="552">
        <f>'XLRN - BS'!AB18-'XLRN - BS'!AA18</f>
        <v>790.87785858069219</v>
      </c>
      <c r="AD21" s="203"/>
      <c r="AE21" s="203"/>
      <c r="AF21" s="203"/>
      <c r="AG21" s="203"/>
      <c r="AH21" s="203"/>
    </row>
    <row r="22" spans="2:34" hidden="1" outlineLevel="1">
      <c r="B22" s="526" t="s">
        <v>289</v>
      </c>
      <c r="F22" s="203">
        <v>-2773</v>
      </c>
      <c r="G22" s="552">
        <v>1640</v>
      </c>
      <c r="H22" s="552">
        <v>709</v>
      </c>
      <c r="I22" s="556">
        <v>-2278</v>
      </c>
      <c r="J22" s="557">
        <f>-418-I22</f>
        <v>1860</v>
      </c>
      <c r="K22" s="557">
        <f>-923-J22-I22</f>
        <v>-505</v>
      </c>
      <c r="L22" s="555">
        <f t="shared" si="0"/>
        <v>906</v>
      </c>
      <c r="M22" s="552">
        <v>-17</v>
      </c>
      <c r="N22" s="552">
        <f>'XLRN - BS'!M19-'XLRN - BS'!L19</f>
        <v>1049.7000000000007</v>
      </c>
      <c r="O22" s="552">
        <f>'XLRN - BS'!N19-'XLRN - BS'!M19</f>
        <v>1489.7999999999993</v>
      </c>
      <c r="P22" s="552">
        <f>'XLRN - BS'!O19-'XLRN - BS'!N19</f>
        <v>2958.9000000000015</v>
      </c>
      <c r="Q22" s="552">
        <f>'XLRN - BS'!P19-'XLRN - BS'!O19</f>
        <v>3403.5999999999985</v>
      </c>
      <c r="R22" s="552">
        <f>'XLRN - BS'!Q19-'XLRN - BS'!P19</f>
        <v>2750</v>
      </c>
      <c r="S22" s="552">
        <f>'XLRN - BS'!R19-'XLRN - BS'!Q19</f>
        <v>2400</v>
      </c>
      <c r="T22" s="552">
        <f>'XLRN - BS'!S19-'XLRN - BS'!R19</f>
        <v>2420</v>
      </c>
      <c r="U22" s="552">
        <f>'XLRN - BS'!T19-'XLRN - BS'!S19</f>
        <v>2953.5</v>
      </c>
      <c r="V22" s="552">
        <f>'XLRN - BS'!U19-'XLRN - BS'!T19</f>
        <v>3637.4250000000029</v>
      </c>
      <c r="W22" s="552">
        <f>'XLRN - BS'!V19-'XLRN - BS'!U19</f>
        <v>4516.4212499999994</v>
      </c>
      <c r="X22" s="552">
        <f>'XLRN - BS'!W19-'XLRN - BS'!V19</f>
        <v>4077.6498124999998</v>
      </c>
      <c r="Y22" s="552">
        <f>'XLRN - BS'!X19-'XLRN - BS'!W19</f>
        <v>2867.762803125006</v>
      </c>
      <c r="Z22" s="552">
        <f>'XLRN - BS'!Y19-'XLRN - BS'!X19</f>
        <v>3105.402243281249</v>
      </c>
      <c r="AA22" s="552">
        <f>'XLRN - BS'!Z19-'XLRN - BS'!Y19</f>
        <v>3364.3487854453124</v>
      </c>
      <c r="AB22" s="552">
        <f>'XLRN - BS'!AA19-'XLRN - BS'!Z19</f>
        <v>3646.6102977175833</v>
      </c>
      <c r="AC22" s="552">
        <f>'XLRN - BS'!AB19-'XLRN - BS'!AA19</f>
        <v>3954.3892929034701</v>
      </c>
      <c r="AD22" s="203"/>
      <c r="AE22" s="203"/>
      <c r="AF22" s="203"/>
      <c r="AG22" s="203"/>
      <c r="AH22" s="203"/>
    </row>
    <row r="23" spans="2:34" hidden="1" outlineLevel="1">
      <c r="B23" s="526" t="s">
        <v>290</v>
      </c>
      <c r="F23" s="203">
        <v>-35130</v>
      </c>
      <c r="G23" s="552">
        <v>-9696</v>
      </c>
      <c r="H23" s="552">
        <v>-26949</v>
      </c>
      <c r="I23" s="556">
        <v>-674</v>
      </c>
      <c r="J23" s="557">
        <f>-1021-I23</f>
        <v>-347</v>
      </c>
      <c r="K23" s="557">
        <f>-1302-J23-I23</f>
        <v>-281</v>
      </c>
      <c r="L23" s="555">
        <f t="shared" si="0"/>
        <v>-371</v>
      </c>
      <c r="M23" s="552">
        <v>-1673</v>
      </c>
      <c r="N23" s="552">
        <f>('XLRN - BS'!M20+'XLRN - BS'!M25)-('XLRN - BS'!L20+'XLRN - BS'!L25)</f>
        <v>-5616</v>
      </c>
      <c r="O23" s="552">
        <f>('XLRN - BS'!N20+'XLRN - BS'!N25)-('XLRN - BS'!M20+'XLRN - BS'!M25)</f>
        <v>-362</v>
      </c>
      <c r="P23" s="552">
        <f>('XLRN - BS'!O20+'XLRN - BS'!O25)-('XLRN - BS'!N20+'XLRN - BS'!N25)</f>
        <v>0</v>
      </c>
      <c r="Q23" s="552">
        <f>('XLRN - BS'!P20+'XLRN - BS'!P25)-('XLRN - BS'!O20+'XLRN - BS'!O25)</f>
        <v>0</v>
      </c>
      <c r="R23" s="552">
        <f>('XLRN - BS'!Q20+'XLRN - BS'!Q25)-('XLRN - BS'!P20+'XLRN - BS'!P25)</f>
        <v>0</v>
      </c>
      <c r="S23" s="552">
        <f>('XLRN - BS'!R20+'XLRN - BS'!R25)-('XLRN - BS'!Q20+'XLRN - BS'!Q25)</f>
        <v>0</v>
      </c>
      <c r="T23" s="552">
        <f>('XLRN - BS'!S20+'XLRN - BS'!S25)-('XLRN - BS'!R20+'XLRN - BS'!R25)</f>
        <v>0</v>
      </c>
      <c r="U23" s="552">
        <f>('XLRN - BS'!T20+'XLRN - BS'!T25)-('XLRN - BS'!S20+'XLRN - BS'!S25)</f>
        <v>0</v>
      </c>
      <c r="V23" s="552">
        <f>('XLRN - BS'!U20+'XLRN - BS'!U25)-('XLRN - BS'!T20+'XLRN - BS'!T25)</f>
        <v>0</v>
      </c>
      <c r="W23" s="552">
        <f>('XLRN - BS'!V20+'XLRN - BS'!V25)-('XLRN - BS'!U20+'XLRN - BS'!U25)</f>
        <v>0</v>
      </c>
      <c r="X23" s="552">
        <f>('XLRN - BS'!W20+'XLRN - BS'!W25)-('XLRN - BS'!V20+'XLRN - BS'!V25)</f>
        <v>0</v>
      </c>
      <c r="Y23" s="552">
        <f>('XLRN - BS'!X20+'XLRN - BS'!X25)-('XLRN - BS'!W20+'XLRN - BS'!W25)</f>
        <v>0</v>
      </c>
      <c r="Z23" s="552">
        <f>('XLRN - BS'!Y20+'XLRN - BS'!Y25)-('XLRN - BS'!X20+'XLRN - BS'!X25)</f>
        <v>0</v>
      </c>
      <c r="AA23" s="552">
        <f>('XLRN - BS'!Z20+'XLRN - BS'!Z25)-('XLRN - BS'!Y20+'XLRN - BS'!Y25)</f>
        <v>0</v>
      </c>
      <c r="AB23" s="552">
        <f>('XLRN - BS'!AA20+'XLRN - BS'!AA25)-('XLRN - BS'!Z20+'XLRN - BS'!Z25)</f>
        <v>0</v>
      </c>
      <c r="AC23" s="552">
        <f>('XLRN - BS'!AB20+'XLRN - BS'!AB25)-('XLRN - BS'!AA20+'XLRN - BS'!AA25)</f>
        <v>0</v>
      </c>
      <c r="AD23" s="203"/>
      <c r="AE23" s="203"/>
      <c r="AF23" s="203"/>
      <c r="AG23" s="203"/>
      <c r="AH23" s="203"/>
    </row>
    <row r="24" spans="2:34" hidden="1" outlineLevel="1">
      <c r="B24" s="526" t="s">
        <v>291</v>
      </c>
      <c r="F24" s="203">
        <v>211</v>
      </c>
      <c r="G24" s="552">
        <v>-482</v>
      </c>
      <c r="H24" s="552">
        <v>-499</v>
      </c>
      <c r="I24" s="556">
        <v>-125</v>
      </c>
      <c r="J24" s="557">
        <f>-250-I24</f>
        <v>-125</v>
      </c>
      <c r="K24" s="557">
        <f>-374-J24-I24</f>
        <v>-124</v>
      </c>
      <c r="L24" s="555">
        <f t="shared" si="0"/>
        <v>-125</v>
      </c>
      <c r="M24" s="552">
        <v>-499</v>
      </c>
      <c r="N24" s="552">
        <f>('XLRN - BS'!M21+'XLRN - BS'!M26)-('XLRN - BS'!L21+'XLRN - BS'!L26)</f>
        <v>-1818</v>
      </c>
      <c r="O24" s="552">
        <f>('XLRN - BS'!N21+'XLRN - BS'!N26)-('XLRN - BS'!M21+'XLRN - BS'!M26)</f>
        <v>0</v>
      </c>
      <c r="P24" s="552">
        <f>('XLRN - BS'!O21+'XLRN - BS'!O26)-('XLRN - BS'!N21+'XLRN - BS'!N26)</f>
        <v>0</v>
      </c>
      <c r="Q24" s="552">
        <f>('XLRN - BS'!P21+'XLRN - BS'!P26)-('XLRN - BS'!O21+'XLRN - BS'!O26)</f>
        <v>0</v>
      </c>
      <c r="R24" s="552">
        <f>('XLRN - BS'!Q21+'XLRN - BS'!Q26)-('XLRN - BS'!P21+'XLRN - BS'!P26)</f>
        <v>0</v>
      </c>
      <c r="S24" s="552">
        <f>('XLRN - BS'!R21+'XLRN - BS'!R26)-('XLRN - BS'!Q21+'XLRN - BS'!Q26)</f>
        <v>0</v>
      </c>
      <c r="T24" s="552">
        <f>('XLRN - BS'!S21+'XLRN - BS'!S26)-('XLRN - BS'!R21+'XLRN - BS'!R26)</f>
        <v>0</v>
      </c>
      <c r="U24" s="552">
        <f>('XLRN - BS'!T21+'XLRN - BS'!T26)-('XLRN - BS'!S21+'XLRN - BS'!S26)</f>
        <v>0</v>
      </c>
      <c r="V24" s="552">
        <f>('XLRN - BS'!U21+'XLRN - BS'!U26)-('XLRN - BS'!T21+'XLRN - BS'!T26)</f>
        <v>0</v>
      </c>
      <c r="W24" s="552">
        <f>('XLRN - BS'!V21+'XLRN - BS'!V26)-('XLRN - BS'!U21+'XLRN - BS'!U26)</f>
        <v>0</v>
      </c>
      <c r="X24" s="552">
        <f>('XLRN - BS'!W21+'XLRN - BS'!W26)-('XLRN - BS'!V21+'XLRN - BS'!V26)</f>
        <v>0</v>
      </c>
      <c r="Y24" s="552">
        <f>('XLRN - BS'!X21+'XLRN - BS'!X26)-('XLRN - BS'!W21+'XLRN - BS'!W26)</f>
        <v>0</v>
      </c>
      <c r="Z24" s="552">
        <f>('XLRN - BS'!Y21+'XLRN - BS'!Y26)-('XLRN - BS'!X21+'XLRN - BS'!X26)</f>
        <v>0</v>
      </c>
      <c r="AA24" s="552">
        <f>('XLRN - BS'!Z21+'XLRN - BS'!Z26)-('XLRN - BS'!Y21+'XLRN - BS'!Y26)</f>
        <v>0</v>
      </c>
      <c r="AB24" s="552">
        <f>('XLRN - BS'!AA21+'XLRN - BS'!AA26)-('XLRN - BS'!Z21+'XLRN - BS'!Z26)</f>
        <v>0</v>
      </c>
      <c r="AC24" s="552">
        <f>('XLRN - BS'!AB21+'XLRN - BS'!AB26)-('XLRN - BS'!AA21+'XLRN - BS'!AA26)</f>
        <v>0</v>
      </c>
      <c r="AD24" s="203"/>
      <c r="AE24" s="203"/>
      <c r="AF24" s="203"/>
      <c r="AG24" s="203"/>
      <c r="AH24" s="203"/>
    </row>
    <row r="25" spans="2:34" hidden="1" outlineLevel="1">
      <c r="B25" s="526" t="s">
        <v>240</v>
      </c>
      <c r="F25" s="203">
        <v>200</v>
      </c>
      <c r="G25" s="552">
        <v>-1</v>
      </c>
      <c r="H25" s="552">
        <v>0</v>
      </c>
      <c r="I25" s="556">
        <v>0</v>
      </c>
      <c r="J25" s="557">
        <v>12</v>
      </c>
      <c r="K25" s="557">
        <f>11-J25-I25</f>
        <v>-1</v>
      </c>
      <c r="L25" s="555">
        <f t="shared" si="0"/>
        <v>0</v>
      </c>
      <c r="M25" s="552">
        <v>11</v>
      </c>
      <c r="N25" s="552">
        <v>0</v>
      </c>
      <c r="O25" s="552">
        <v>0</v>
      </c>
      <c r="P25" s="552">
        <v>0</v>
      </c>
      <c r="Q25" s="552">
        <v>0</v>
      </c>
      <c r="R25" s="552">
        <v>0</v>
      </c>
      <c r="S25" s="552">
        <v>0</v>
      </c>
      <c r="T25" s="552">
        <f>S25</f>
        <v>0</v>
      </c>
      <c r="U25" s="552">
        <f t="shared" ref="U25:AC25" si="12">T25</f>
        <v>0</v>
      </c>
      <c r="V25" s="552">
        <f t="shared" si="12"/>
        <v>0</v>
      </c>
      <c r="W25" s="552">
        <f t="shared" si="12"/>
        <v>0</v>
      </c>
      <c r="X25" s="552">
        <f t="shared" si="12"/>
        <v>0</v>
      </c>
      <c r="Y25" s="552">
        <f t="shared" si="12"/>
        <v>0</v>
      </c>
      <c r="Z25" s="552">
        <f t="shared" si="12"/>
        <v>0</v>
      </c>
      <c r="AA25" s="552">
        <f t="shared" si="12"/>
        <v>0</v>
      </c>
      <c r="AB25" s="552">
        <f t="shared" si="12"/>
        <v>0</v>
      </c>
      <c r="AC25" s="552">
        <f t="shared" si="12"/>
        <v>0</v>
      </c>
      <c r="AD25" s="203"/>
      <c r="AE25" s="203"/>
      <c r="AF25" s="203"/>
      <c r="AG25" s="203"/>
      <c r="AH25" s="203"/>
    </row>
    <row r="26" spans="2:34" collapsed="1">
      <c r="B26" s="522" t="s">
        <v>292</v>
      </c>
      <c r="C26" s="224"/>
      <c r="D26" s="224"/>
      <c r="E26" s="224"/>
      <c r="F26" s="223">
        <f>SUM(F6:F16)</f>
        <v>9056</v>
      </c>
      <c r="G26" s="558">
        <f t="shared" ref="G26:S26" si="13">SUM(G6:G15,G16)</f>
        <v>-38884</v>
      </c>
      <c r="H26" s="558">
        <f t="shared" si="13"/>
        <v>-19650</v>
      </c>
      <c r="I26" s="559">
        <f t="shared" si="13"/>
        <v>-12472</v>
      </c>
      <c r="J26" s="560">
        <f t="shared" si="13"/>
        <v>-15773</v>
      </c>
      <c r="K26" s="560">
        <f t="shared" si="13"/>
        <v>-11356</v>
      </c>
      <c r="L26" s="561">
        <f t="shared" si="13"/>
        <v>-13619</v>
      </c>
      <c r="M26" s="558">
        <f t="shared" si="13"/>
        <v>-53220</v>
      </c>
      <c r="N26" s="558">
        <f t="shared" si="13"/>
        <v>-55794.879999999997</v>
      </c>
      <c r="O26" s="558">
        <f t="shared" si="13"/>
        <v>-36658.595000000001</v>
      </c>
      <c r="P26" s="558">
        <f t="shared" si="13"/>
        <v>-79966.682499999981</v>
      </c>
      <c r="Q26" s="558">
        <f t="shared" si="13"/>
        <v>-115431.90750000002</v>
      </c>
      <c r="R26" s="558">
        <f t="shared" si="13"/>
        <v>13766.748930504438</v>
      </c>
      <c r="S26" s="558">
        <f t="shared" si="13"/>
        <v>-36481.653099807685</v>
      </c>
      <c r="T26" s="558">
        <f t="shared" ref="T26:AC26" si="14">SUM(T6:T15,T16)</f>
        <v>-12514.254716541851</v>
      </c>
      <c r="U26" s="558">
        <f t="shared" si="14"/>
        <v>42978.138417768037</v>
      </c>
      <c r="V26" s="558">
        <f t="shared" si="14"/>
        <v>61253.396979534737</v>
      </c>
      <c r="W26" s="558">
        <f t="shared" si="14"/>
        <v>83280.431982096459</v>
      </c>
      <c r="X26" s="558">
        <f t="shared" si="14"/>
        <v>79220.646661496008</v>
      </c>
      <c r="Y26" s="558">
        <f t="shared" si="14"/>
        <v>90984.234132734142</v>
      </c>
      <c r="Z26" s="558">
        <f t="shared" si="14"/>
        <v>81090.131327736774</v>
      </c>
      <c r="AA26" s="558">
        <f t="shared" si="14"/>
        <v>75334.680278154294</v>
      </c>
      <c r="AB26" s="558">
        <f t="shared" si="14"/>
        <v>76898.433401294984</v>
      </c>
      <c r="AC26" s="558">
        <f t="shared" si="14"/>
        <v>73035.937808065792</v>
      </c>
      <c r="AD26" s="205"/>
      <c r="AE26" s="205"/>
      <c r="AF26" s="205"/>
      <c r="AG26" s="205"/>
      <c r="AH26" s="205"/>
    </row>
    <row r="27" spans="2:34" ht="6.75" customHeight="1">
      <c r="B27" s="230"/>
      <c r="F27" s="238"/>
      <c r="G27" s="562"/>
      <c r="H27" s="562"/>
      <c r="I27" s="563"/>
      <c r="J27" s="564"/>
      <c r="K27" s="564"/>
      <c r="L27" s="565"/>
      <c r="M27" s="562"/>
      <c r="N27" s="562"/>
      <c r="O27" s="562"/>
      <c r="P27" s="562"/>
      <c r="Q27" s="562"/>
      <c r="R27" s="562"/>
      <c r="S27" s="562"/>
      <c r="T27" s="562"/>
      <c r="U27" s="562"/>
      <c r="V27" s="562"/>
      <c r="W27" s="562"/>
      <c r="X27" s="562"/>
      <c r="Y27" s="562"/>
      <c r="Z27" s="562"/>
      <c r="AA27" s="562"/>
      <c r="AB27" s="562"/>
      <c r="AC27" s="562"/>
      <c r="AD27" s="238"/>
      <c r="AE27" s="238"/>
      <c r="AF27" s="238"/>
      <c r="AG27" s="238"/>
      <c r="AH27" s="238"/>
    </row>
    <row r="28" spans="2:34">
      <c r="B28" s="527" t="s">
        <v>293</v>
      </c>
      <c r="F28" s="238"/>
      <c r="G28" s="562"/>
      <c r="H28" s="562"/>
      <c r="I28" s="563"/>
      <c r="J28" s="564"/>
      <c r="K28" s="564"/>
      <c r="L28" s="565"/>
      <c r="M28" s="562"/>
      <c r="N28" s="562"/>
      <c r="O28" s="562"/>
      <c r="P28" s="562"/>
      <c r="Q28" s="562"/>
      <c r="R28" s="562"/>
      <c r="S28" s="562"/>
      <c r="T28" s="562"/>
      <c r="U28" s="562"/>
      <c r="V28" s="562"/>
      <c r="W28" s="562"/>
      <c r="X28" s="562"/>
      <c r="Y28" s="562"/>
      <c r="Z28" s="562"/>
      <c r="AA28" s="562"/>
      <c r="AB28" s="562"/>
      <c r="AC28" s="562"/>
      <c r="AD28" s="238"/>
      <c r="AE28" s="238"/>
      <c r="AF28" s="238"/>
      <c r="AG28" s="238"/>
      <c r="AH28" s="238"/>
    </row>
    <row r="29" spans="2:34" ht="3" customHeight="1">
      <c r="B29" s="528"/>
      <c r="F29" s="238"/>
      <c r="G29" s="562"/>
      <c r="H29" s="562"/>
      <c r="I29" s="563"/>
      <c r="J29" s="564"/>
      <c r="K29" s="564"/>
      <c r="L29" s="565"/>
      <c r="M29" s="562"/>
      <c r="N29" s="562"/>
      <c r="O29" s="562"/>
      <c r="P29" s="562"/>
      <c r="Q29" s="562"/>
      <c r="R29" s="562"/>
      <c r="S29" s="562"/>
      <c r="T29" s="562"/>
      <c r="U29" s="562"/>
      <c r="V29" s="562"/>
      <c r="W29" s="562"/>
      <c r="X29" s="562"/>
      <c r="Y29" s="562"/>
      <c r="Z29" s="562"/>
      <c r="AA29" s="562"/>
      <c r="AB29" s="562"/>
      <c r="AC29" s="562"/>
      <c r="AD29" s="238"/>
      <c r="AE29" s="238"/>
      <c r="AF29" s="238"/>
      <c r="AG29" s="238"/>
      <c r="AH29" s="238"/>
    </row>
    <row r="30" spans="2:34">
      <c r="B30" s="529" t="s">
        <v>294</v>
      </c>
      <c r="D30" s="203"/>
      <c r="E30" s="203"/>
      <c r="F30" s="203">
        <v>-27</v>
      </c>
      <c r="G30" s="552">
        <v>-441</v>
      </c>
      <c r="H30" s="552">
        <v>-307</v>
      </c>
      <c r="I30" s="556">
        <v>-150</v>
      </c>
      <c r="J30" s="557">
        <f>-379-I30</f>
        <v>-229</v>
      </c>
      <c r="K30" s="557">
        <f>-498-J30-I30</f>
        <v>-119</v>
      </c>
      <c r="L30" s="555">
        <f>M30-I30-J30-K30</f>
        <v>-16</v>
      </c>
      <c r="M30" s="552">
        <v>-514</v>
      </c>
      <c r="N30" s="552">
        <f>M30*1.5</f>
        <v>-771</v>
      </c>
      <c r="O30" s="552">
        <f>N30*1.5</f>
        <v>-1156.5</v>
      </c>
      <c r="P30" s="552">
        <f>O30*1.3</f>
        <v>-1503.45</v>
      </c>
      <c r="Q30" s="552">
        <f>P30*1.2</f>
        <v>-1804.14</v>
      </c>
      <c r="R30" s="552">
        <f>Q30*1.1</f>
        <v>-1984.5540000000003</v>
      </c>
      <c r="S30" s="552">
        <f>R30*1.1</f>
        <v>-2183.0094000000004</v>
      </c>
      <c r="T30" s="552">
        <f>S30*1.1</f>
        <v>-2401.3103400000005</v>
      </c>
      <c r="U30" s="552">
        <f>T30*1.15</f>
        <v>-2761.5068910000005</v>
      </c>
      <c r="V30" s="552">
        <f t="shared" ref="V30:AC30" si="15">U30*1.15</f>
        <v>-3175.7329246500003</v>
      </c>
      <c r="W30" s="552">
        <f t="shared" si="15"/>
        <v>-3652.0928633475</v>
      </c>
      <c r="X30" s="552">
        <f t="shared" si="15"/>
        <v>-4199.9067928496252</v>
      </c>
      <c r="Y30" s="552">
        <f t="shared" si="15"/>
        <v>-4829.8928117770683</v>
      </c>
      <c r="Z30" s="552">
        <f t="shared" si="15"/>
        <v>-5554.3767335436278</v>
      </c>
      <c r="AA30" s="552">
        <f t="shared" si="15"/>
        <v>-6387.5332435751716</v>
      </c>
      <c r="AB30" s="552">
        <f t="shared" si="15"/>
        <v>-7345.6632301114469</v>
      </c>
      <c r="AC30" s="552">
        <f t="shared" si="15"/>
        <v>-8447.5127146281629</v>
      </c>
      <c r="AD30" s="203"/>
      <c r="AE30" s="203"/>
      <c r="AF30" s="203"/>
      <c r="AG30" s="203"/>
      <c r="AH30" s="203"/>
    </row>
    <row r="31" spans="2:34">
      <c r="B31" s="519" t="s">
        <v>295</v>
      </c>
      <c r="C31" s="224"/>
      <c r="D31" s="224"/>
      <c r="E31" s="224"/>
      <c r="F31" s="223">
        <f t="shared" ref="F31:AC31" si="16">F30</f>
        <v>-27</v>
      </c>
      <c r="G31" s="558">
        <f t="shared" si="16"/>
        <v>-441</v>
      </c>
      <c r="H31" s="558">
        <f t="shared" si="16"/>
        <v>-307</v>
      </c>
      <c r="I31" s="559">
        <f t="shared" si="16"/>
        <v>-150</v>
      </c>
      <c r="J31" s="560">
        <f t="shared" si="16"/>
        <v>-229</v>
      </c>
      <c r="K31" s="560">
        <f t="shared" si="16"/>
        <v>-119</v>
      </c>
      <c r="L31" s="561">
        <f t="shared" si="16"/>
        <v>-16</v>
      </c>
      <c r="M31" s="558">
        <f t="shared" si="16"/>
        <v>-514</v>
      </c>
      <c r="N31" s="558">
        <f t="shared" si="16"/>
        <v>-771</v>
      </c>
      <c r="O31" s="558">
        <f t="shared" si="16"/>
        <v>-1156.5</v>
      </c>
      <c r="P31" s="558">
        <f t="shared" si="16"/>
        <v>-1503.45</v>
      </c>
      <c r="Q31" s="558">
        <f t="shared" si="16"/>
        <v>-1804.14</v>
      </c>
      <c r="R31" s="558">
        <f t="shared" si="16"/>
        <v>-1984.5540000000003</v>
      </c>
      <c r="S31" s="558">
        <f t="shared" si="16"/>
        <v>-2183.0094000000004</v>
      </c>
      <c r="T31" s="558">
        <f t="shared" si="16"/>
        <v>-2401.3103400000005</v>
      </c>
      <c r="U31" s="558">
        <f t="shared" si="16"/>
        <v>-2761.5068910000005</v>
      </c>
      <c r="V31" s="558">
        <f t="shared" si="16"/>
        <v>-3175.7329246500003</v>
      </c>
      <c r="W31" s="558">
        <f t="shared" si="16"/>
        <v>-3652.0928633475</v>
      </c>
      <c r="X31" s="558">
        <f t="shared" si="16"/>
        <v>-4199.9067928496252</v>
      </c>
      <c r="Y31" s="558">
        <f t="shared" si="16"/>
        <v>-4829.8928117770683</v>
      </c>
      <c r="Z31" s="558">
        <f t="shared" si="16"/>
        <v>-5554.3767335436278</v>
      </c>
      <c r="AA31" s="558">
        <f t="shared" si="16"/>
        <v>-6387.5332435751716</v>
      </c>
      <c r="AB31" s="558">
        <f t="shared" si="16"/>
        <v>-7345.6632301114469</v>
      </c>
      <c r="AC31" s="558">
        <f t="shared" si="16"/>
        <v>-8447.5127146281629</v>
      </c>
      <c r="AD31" s="205"/>
      <c r="AE31" s="205"/>
      <c r="AF31" s="205"/>
      <c r="AG31" s="205"/>
      <c r="AH31" s="205"/>
    </row>
    <row r="32" spans="2:34" ht="5.25" customHeight="1">
      <c r="B32" s="264"/>
      <c r="F32" s="238"/>
      <c r="G32" s="562"/>
      <c r="H32" s="562"/>
      <c r="I32" s="563"/>
      <c r="J32" s="564"/>
      <c r="K32" s="564"/>
      <c r="L32" s="565"/>
      <c r="M32" s="562"/>
      <c r="N32" s="562"/>
      <c r="O32" s="562"/>
      <c r="P32" s="562"/>
      <c r="Q32" s="562"/>
      <c r="R32" s="562"/>
      <c r="S32" s="562"/>
      <c r="T32" s="562"/>
      <c r="U32" s="562"/>
      <c r="V32" s="562"/>
      <c r="W32" s="562"/>
      <c r="X32" s="562"/>
      <c r="Y32" s="562"/>
      <c r="Z32" s="562"/>
      <c r="AA32" s="562"/>
      <c r="AB32" s="562"/>
      <c r="AC32" s="562"/>
      <c r="AD32" s="238"/>
      <c r="AE32" s="238"/>
      <c r="AF32" s="238"/>
      <c r="AG32" s="238"/>
      <c r="AH32" s="238"/>
    </row>
    <row r="33" spans="2:34">
      <c r="B33" s="530" t="s">
        <v>296</v>
      </c>
      <c r="F33" s="238"/>
      <c r="G33" s="562"/>
      <c r="H33" s="562"/>
      <c r="I33" s="563"/>
      <c r="J33" s="564"/>
      <c r="K33" s="564"/>
      <c r="L33" s="565"/>
      <c r="M33" s="552"/>
      <c r="N33" s="562"/>
      <c r="O33" s="562"/>
      <c r="P33" s="562"/>
      <c r="Q33" s="562"/>
      <c r="R33" s="562"/>
      <c r="S33" s="562"/>
      <c r="T33" s="562"/>
      <c r="U33" s="562"/>
      <c r="V33" s="562"/>
      <c r="W33" s="562"/>
      <c r="X33" s="562"/>
      <c r="Y33" s="562"/>
      <c r="Z33" s="562"/>
      <c r="AA33" s="562"/>
      <c r="AB33" s="562"/>
      <c r="AC33" s="562"/>
      <c r="AD33" s="238"/>
      <c r="AE33" s="238"/>
      <c r="AF33" s="238"/>
      <c r="AG33" s="238"/>
      <c r="AH33" s="238"/>
    </row>
    <row r="34" spans="2:34">
      <c r="B34" s="524" t="s">
        <v>297</v>
      </c>
      <c r="F34" s="203">
        <v>30378</v>
      </c>
      <c r="G34" s="552">
        <v>0</v>
      </c>
      <c r="H34" s="552">
        <v>0</v>
      </c>
      <c r="I34" s="556">
        <v>0</v>
      </c>
      <c r="J34" s="557">
        <v>0</v>
      </c>
      <c r="K34" s="557">
        <v>0</v>
      </c>
      <c r="L34" s="555">
        <f t="shared" ref="L34:L40" si="17">M34-I34-J34-K34</f>
        <v>0</v>
      </c>
      <c r="M34" s="552">
        <v>0</v>
      </c>
      <c r="N34" s="552">
        <v>0</v>
      </c>
      <c r="O34" s="552">
        <v>0</v>
      </c>
      <c r="P34" s="552">
        <v>0</v>
      </c>
      <c r="Q34" s="552">
        <v>0</v>
      </c>
      <c r="R34" s="552">
        <v>0</v>
      </c>
      <c r="S34" s="552">
        <v>0</v>
      </c>
      <c r="T34" s="552">
        <f>S34</f>
        <v>0</v>
      </c>
      <c r="U34" s="552">
        <f t="shared" ref="U34:AC34" si="18">T34</f>
        <v>0</v>
      </c>
      <c r="V34" s="552">
        <f t="shared" si="18"/>
        <v>0</v>
      </c>
      <c r="W34" s="552">
        <f t="shared" si="18"/>
        <v>0</v>
      </c>
      <c r="X34" s="552">
        <f t="shared" si="18"/>
        <v>0</v>
      </c>
      <c r="Y34" s="552">
        <f t="shared" si="18"/>
        <v>0</v>
      </c>
      <c r="Z34" s="552">
        <f t="shared" si="18"/>
        <v>0</v>
      </c>
      <c r="AA34" s="552">
        <f t="shared" si="18"/>
        <v>0</v>
      </c>
      <c r="AB34" s="552">
        <f t="shared" si="18"/>
        <v>0</v>
      </c>
      <c r="AC34" s="552">
        <f t="shared" si="18"/>
        <v>0</v>
      </c>
      <c r="AD34" s="203"/>
      <c r="AE34" s="203"/>
      <c r="AF34" s="203"/>
      <c r="AG34" s="203"/>
      <c r="AH34" s="203"/>
    </row>
    <row r="35" spans="2:34">
      <c r="B35" s="524" t="s">
        <v>298</v>
      </c>
      <c r="F35" s="203">
        <v>0</v>
      </c>
      <c r="G35" s="552">
        <v>19935</v>
      </c>
      <c r="H35" s="552">
        <v>0</v>
      </c>
      <c r="I35" s="556">
        <v>0</v>
      </c>
      <c r="J35" s="557">
        <v>0</v>
      </c>
      <c r="K35" s="557">
        <v>0</v>
      </c>
      <c r="L35" s="555">
        <f t="shared" si="17"/>
        <v>0</v>
      </c>
      <c r="M35" s="552">
        <v>0</v>
      </c>
      <c r="N35" s="552">
        <v>0</v>
      </c>
      <c r="O35" s="552">
        <v>0</v>
      </c>
      <c r="P35" s="552">
        <v>0</v>
      </c>
      <c r="Q35" s="552">
        <v>0</v>
      </c>
      <c r="R35" s="552">
        <v>0</v>
      </c>
      <c r="S35" s="552">
        <v>0</v>
      </c>
      <c r="T35" s="552">
        <f>S35</f>
        <v>0</v>
      </c>
      <c r="U35" s="552">
        <f t="shared" ref="U35:AC35" si="19">T35</f>
        <v>0</v>
      </c>
      <c r="V35" s="552">
        <f t="shared" si="19"/>
        <v>0</v>
      </c>
      <c r="W35" s="552">
        <f t="shared" si="19"/>
        <v>0</v>
      </c>
      <c r="X35" s="552">
        <f t="shared" si="19"/>
        <v>0</v>
      </c>
      <c r="Y35" s="552">
        <f t="shared" si="19"/>
        <v>0</v>
      </c>
      <c r="Z35" s="552">
        <f t="shared" si="19"/>
        <v>0</v>
      </c>
      <c r="AA35" s="552">
        <f t="shared" si="19"/>
        <v>0</v>
      </c>
      <c r="AB35" s="552">
        <f t="shared" si="19"/>
        <v>0</v>
      </c>
      <c r="AC35" s="552">
        <f t="shared" si="19"/>
        <v>0</v>
      </c>
      <c r="AD35" s="203"/>
      <c r="AE35" s="203"/>
      <c r="AF35" s="203"/>
      <c r="AG35" s="203"/>
      <c r="AH35" s="203"/>
    </row>
    <row r="36" spans="2:34">
      <c r="B36" s="524" t="s">
        <v>432</v>
      </c>
      <c r="F36" s="203">
        <v>0</v>
      </c>
      <c r="G36" s="552">
        <v>0</v>
      </c>
      <c r="H36" s="552">
        <v>86825</v>
      </c>
      <c r="I36" s="556">
        <v>129166</v>
      </c>
      <c r="J36" s="557">
        <v>0</v>
      </c>
      <c r="K36" s="557">
        <f>129174-J36-I36</f>
        <v>8</v>
      </c>
      <c r="L36" s="555">
        <f t="shared" si="17"/>
        <v>0</v>
      </c>
      <c r="M36" s="552">
        <v>129174</v>
      </c>
      <c r="N36" s="552">
        <f>'XLRN - BS'!M119</f>
        <v>0</v>
      </c>
      <c r="O36" s="552">
        <f>'XLRN - BS'!N119</f>
        <v>140400</v>
      </c>
      <c r="P36" s="552">
        <f>'XLRN - BS'!O119</f>
        <v>215800</v>
      </c>
      <c r="Q36" s="552">
        <f>'XLRN - BS'!P119</f>
        <v>0</v>
      </c>
      <c r="R36" s="552">
        <f>'XLRN - BS'!Q119</f>
        <v>0</v>
      </c>
      <c r="S36" s="552">
        <f>'XLRN - BS'!R119</f>
        <v>0</v>
      </c>
      <c r="T36" s="552">
        <f>'XLRN - BS'!S119</f>
        <v>0</v>
      </c>
      <c r="U36" s="552">
        <f>'XLRN - BS'!T119</f>
        <v>0</v>
      </c>
      <c r="V36" s="552">
        <f>'XLRN - BS'!U119</f>
        <v>0</v>
      </c>
      <c r="W36" s="552">
        <f>'XLRN - BS'!V119</f>
        <v>0</v>
      </c>
      <c r="X36" s="552">
        <f>'XLRN - BS'!W119</f>
        <v>0</v>
      </c>
      <c r="Y36" s="552">
        <f>'XLRN - BS'!X119</f>
        <v>0</v>
      </c>
      <c r="Z36" s="552">
        <f>'XLRN - BS'!Y119</f>
        <v>0</v>
      </c>
      <c r="AA36" s="552">
        <f>'XLRN - BS'!Z119</f>
        <v>0</v>
      </c>
      <c r="AB36" s="552">
        <f>'XLRN - BS'!AA119</f>
        <v>0</v>
      </c>
      <c r="AC36" s="552">
        <f>'XLRN - BS'!AB119</f>
        <v>0</v>
      </c>
      <c r="AD36" s="203"/>
      <c r="AE36" s="203"/>
      <c r="AF36" s="203"/>
      <c r="AG36" s="203"/>
      <c r="AH36" s="203"/>
    </row>
    <row r="37" spans="2:34">
      <c r="B37" s="524" t="s">
        <v>299</v>
      </c>
      <c r="F37" s="203">
        <v>0</v>
      </c>
      <c r="G37" s="552">
        <v>0</v>
      </c>
      <c r="H37" s="552">
        <v>10000</v>
      </c>
      <c r="I37" s="556">
        <v>0</v>
      </c>
      <c r="J37" s="557">
        <v>0</v>
      </c>
      <c r="K37" s="557">
        <v>0</v>
      </c>
      <c r="L37" s="555">
        <f t="shared" si="17"/>
        <v>0</v>
      </c>
      <c r="M37" s="552">
        <v>0</v>
      </c>
      <c r="N37" s="552">
        <v>0</v>
      </c>
      <c r="O37" s="552">
        <v>0</v>
      </c>
      <c r="P37" s="552">
        <v>0</v>
      </c>
      <c r="Q37" s="552">
        <v>0</v>
      </c>
      <c r="R37" s="552">
        <v>0</v>
      </c>
      <c r="S37" s="552">
        <v>0</v>
      </c>
      <c r="T37" s="552">
        <v>0</v>
      </c>
      <c r="U37" s="552">
        <v>0</v>
      </c>
      <c r="V37" s="552">
        <v>0</v>
      </c>
      <c r="W37" s="552">
        <v>0</v>
      </c>
      <c r="X37" s="552">
        <v>0</v>
      </c>
      <c r="Y37" s="552">
        <v>0</v>
      </c>
      <c r="Z37" s="552">
        <v>0</v>
      </c>
      <c r="AA37" s="552">
        <v>0</v>
      </c>
      <c r="AB37" s="552">
        <v>0</v>
      </c>
      <c r="AC37" s="552">
        <v>0</v>
      </c>
      <c r="AD37" s="203"/>
      <c r="AE37" s="203"/>
      <c r="AF37" s="203"/>
      <c r="AG37" s="203"/>
      <c r="AH37" s="203"/>
    </row>
    <row r="38" spans="2:34">
      <c r="B38" s="524" t="s">
        <v>300</v>
      </c>
      <c r="F38" s="203">
        <v>-9476</v>
      </c>
      <c r="G38" s="552">
        <v>-6191</v>
      </c>
      <c r="H38" s="552">
        <v>-3669</v>
      </c>
      <c r="I38" s="556">
        <v>-16332</v>
      </c>
      <c r="J38" s="557">
        <v>0</v>
      </c>
      <c r="K38" s="557">
        <f>-16331-J38-I38</f>
        <v>1</v>
      </c>
      <c r="L38" s="555">
        <f t="shared" si="17"/>
        <v>0</v>
      </c>
      <c r="M38" s="552">
        <v>-16331</v>
      </c>
      <c r="N38" s="552">
        <v>0</v>
      </c>
      <c r="O38" s="552">
        <v>0</v>
      </c>
      <c r="P38" s="552">
        <v>0</v>
      </c>
      <c r="Q38" s="552">
        <v>0</v>
      </c>
      <c r="R38" s="552">
        <v>0</v>
      </c>
      <c r="S38" s="552">
        <v>0</v>
      </c>
      <c r="T38" s="552">
        <f>S38</f>
        <v>0</v>
      </c>
      <c r="U38" s="552">
        <f t="shared" ref="U38:AC38" si="20">T38</f>
        <v>0</v>
      </c>
      <c r="V38" s="552">
        <f t="shared" si="20"/>
        <v>0</v>
      </c>
      <c r="W38" s="552">
        <f t="shared" si="20"/>
        <v>0</v>
      </c>
      <c r="X38" s="552">
        <f t="shared" si="20"/>
        <v>0</v>
      </c>
      <c r="Y38" s="552">
        <f t="shared" si="20"/>
        <v>0</v>
      </c>
      <c r="Z38" s="552">
        <f t="shared" si="20"/>
        <v>0</v>
      </c>
      <c r="AA38" s="552">
        <f t="shared" si="20"/>
        <v>0</v>
      </c>
      <c r="AB38" s="552">
        <f t="shared" si="20"/>
        <v>0</v>
      </c>
      <c r="AC38" s="552">
        <f t="shared" si="20"/>
        <v>0</v>
      </c>
      <c r="AD38" s="203"/>
      <c r="AE38" s="203"/>
      <c r="AF38" s="203"/>
      <c r="AG38" s="203"/>
      <c r="AH38" s="203"/>
    </row>
    <row r="39" spans="2:34">
      <c r="B39" s="524" t="s">
        <v>488</v>
      </c>
      <c r="F39" s="203">
        <v>0</v>
      </c>
      <c r="G39" s="552">
        <v>0</v>
      </c>
      <c r="H39" s="552">
        <v>-300</v>
      </c>
      <c r="I39" s="556">
        <v>0</v>
      </c>
      <c r="J39" s="557">
        <v>0</v>
      </c>
      <c r="K39" s="557">
        <v>0</v>
      </c>
      <c r="L39" s="555">
        <f t="shared" si="17"/>
        <v>0</v>
      </c>
      <c r="M39" s="552">
        <v>0</v>
      </c>
      <c r="N39" s="552">
        <v>0</v>
      </c>
      <c r="O39" s="552">
        <v>0</v>
      </c>
      <c r="P39" s="552">
        <v>0</v>
      </c>
      <c r="Q39" s="552">
        <v>0</v>
      </c>
      <c r="R39" s="552">
        <v>0</v>
      </c>
      <c r="S39" s="552">
        <v>0</v>
      </c>
      <c r="T39" s="552">
        <f>S39</f>
        <v>0</v>
      </c>
      <c r="U39" s="552">
        <f t="shared" ref="U39:AC39" si="21">T39</f>
        <v>0</v>
      </c>
      <c r="V39" s="552">
        <f t="shared" si="21"/>
        <v>0</v>
      </c>
      <c r="W39" s="552">
        <f t="shared" si="21"/>
        <v>0</v>
      </c>
      <c r="X39" s="552">
        <f t="shared" si="21"/>
        <v>0</v>
      </c>
      <c r="Y39" s="552">
        <f t="shared" si="21"/>
        <v>0</v>
      </c>
      <c r="Z39" s="552">
        <f t="shared" si="21"/>
        <v>0</v>
      </c>
      <c r="AA39" s="552">
        <f t="shared" si="21"/>
        <v>0</v>
      </c>
      <c r="AB39" s="552">
        <f t="shared" si="21"/>
        <v>0</v>
      </c>
      <c r="AC39" s="552">
        <f t="shared" si="21"/>
        <v>0</v>
      </c>
      <c r="AD39" s="203"/>
      <c r="AE39" s="203"/>
      <c r="AF39" s="203"/>
      <c r="AG39" s="203"/>
      <c r="AH39" s="203"/>
    </row>
    <row r="40" spans="2:34">
      <c r="B40" s="524" t="s">
        <v>489</v>
      </c>
      <c r="F40" s="203">
        <v>190</v>
      </c>
      <c r="G40" s="552">
        <v>155</v>
      </c>
      <c r="H40" s="552">
        <v>653</v>
      </c>
      <c r="I40" s="556">
        <v>760</v>
      </c>
      <c r="J40" s="557">
        <f>1877-I40</f>
        <v>1117</v>
      </c>
      <c r="K40" s="557">
        <f>3349-J40-I40</f>
        <v>1472</v>
      </c>
      <c r="L40" s="555">
        <f t="shared" si="17"/>
        <v>839</v>
      </c>
      <c r="M40" s="552">
        <v>4188</v>
      </c>
      <c r="N40" s="552">
        <f>'XLRN - BS'!M113</f>
        <v>7241.7599999999993</v>
      </c>
      <c r="O40" s="552">
        <f>'XLRN - BS'!N113</f>
        <v>9410.6671199999982</v>
      </c>
      <c r="P40" s="552">
        <f>'XLRN - BS'!O113</f>
        <v>11688.048563039996</v>
      </c>
      <c r="Q40" s="552">
        <f>'XLRN - BS'!P113</f>
        <v>8652.8084518255455</v>
      </c>
      <c r="R40" s="552">
        <f>'XLRN - BS'!Q113</f>
        <v>9900.9760710013798</v>
      </c>
      <c r="S40" s="552">
        <f>'XLRN - BS'!R113</f>
        <v>11215.330644426811</v>
      </c>
      <c r="T40" s="552">
        <f>'XLRN - BS'!S113</f>
        <v>12704.165787474465</v>
      </c>
      <c r="U40" s="552">
        <f>'XLRN - BS'!T113</f>
        <v>14390.6437957617</v>
      </c>
      <c r="V40" s="552">
        <f>'XLRN - BS'!U113</f>
        <v>16301.001759649065</v>
      </c>
      <c r="W40" s="552">
        <f>'XLRN - BS'!V113</f>
        <v>18464.959743242478</v>
      </c>
      <c r="X40" s="552">
        <f>'XLRN - BS'!W113</f>
        <v>20916.183149157914</v>
      </c>
      <c r="Y40" s="552">
        <f>'XLRN - BS'!X113</f>
        <v>23692.806462208628</v>
      </c>
      <c r="Z40" s="552">
        <f>'XLRN - BS'!Y113</f>
        <v>26838.026520066822</v>
      </c>
      <c r="AA40" s="552">
        <f>'XLRN - BS'!Z113</f>
        <v>30400.774540605693</v>
      </c>
      <c r="AB40" s="552">
        <f>'XLRN - BS'!AA113</f>
        <v>34436.477360871097</v>
      </c>
      <c r="AC40" s="552">
        <f>'XLRN - BS'!AB113</f>
        <v>39007.919730526744</v>
      </c>
      <c r="AD40" s="203"/>
      <c r="AE40" s="203"/>
      <c r="AF40" s="203"/>
      <c r="AG40" s="203"/>
      <c r="AH40" s="203"/>
    </row>
    <row r="41" spans="2:34">
      <c r="B41" s="519" t="s">
        <v>301</v>
      </c>
      <c r="C41" s="224"/>
      <c r="D41" s="224"/>
      <c r="E41" s="224"/>
      <c r="F41" s="223">
        <f>SUM(F34:F40)</f>
        <v>21092</v>
      </c>
      <c r="G41" s="558">
        <f t="shared" ref="G41:L41" si="22">SUM(G34:G40)</f>
        <v>13899</v>
      </c>
      <c r="H41" s="558">
        <f t="shared" si="22"/>
        <v>93509</v>
      </c>
      <c r="I41" s="559">
        <f t="shared" si="22"/>
        <v>113594</v>
      </c>
      <c r="J41" s="560">
        <f t="shared" si="22"/>
        <v>1117</v>
      </c>
      <c r="K41" s="560">
        <f t="shared" si="22"/>
        <v>1481</v>
      </c>
      <c r="L41" s="561">
        <f t="shared" si="22"/>
        <v>839</v>
      </c>
      <c r="M41" s="558">
        <f>SUM(M34:M40)</f>
        <v>117031</v>
      </c>
      <c r="N41" s="558">
        <f>SUM(N34:N40)</f>
        <v>7241.7599999999993</v>
      </c>
      <c r="O41" s="558">
        <f t="shared" ref="O41:T41" si="23">SUM(O34:O40)</f>
        <v>149810.66712</v>
      </c>
      <c r="P41" s="558">
        <f t="shared" si="23"/>
        <v>227488.04856304001</v>
      </c>
      <c r="Q41" s="558">
        <f t="shared" si="23"/>
        <v>8652.8084518255455</v>
      </c>
      <c r="R41" s="558">
        <f t="shared" si="23"/>
        <v>9900.9760710013798</v>
      </c>
      <c r="S41" s="558">
        <f t="shared" si="23"/>
        <v>11215.330644426811</v>
      </c>
      <c r="T41" s="558">
        <f t="shared" si="23"/>
        <v>12704.165787474465</v>
      </c>
      <c r="U41" s="558">
        <f t="shared" ref="U41:AC41" si="24">SUM(U34:U40)</f>
        <v>14390.6437957617</v>
      </c>
      <c r="V41" s="558">
        <f t="shared" si="24"/>
        <v>16301.001759649065</v>
      </c>
      <c r="W41" s="558">
        <f t="shared" si="24"/>
        <v>18464.959743242478</v>
      </c>
      <c r="X41" s="558">
        <f t="shared" si="24"/>
        <v>20916.183149157914</v>
      </c>
      <c r="Y41" s="558">
        <f t="shared" si="24"/>
        <v>23692.806462208628</v>
      </c>
      <c r="Z41" s="558">
        <f t="shared" si="24"/>
        <v>26838.026520066822</v>
      </c>
      <c r="AA41" s="558">
        <f t="shared" si="24"/>
        <v>30400.774540605693</v>
      </c>
      <c r="AB41" s="558">
        <f t="shared" si="24"/>
        <v>34436.477360871097</v>
      </c>
      <c r="AC41" s="558">
        <f t="shared" si="24"/>
        <v>39007.919730526744</v>
      </c>
      <c r="AD41" s="205"/>
      <c r="AE41" s="205"/>
      <c r="AF41" s="205"/>
      <c r="AG41" s="205"/>
      <c r="AH41" s="205"/>
    </row>
    <row r="42" spans="2:34" ht="8.1" customHeight="1">
      <c r="B42" s="531"/>
      <c r="F42" s="238"/>
      <c r="G42" s="562"/>
      <c r="H42" s="562"/>
      <c r="I42" s="563"/>
      <c r="J42" s="564"/>
      <c r="K42" s="564"/>
      <c r="L42" s="565"/>
      <c r="M42" s="562"/>
      <c r="N42" s="562"/>
      <c r="O42" s="562"/>
      <c r="P42" s="562"/>
      <c r="Q42" s="562"/>
      <c r="R42" s="562"/>
      <c r="S42" s="562"/>
      <c r="T42" s="562"/>
      <c r="U42" s="562"/>
      <c r="V42" s="562"/>
      <c r="W42" s="562"/>
      <c r="X42" s="562"/>
      <c r="Y42" s="562"/>
      <c r="Z42" s="562"/>
      <c r="AA42" s="562"/>
      <c r="AB42" s="562"/>
      <c r="AC42" s="562"/>
      <c r="AD42" s="238"/>
      <c r="AE42" s="238"/>
      <c r="AF42" s="238"/>
      <c r="AG42" s="238"/>
      <c r="AH42" s="238"/>
    </row>
    <row r="43" spans="2:34">
      <c r="B43" s="531" t="s">
        <v>302</v>
      </c>
      <c r="D43" s="203"/>
      <c r="E43" s="203"/>
      <c r="F43" s="203">
        <f t="shared" ref="F43:S43" si="25">F26+F31+F41</f>
        <v>30121</v>
      </c>
      <c r="G43" s="552">
        <f t="shared" si="25"/>
        <v>-25426</v>
      </c>
      <c r="H43" s="552">
        <f t="shared" si="25"/>
        <v>73552</v>
      </c>
      <c r="I43" s="556">
        <f t="shared" si="25"/>
        <v>100972</v>
      </c>
      <c r="J43" s="557">
        <f t="shared" si="25"/>
        <v>-14885</v>
      </c>
      <c r="K43" s="557">
        <f t="shared" si="25"/>
        <v>-9994</v>
      </c>
      <c r="L43" s="555">
        <f t="shared" si="25"/>
        <v>-12796</v>
      </c>
      <c r="M43" s="552">
        <f t="shared" si="25"/>
        <v>63297</v>
      </c>
      <c r="N43" s="552">
        <f t="shared" si="25"/>
        <v>-49324.119999999995</v>
      </c>
      <c r="O43" s="552">
        <f t="shared" si="25"/>
        <v>111995.57212</v>
      </c>
      <c r="P43" s="552">
        <f t="shared" si="25"/>
        <v>146017.91606304003</v>
      </c>
      <c r="Q43" s="552">
        <f t="shared" si="25"/>
        <v>-108583.23904817447</v>
      </c>
      <c r="R43" s="552">
        <f t="shared" si="25"/>
        <v>21683.17100150582</v>
      </c>
      <c r="S43" s="552">
        <f t="shared" si="25"/>
        <v>-27449.331855380879</v>
      </c>
      <c r="T43" s="552">
        <f t="shared" ref="T43:AC43" si="26">T26+T31+T41</f>
        <v>-2211.3992690673858</v>
      </c>
      <c r="U43" s="552">
        <f t="shared" si="26"/>
        <v>54607.275322529742</v>
      </c>
      <c r="V43" s="552">
        <f t="shared" si="26"/>
        <v>74378.665814533801</v>
      </c>
      <c r="W43" s="552">
        <f t="shared" si="26"/>
        <v>98093.298861991439</v>
      </c>
      <c r="X43" s="552">
        <f t="shared" si="26"/>
        <v>95936.923017804307</v>
      </c>
      <c r="Y43" s="552">
        <f t="shared" si="26"/>
        <v>109847.1477831657</v>
      </c>
      <c r="Z43" s="552">
        <f t="shared" si="26"/>
        <v>102373.78111425997</v>
      </c>
      <c r="AA43" s="552">
        <f t="shared" si="26"/>
        <v>99347.92157518481</v>
      </c>
      <c r="AB43" s="552">
        <f t="shared" si="26"/>
        <v>103989.24753205464</v>
      </c>
      <c r="AC43" s="552">
        <f t="shared" si="26"/>
        <v>103596.34482396438</v>
      </c>
      <c r="AD43" s="203"/>
      <c r="AE43" s="203"/>
      <c r="AF43" s="203"/>
      <c r="AG43" s="203"/>
      <c r="AH43" s="203"/>
    </row>
    <row r="44" spans="2:34">
      <c r="B44" s="531" t="s">
        <v>303</v>
      </c>
      <c r="D44" s="203"/>
      <c r="E44" s="203"/>
      <c r="F44" s="203">
        <v>34916</v>
      </c>
      <c r="G44" s="552">
        <f t="shared" ref="G44:L44" si="27">F46</f>
        <v>65037</v>
      </c>
      <c r="H44" s="552">
        <f t="shared" si="27"/>
        <v>39611</v>
      </c>
      <c r="I44" s="556">
        <f t="shared" si="27"/>
        <v>113163</v>
      </c>
      <c r="J44" s="557">
        <f t="shared" si="27"/>
        <v>214135</v>
      </c>
      <c r="K44" s="557">
        <f t="shared" si="27"/>
        <v>199250</v>
      </c>
      <c r="L44" s="555">
        <f t="shared" si="27"/>
        <v>189256</v>
      </c>
      <c r="M44" s="552">
        <f>I44</f>
        <v>113163</v>
      </c>
      <c r="N44" s="552">
        <f t="shared" ref="N44:S44" si="28">M46</f>
        <v>176460</v>
      </c>
      <c r="O44" s="552">
        <f t="shared" si="28"/>
        <v>127135.88</v>
      </c>
      <c r="P44" s="552">
        <f t="shared" si="28"/>
        <v>239131.45212</v>
      </c>
      <c r="Q44" s="552">
        <f t="shared" si="28"/>
        <v>385149.36818304006</v>
      </c>
      <c r="R44" s="552">
        <f t="shared" si="28"/>
        <v>276566.12913486559</v>
      </c>
      <c r="S44" s="552">
        <f t="shared" si="28"/>
        <v>298249.3001363714</v>
      </c>
      <c r="T44" s="552">
        <f t="shared" ref="T44:AC44" si="29">S46</f>
        <v>270799.96828099049</v>
      </c>
      <c r="U44" s="552">
        <f t="shared" si="29"/>
        <v>268588.5690119231</v>
      </c>
      <c r="V44" s="552">
        <f t="shared" si="29"/>
        <v>323195.84433445282</v>
      </c>
      <c r="W44" s="552">
        <f t="shared" si="29"/>
        <v>397574.51014898659</v>
      </c>
      <c r="X44" s="552">
        <f t="shared" si="29"/>
        <v>495667.80901097803</v>
      </c>
      <c r="Y44" s="552">
        <f t="shared" si="29"/>
        <v>591604.73202878237</v>
      </c>
      <c r="Z44" s="552">
        <f t="shared" si="29"/>
        <v>701451.87981194805</v>
      </c>
      <c r="AA44" s="552">
        <f t="shared" si="29"/>
        <v>803825.66092620802</v>
      </c>
      <c r="AB44" s="552">
        <f t="shared" si="29"/>
        <v>903173.58250139281</v>
      </c>
      <c r="AC44" s="552">
        <f t="shared" si="29"/>
        <v>1007162.8300334475</v>
      </c>
      <c r="AD44" s="203"/>
      <c r="AE44" s="203"/>
      <c r="AF44" s="203"/>
      <c r="AG44" s="203"/>
      <c r="AH44" s="203"/>
    </row>
    <row r="45" spans="2:34" ht="8.1" customHeight="1">
      <c r="B45" s="525"/>
      <c r="F45" s="238"/>
      <c r="G45" s="562"/>
      <c r="H45" s="562"/>
      <c r="I45" s="563"/>
      <c r="J45" s="564"/>
      <c r="K45" s="564"/>
      <c r="L45" s="565"/>
      <c r="M45" s="562"/>
      <c r="N45" s="562"/>
      <c r="O45" s="562"/>
      <c r="P45" s="562"/>
      <c r="Q45" s="562"/>
      <c r="R45" s="562"/>
      <c r="S45" s="562"/>
      <c r="T45" s="562"/>
      <c r="U45" s="562"/>
      <c r="V45" s="562"/>
      <c r="W45" s="562"/>
      <c r="X45" s="562"/>
      <c r="Y45" s="562"/>
      <c r="Z45" s="562"/>
      <c r="AA45" s="562"/>
      <c r="AB45" s="562"/>
      <c r="AC45" s="562"/>
      <c r="AD45" s="238"/>
      <c r="AE45" s="238"/>
      <c r="AF45" s="238"/>
      <c r="AG45" s="238"/>
      <c r="AH45" s="238"/>
    </row>
    <row r="46" spans="2:34">
      <c r="B46" s="532" t="s">
        <v>304</v>
      </c>
      <c r="C46" s="224"/>
      <c r="D46" s="223"/>
      <c r="E46" s="223"/>
      <c r="F46" s="223">
        <f t="shared" ref="F46:M46" si="30">F44+F43</f>
        <v>65037</v>
      </c>
      <c r="G46" s="558">
        <f t="shared" si="30"/>
        <v>39611</v>
      </c>
      <c r="H46" s="558">
        <f t="shared" si="30"/>
        <v>113163</v>
      </c>
      <c r="I46" s="559">
        <f t="shared" si="30"/>
        <v>214135</v>
      </c>
      <c r="J46" s="560">
        <f t="shared" si="30"/>
        <v>199250</v>
      </c>
      <c r="K46" s="560">
        <f t="shared" si="30"/>
        <v>189256</v>
      </c>
      <c r="L46" s="561">
        <f t="shared" si="30"/>
        <v>176460</v>
      </c>
      <c r="M46" s="558">
        <f t="shared" si="30"/>
        <v>176460</v>
      </c>
      <c r="N46" s="558">
        <f t="shared" ref="N46:S46" si="31">N44+N43</f>
        <v>127135.88</v>
      </c>
      <c r="O46" s="558">
        <f t="shared" si="31"/>
        <v>239131.45212</v>
      </c>
      <c r="P46" s="558">
        <f t="shared" si="31"/>
        <v>385149.36818304006</v>
      </c>
      <c r="Q46" s="558">
        <f t="shared" si="31"/>
        <v>276566.12913486559</v>
      </c>
      <c r="R46" s="558">
        <f t="shared" si="31"/>
        <v>298249.3001363714</v>
      </c>
      <c r="S46" s="558">
        <f t="shared" si="31"/>
        <v>270799.96828099049</v>
      </c>
      <c r="T46" s="558">
        <f t="shared" ref="T46:AC46" si="32">T44+T43</f>
        <v>268588.5690119231</v>
      </c>
      <c r="U46" s="558">
        <f t="shared" si="32"/>
        <v>323195.84433445282</v>
      </c>
      <c r="V46" s="558">
        <f t="shared" si="32"/>
        <v>397574.51014898659</v>
      </c>
      <c r="W46" s="558">
        <f t="shared" si="32"/>
        <v>495667.80901097803</v>
      </c>
      <c r="X46" s="558">
        <f t="shared" si="32"/>
        <v>591604.73202878237</v>
      </c>
      <c r="Y46" s="558">
        <f t="shared" si="32"/>
        <v>701451.87981194805</v>
      </c>
      <c r="Z46" s="558">
        <f t="shared" si="32"/>
        <v>803825.66092620802</v>
      </c>
      <c r="AA46" s="558">
        <f t="shared" si="32"/>
        <v>903173.58250139281</v>
      </c>
      <c r="AB46" s="558">
        <f t="shared" si="32"/>
        <v>1007162.8300334475</v>
      </c>
      <c r="AC46" s="558">
        <f t="shared" si="32"/>
        <v>1110759.1748574118</v>
      </c>
      <c r="AD46" s="205"/>
      <c r="AE46" s="205"/>
      <c r="AF46" s="205"/>
      <c r="AG46" s="205"/>
      <c r="AH46" s="205"/>
    </row>
    <row r="52" spans="2:2">
      <c r="B52" s="371"/>
    </row>
    <row r="53" spans="2:2">
      <c r="B53" s="371"/>
    </row>
    <row r="54" spans="2:2">
      <c r="B54" s="371"/>
    </row>
    <row r="55" spans="2:2">
      <c r="B55" s="371"/>
    </row>
    <row r="57" spans="2:2" customFormat="1" hidden="1" outlineLevel="1"/>
    <row r="58" spans="2:2" collapsed="1"/>
    <row r="108" spans="6:6">
      <c r="F108" s="160"/>
    </row>
    <row r="113" spans="6:9">
      <c r="F113" s="160"/>
    </row>
    <row r="114" spans="6:9">
      <c r="F114" s="160"/>
    </row>
    <row r="115" spans="6:9">
      <c r="F115" s="160">
        <f>NPV($D$147,E89:H89)</f>
        <v>0</v>
      </c>
      <c r="I115" s="167">
        <f>H115*NPV($D$147,E91:H91)</f>
        <v>0</v>
      </c>
    </row>
    <row r="116" spans="6:9">
      <c r="F116" s="160"/>
    </row>
    <row r="117" spans="6:9">
      <c r="F117" s="160">
        <f>NPV($D$147,E93:I93)</f>
        <v>0</v>
      </c>
      <c r="I117" s="167">
        <f>H117*NPV($D$147,E93:I93)</f>
        <v>0</v>
      </c>
    </row>
    <row r="118" spans="6:9">
      <c r="F118" s="160"/>
    </row>
    <row r="119" spans="6:9">
      <c r="F119" s="160">
        <f>NPV($D$147,E95:I95)</f>
        <v>0</v>
      </c>
      <c r="I119" s="167">
        <f>H119*NPV($D$147,E95:I95)</f>
        <v>0</v>
      </c>
    </row>
    <row r="122" spans="6:9">
      <c r="F122" s="160">
        <f>NPV($D$147,E98:L98)</f>
        <v>0</v>
      </c>
      <c r="I122" s="167">
        <f>H122*NPV($D$147,E98:L98)</f>
        <v>0</v>
      </c>
    </row>
    <row r="123" spans="6:9">
      <c r="F123" s="160">
        <f>NPV($D$147,E99:O99)</f>
        <v>0</v>
      </c>
      <c r="I123" s="167">
        <f>H123*NPV($D$147,E99:O99)</f>
        <v>0</v>
      </c>
    </row>
    <row r="127" spans="6:9">
      <c r="F127" s="167">
        <f>SUM(F107:F126)</f>
        <v>0</v>
      </c>
    </row>
  </sheetData>
  <mergeCells count="1">
    <mergeCell ref="I4:L4"/>
  </mergeCells>
  <pageMargins left="0" right="0" top="0" bottom="0" header="0" footer="0"/>
  <pageSetup paperSize="5" scale="33" orientation="landscape" r:id="rId1"/>
  <ignoredErrors>
    <ignoredError sqref="M1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pageSetUpPr fitToPage="1"/>
  </sheetPr>
  <dimension ref="A1:L82"/>
  <sheetViews>
    <sheetView zoomScale="85" zoomScaleNormal="85" zoomScalePageLayoutView="75" workbookViewId="0"/>
  </sheetViews>
  <sheetFormatPr defaultColWidth="8.85546875" defaultRowHeight="15" outlineLevelRow="1"/>
  <cols>
    <col min="1" max="1" width="6.42578125" style="114" customWidth="1"/>
    <col min="2" max="2" width="42.28515625" style="114" customWidth="1"/>
    <col min="3" max="3" width="16.5703125" style="114" customWidth="1"/>
    <col min="4" max="4" width="17.42578125" style="163" customWidth="1"/>
    <col min="5" max="5" width="16.42578125" style="114" customWidth="1"/>
    <col min="6" max="6" width="17.5703125" style="114" customWidth="1"/>
    <col min="7" max="7" width="13.85546875" style="114" customWidth="1"/>
    <col min="8" max="8" width="18.140625" style="167" customWidth="1"/>
    <col min="9" max="9" width="17.7109375" style="114" customWidth="1"/>
    <col min="10" max="11" width="8.85546875" style="114"/>
    <col min="12" max="12" width="11.28515625" style="114" bestFit="1" customWidth="1"/>
    <col min="13" max="16384" width="8.85546875" style="114"/>
  </cols>
  <sheetData>
    <row r="1" spans="2:9" ht="15.75" thickBot="1"/>
    <row r="2" spans="2:9" ht="21.75" thickBot="1">
      <c r="B2" s="717" t="s">
        <v>312</v>
      </c>
      <c r="C2" s="718"/>
      <c r="D2" s="718"/>
      <c r="E2" s="718"/>
      <c r="F2" s="718"/>
      <c r="G2" s="718"/>
      <c r="H2" s="718"/>
      <c r="I2" s="719"/>
    </row>
    <row r="3" spans="2:9">
      <c r="B3" s="163"/>
      <c r="C3" s="163"/>
      <c r="E3" s="163"/>
      <c r="F3" s="163"/>
      <c r="G3" s="163"/>
      <c r="I3" s="163"/>
    </row>
    <row r="4" spans="2:9" ht="31.5">
      <c r="B4" s="296" t="s">
        <v>16</v>
      </c>
      <c r="C4" s="297" t="s">
        <v>459</v>
      </c>
      <c r="D4" s="297" t="s">
        <v>460</v>
      </c>
      <c r="E4" s="297" t="s">
        <v>480</v>
      </c>
      <c r="F4" s="297" t="s">
        <v>219</v>
      </c>
      <c r="G4" s="297" t="s">
        <v>202</v>
      </c>
      <c r="H4" s="297" t="s">
        <v>485</v>
      </c>
      <c r="I4" s="297" t="s">
        <v>203</v>
      </c>
    </row>
    <row r="5" spans="2:9" s="167" customFormat="1" ht="15.75">
      <c r="B5" s="639" t="s">
        <v>461</v>
      </c>
      <c r="C5" s="640"/>
      <c r="D5" s="640"/>
      <c r="E5" s="640"/>
      <c r="F5" s="640"/>
      <c r="G5" s="640"/>
      <c r="H5" s="640"/>
      <c r="I5" s="640"/>
    </row>
    <row r="6" spans="2:9" ht="15.75">
      <c r="B6" s="653" t="s">
        <v>522</v>
      </c>
      <c r="C6" s="269">
        <f>MAX(Royalties!C43:V43)/1000</f>
        <v>2721204.2251593084</v>
      </c>
      <c r="D6" s="269">
        <f>SOP!C14</f>
        <v>1307219.8571855118</v>
      </c>
      <c r="E6" s="270">
        <f>SOP!C15</f>
        <v>0.75</v>
      </c>
      <c r="F6" s="271">
        <f>SOP!C16</f>
        <v>980414.89288913389</v>
      </c>
      <c r="G6" s="272">
        <v>2018</v>
      </c>
      <c r="H6" s="676">
        <f>SOP!C19</f>
        <v>0.122</v>
      </c>
      <c r="I6" s="409">
        <f>SOP!C17</f>
        <v>21.738689421045098</v>
      </c>
    </row>
    <row r="7" spans="2:9" s="167" customFormat="1" ht="15.75">
      <c r="B7" s="653" t="s">
        <v>523</v>
      </c>
      <c r="C7" s="269">
        <f>SOP!S36</f>
        <v>1250118.6690522833</v>
      </c>
      <c r="D7" s="269">
        <f>SOP!C37</f>
        <v>632027.16873290541</v>
      </c>
      <c r="E7" s="270">
        <f>SOP!C38</f>
        <v>0.55000000000000004</v>
      </c>
      <c r="F7" s="271">
        <f>SOP!C39</f>
        <v>347614.94280309801</v>
      </c>
      <c r="G7" s="272">
        <v>2020</v>
      </c>
      <c r="H7" s="676">
        <f>SOP!C42</f>
        <v>0.1535</v>
      </c>
      <c r="I7" s="409">
        <f>SOP!C40</f>
        <v>7.7076483991817737</v>
      </c>
    </row>
    <row r="8" spans="2:9" s="163" customFormat="1" ht="15.75">
      <c r="B8" s="653" t="s">
        <v>335</v>
      </c>
      <c r="C8" s="269">
        <f>MAX(Royalties!C44:V44)/1000</f>
        <v>744088.6823759086</v>
      </c>
      <c r="D8" s="269">
        <f>SOP!C54</f>
        <v>374391.05459381326</v>
      </c>
      <c r="E8" s="270">
        <f>SOP!C55</f>
        <v>0.75</v>
      </c>
      <c r="F8" s="271">
        <f>SOP!C56</f>
        <v>280793.29094535997</v>
      </c>
      <c r="G8" s="272">
        <v>2018</v>
      </c>
      <c r="H8" s="676">
        <f>SOP!C59</f>
        <v>0.1221</v>
      </c>
      <c r="I8" s="409">
        <f>SOP!C57</f>
        <v>6.2260153202962298</v>
      </c>
    </row>
    <row r="9" spans="2:9" s="163" customFormat="1" ht="15.75">
      <c r="B9" s="654" t="s">
        <v>493</v>
      </c>
      <c r="C9" s="273"/>
      <c r="D9" s="273">
        <f>SOP!E95</f>
        <v>106485.6146045044</v>
      </c>
      <c r="E9" s="274" t="s">
        <v>205</v>
      </c>
      <c r="F9" s="275">
        <f>SOP!C98</f>
        <v>83632.509499557476</v>
      </c>
      <c r="G9" s="276" t="s">
        <v>207</v>
      </c>
      <c r="H9" s="676"/>
      <c r="I9" s="410">
        <f>SOP!C99</f>
        <v>1.8543793680611413</v>
      </c>
    </row>
    <row r="10" spans="2:9" ht="15.75">
      <c r="B10" s="653" t="s">
        <v>511</v>
      </c>
      <c r="C10" s="277"/>
      <c r="D10" s="277">
        <v>250000</v>
      </c>
      <c r="E10" s="278"/>
      <c r="F10" s="271">
        <v>250000</v>
      </c>
      <c r="G10" s="272"/>
      <c r="H10" s="676"/>
      <c r="I10" s="411">
        <f>SOP!E233</f>
        <v>5.5432372505543235</v>
      </c>
    </row>
    <row r="11" spans="2:9" s="163" customFormat="1" ht="9.75" customHeight="1">
      <c r="B11" s="655"/>
      <c r="C11" s="279"/>
      <c r="D11" s="279"/>
      <c r="E11" s="280"/>
      <c r="F11" s="275"/>
      <c r="G11" s="276"/>
      <c r="H11" s="676"/>
      <c r="I11" s="412"/>
    </row>
    <row r="12" spans="2:9" s="167" customFormat="1" ht="15.75">
      <c r="B12" s="639" t="s">
        <v>462</v>
      </c>
      <c r="C12" s="640"/>
      <c r="D12" s="640"/>
      <c r="E12" s="640"/>
      <c r="F12" s="640"/>
      <c r="G12" s="640"/>
      <c r="H12" s="640"/>
      <c r="I12" s="640"/>
    </row>
    <row r="13" spans="2:9" s="167" customFormat="1" ht="15.75">
      <c r="B13" s="656" t="s">
        <v>500</v>
      </c>
      <c r="C13" s="277"/>
      <c r="D13" s="277">
        <v>75000</v>
      </c>
      <c r="E13" s="278"/>
      <c r="F13" s="271">
        <f>SOP!C225</f>
        <v>75000</v>
      </c>
      <c r="G13" s="272"/>
      <c r="H13" s="676"/>
      <c r="I13" s="411">
        <f>SOP!C226</f>
        <v>1.6629711751662972</v>
      </c>
    </row>
    <row r="14" spans="2:9" s="167" customFormat="1" ht="6" customHeight="1">
      <c r="B14" s="656"/>
      <c r="C14" s="277"/>
      <c r="D14" s="277"/>
      <c r="E14" s="278"/>
      <c r="F14" s="271"/>
      <c r="G14" s="272"/>
      <c r="H14" s="272"/>
      <c r="I14" s="411"/>
    </row>
    <row r="15" spans="2:9" ht="15.75">
      <c r="B15" s="281"/>
      <c r="C15" s="282"/>
      <c r="D15" s="282"/>
      <c r="E15" s="283"/>
      <c r="F15" s="284"/>
      <c r="G15" s="285"/>
      <c r="H15" s="285"/>
      <c r="I15" s="413"/>
    </row>
    <row r="16" spans="2:9" ht="15.75">
      <c r="B16" s="286" t="s">
        <v>494</v>
      </c>
      <c r="D16" s="277">
        <f>SUM(D6:D10,D13)</f>
        <v>2745123.6951167346</v>
      </c>
      <c r="E16" s="287"/>
      <c r="F16" s="277">
        <f>SUM(F6:F10,F13)</f>
        <v>2017455.6361371495</v>
      </c>
      <c r="G16" s="287"/>
      <c r="H16" s="676">
        <f>SOP!C280</f>
        <v>0.15</v>
      </c>
      <c r="I16" s="414">
        <f>SOP!C239</f>
        <v>44.732940934304864</v>
      </c>
    </row>
    <row r="17" spans="2:12" ht="15.75">
      <c r="B17" s="286" t="s">
        <v>457</v>
      </c>
      <c r="D17" s="288"/>
      <c r="E17" s="287"/>
      <c r="F17" s="288"/>
      <c r="G17" s="287"/>
      <c r="H17" s="287"/>
      <c r="I17" s="414">
        <f>SOP!C252</f>
        <v>5.0450703524856388</v>
      </c>
    </row>
    <row r="18" spans="2:12" ht="15.75">
      <c r="B18" s="289"/>
      <c r="C18" s="290"/>
      <c r="D18" s="290"/>
      <c r="E18" s="290"/>
      <c r="F18" s="290"/>
      <c r="G18" s="290"/>
      <c r="H18" s="290"/>
      <c r="I18" s="415"/>
    </row>
    <row r="19" spans="2:12" ht="16.5" thickBot="1">
      <c r="B19" s="286"/>
      <c r="C19" s="287"/>
      <c r="D19" s="287"/>
      <c r="E19" s="287"/>
      <c r="F19" s="287"/>
      <c r="G19" s="287"/>
      <c r="H19" s="287"/>
      <c r="I19" s="416"/>
    </row>
    <row r="20" spans="2:12" ht="16.5" thickBot="1">
      <c r="B20" s="291" t="s">
        <v>204</v>
      </c>
      <c r="C20" s="292">
        <f>SOP!C237</f>
        <v>45100</v>
      </c>
      <c r="D20" s="293"/>
      <c r="E20" s="287"/>
      <c r="F20" s="287"/>
      <c r="G20" s="287"/>
      <c r="H20" s="287"/>
      <c r="I20" s="416"/>
      <c r="K20" s="692"/>
    </row>
    <row r="21" spans="2:12" ht="7.5" customHeight="1" thickBot="1">
      <c r="B21" s="286"/>
      <c r="C21" s="287"/>
      <c r="D21" s="287"/>
      <c r="E21" s="287"/>
      <c r="F21" s="287"/>
      <c r="G21" s="287"/>
      <c r="H21" s="287"/>
      <c r="I21" s="416"/>
      <c r="K21" s="692"/>
    </row>
    <row r="22" spans="2:12" ht="16.5" thickBot="1">
      <c r="B22" s="291" t="s">
        <v>509</v>
      </c>
      <c r="C22" s="294"/>
      <c r="D22" s="294"/>
      <c r="E22" s="294"/>
      <c r="F22" s="294"/>
      <c r="G22" s="294"/>
      <c r="H22" s="294"/>
      <c r="I22" s="417">
        <f>SOP!C254</f>
        <v>49.778011286790502</v>
      </c>
      <c r="K22" s="692"/>
      <c r="L22" s="692"/>
    </row>
    <row r="23" spans="2:12" ht="7.5" customHeight="1" thickBot="1">
      <c r="B23" s="163"/>
      <c r="C23" s="163"/>
      <c r="E23" s="163"/>
      <c r="F23" s="163"/>
      <c r="G23" s="163"/>
      <c r="I23" s="163"/>
    </row>
    <row r="24" spans="2:12" s="167" customFormat="1" ht="16.5" hidden="1" outlineLevel="1" thickBot="1">
      <c r="B24" s="291" t="s">
        <v>324</v>
      </c>
      <c r="C24" s="294"/>
      <c r="D24" s="294"/>
      <c r="E24" s="294"/>
      <c r="F24" s="294"/>
      <c r="G24" s="294"/>
      <c r="H24" s="294"/>
      <c r="I24" s="295">
        <f>SOP!E254</f>
        <v>96.899024393383215</v>
      </c>
    </row>
    <row r="25" spans="2:12" s="167" customFormat="1" ht="7.5" hidden="1" customHeight="1" outlineLevel="1" thickBot="1"/>
    <row r="26" spans="2:12" s="167" customFormat="1" ht="16.5" collapsed="1" thickBot="1">
      <c r="B26" s="291" t="s">
        <v>453</v>
      </c>
      <c r="C26" s="294"/>
      <c r="D26" s="294"/>
      <c r="E26" s="294"/>
      <c r="F26" s="294"/>
      <c r="G26" s="294"/>
      <c r="H26" s="294"/>
      <c r="I26" s="407">
        <f>1-(I22/I24)</f>
        <v>0.48628986103404348</v>
      </c>
    </row>
    <row r="27" spans="2:12" s="167" customFormat="1" ht="7.5" customHeight="1"/>
    <row r="28" spans="2:12">
      <c r="B28" s="162"/>
      <c r="C28" s="162"/>
      <c r="D28" s="162"/>
      <c r="E28" s="162"/>
      <c r="F28" s="162"/>
      <c r="G28" s="162"/>
      <c r="H28" s="162"/>
      <c r="I28" s="162"/>
    </row>
    <row r="29" spans="2:12" ht="15.75">
      <c r="B29" s="638" t="s">
        <v>458</v>
      </c>
    </row>
    <row r="38" spans="2:3">
      <c r="B38" s="108" t="s">
        <v>224</v>
      </c>
      <c r="C38" s="161">
        <f>I6+I8+I9</f>
        <v>29.819084109402471</v>
      </c>
    </row>
    <row r="39" spans="2:3">
      <c r="B39" s="108" t="s">
        <v>512</v>
      </c>
      <c r="C39" s="161">
        <f>I10+I11</f>
        <v>5.5432372505543235</v>
      </c>
    </row>
    <row r="40" spans="2:3">
      <c r="B40" s="114" t="s">
        <v>500</v>
      </c>
      <c r="C40" s="692">
        <f>I13</f>
        <v>1.6629711751662972</v>
      </c>
    </row>
    <row r="49" spans="2:8" s="163" customFormat="1">
      <c r="H49" s="167"/>
    </row>
    <row r="51" spans="2:8" s="167" customFormat="1"/>
    <row r="54" spans="2:8">
      <c r="B54" s="108" t="s">
        <v>34</v>
      </c>
      <c r="C54" s="161">
        <f>I6</f>
        <v>21.738689421045098</v>
      </c>
    </row>
    <row r="55" spans="2:8">
      <c r="B55" s="108" t="s">
        <v>211</v>
      </c>
      <c r="C55" s="161">
        <f>I10</f>
        <v>5.5432372505543235</v>
      </c>
    </row>
    <row r="56" spans="2:8">
      <c r="B56" s="108" t="s">
        <v>212</v>
      </c>
      <c r="C56" s="161">
        <f>I8</f>
        <v>6.2260153202962298</v>
      </c>
    </row>
    <row r="57" spans="2:8">
      <c r="B57" s="108" t="s">
        <v>206</v>
      </c>
      <c r="C57" s="161">
        <f>I9+I11</f>
        <v>1.8543793680611413</v>
      </c>
    </row>
    <row r="58" spans="2:8">
      <c r="B58" s="108"/>
      <c r="C58" s="161"/>
    </row>
    <row r="59" spans="2:8">
      <c r="B59" s="108"/>
      <c r="C59" s="161"/>
    </row>
    <row r="79" spans="1:1">
      <c r="A79" s="371"/>
    </row>
    <row r="80" spans="1:1">
      <c r="A80" s="371"/>
    </row>
    <row r="81" spans="1:1">
      <c r="A81" s="371"/>
    </row>
    <row r="82" spans="1:1">
      <c r="A82" s="371"/>
    </row>
  </sheetData>
  <mergeCells count="1">
    <mergeCell ref="B2:I2"/>
  </mergeCells>
  <pageMargins left="0" right="0" top="0" bottom="0" header="0" footer="0"/>
  <pageSetup paperSize="5" scale="64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2:T285"/>
  <sheetViews>
    <sheetView zoomScale="85" zoomScaleNormal="85" zoomScalePageLayoutView="75" workbookViewId="0"/>
  </sheetViews>
  <sheetFormatPr defaultColWidth="8.85546875" defaultRowHeight="15" outlineLevelRow="1"/>
  <cols>
    <col min="1" max="1" width="2.7109375" style="167" customWidth="1"/>
    <col min="2" max="2" width="45.42578125" style="167" customWidth="1"/>
    <col min="3" max="20" width="17.140625" style="167" customWidth="1"/>
    <col min="21" max="16384" width="8.85546875" style="167"/>
  </cols>
  <sheetData>
    <row r="2" spans="2:20" ht="16.5">
      <c r="B2" s="523" t="s">
        <v>492</v>
      </c>
    </row>
    <row r="4" spans="2:20" ht="15.75" thickBot="1">
      <c r="B4" s="267" t="s">
        <v>520</v>
      </c>
      <c r="C4" s="77">
        <v>2014</v>
      </c>
      <c r="D4" s="77">
        <v>2015</v>
      </c>
      <c r="E4" s="77">
        <v>2016</v>
      </c>
      <c r="F4" s="77">
        <v>2017</v>
      </c>
      <c r="G4" s="77">
        <v>2018</v>
      </c>
      <c r="H4" s="77">
        <v>2019</v>
      </c>
      <c r="I4" s="77">
        <v>2020</v>
      </c>
      <c r="J4" s="77">
        <v>2021</v>
      </c>
      <c r="K4" s="77">
        <v>2022</v>
      </c>
      <c r="L4" s="77">
        <v>2023</v>
      </c>
      <c r="M4" s="77">
        <v>2024</v>
      </c>
      <c r="N4" s="77">
        <v>2025</v>
      </c>
      <c r="O4" s="77">
        <v>2026</v>
      </c>
      <c r="P4" s="77">
        <v>2027</v>
      </c>
      <c r="Q4" s="77">
        <v>2028</v>
      </c>
      <c r="R4" s="77">
        <v>2029</v>
      </c>
      <c r="S4" s="77">
        <v>2030</v>
      </c>
    </row>
    <row r="5" spans="2:20" ht="15.75" thickTop="1">
      <c r="B5" s="107" t="s">
        <v>164</v>
      </c>
      <c r="C5" s="317">
        <v>0</v>
      </c>
      <c r="D5" s="317">
        <v>0</v>
      </c>
      <c r="E5" s="317">
        <v>0</v>
      </c>
      <c r="F5" s="317">
        <v>0</v>
      </c>
      <c r="G5" s="317">
        <v>0</v>
      </c>
      <c r="H5" s="317">
        <f>Royalties!K11/1000</f>
        <v>18657.312245928308</v>
      </c>
      <c r="I5" s="317">
        <f>Royalties!L11/1000</f>
        <v>57718.969944532277</v>
      </c>
      <c r="J5" s="317">
        <f>Royalties!M11/1000</f>
        <v>138655.4803976799</v>
      </c>
      <c r="K5" s="317">
        <f>Royalties!N11/1000</f>
        <v>203404.73686085324</v>
      </c>
      <c r="L5" s="317">
        <f>Royalties!O11/1000</f>
        <v>274866.73270489549</v>
      </c>
      <c r="M5" s="317">
        <f>Royalties!P11/1000</f>
        <v>345279.52136602055</v>
      </c>
      <c r="N5" s="317">
        <f>Royalties!Q11/1000</f>
        <v>396745.65515019378</v>
      </c>
      <c r="O5" s="317">
        <f>Royalties!R11/1000</f>
        <v>443226.79953039618</v>
      </c>
      <c r="P5" s="317">
        <f>Royalties!S11/1000</f>
        <v>489584.33329648053</v>
      </c>
      <c r="Q5" s="317">
        <f>Royalties!T11/1000</f>
        <v>534570.09194827103</v>
      </c>
      <c r="R5" s="317">
        <f>Royalties!U11/1000</f>
        <v>584086.8607780477</v>
      </c>
      <c r="S5" s="317">
        <f>Royalties!V11/1000</f>
        <v>625059.33452614164</v>
      </c>
    </row>
    <row r="6" spans="2:20">
      <c r="B6" s="105" t="s">
        <v>33</v>
      </c>
      <c r="C6" s="318"/>
      <c r="D6" s="317"/>
      <c r="E6" s="317"/>
      <c r="F6" s="317"/>
      <c r="G6" s="317">
        <f t="shared" ref="G6:S6" si="0">G5*G22</f>
        <v>0</v>
      </c>
      <c r="H6" s="317">
        <f t="shared" si="0"/>
        <v>186.57312245928307</v>
      </c>
      <c r="I6" s="317">
        <f t="shared" si="0"/>
        <v>577.18969944532273</v>
      </c>
      <c r="J6" s="317">
        <f t="shared" si="0"/>
        <v>1386.5548039767991</v>
      </c>
      <c r="K6" s="317">
        <f t="shared" si="0"/>
        <v>2034.0473686085325</v>
      </c>
      <c r="L6" s="317">
        <f t="shared" si="0"/>
        <v>0</v>
      </c>
      <c r="M6" s="317">
        <f t="shared" si="0"/>
        <v>0</v>
      </c>
      <c r="N6" s="317">
        <f t="shared" si="0"/>
        <v>0</v>
      </c>
      <c r="O6" s="317">
        <f t="shared" si="0"/>
        <v>0</v>
      </c>
      <c r="P6" s="317">
        <f t="shared" si="0"/>
        <v>0</v>
      </c>
      <c r="Q6" s="317">
        <f t="shared" si="0"/>
        <v>0</v>
      </c>
      <c r="R6" s="317">
        <f t="shared" si="0"/>
        <v>0</v>
      </c>
      <c r="S6" s="317">
        <f t="shared" si="0"/>
        <v>0</v>
      </c>
    </row>
    <row r="7" spans="2:20">
      <c r="B7" s="105" t="s">
        <v>146</v>
      </c>
      <c r="C7" s="319"/>
      <c r="D7" s="317"/>
      <c r="E7" s="317"/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</row>
    <row r="8" spans="2:20">
      <c r="B8" s="104" t="s">
        <v>147</v>
      </c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</row>
    <row r="9" spans="2:20">
      <c r="B9" s="103" t="s">
        <v>148</v>
      </c>
      <c r="C9" s="319">
        <f>C5-C6-C7-C8</f>
        <v>0</v>
      </c>
      <c r="D9" s="319">
        <f t="shared" ref="D9:S9" si="1">D5-D6-D7-D8</f>
        <v>0</v>
      </c>
      <c r="E9" s="319">
        <f t="shared" si="1"/>
        <v>0</v>
      </c>
      <c r="F9" s="319">
        <f t="shared" si="1"/>
        <v>0</v>
      </c>
      <c r="G9" s="319">
        <f t="shared" si="1"/>
        <v>0</v>
      </c>
      <c r="H9" s="319">
        <f t="shared" si="1"/>
        <v>18470.739123469026</v>
      </c>
      <c r="I9" s="319">
        <f t="shared" si="1"/>
        <v>57141.780245086957</v>
      </c>
      <c r="J9" s="319">
        <f t="shared" si="1"/>
        <v>137268.92559370311</v>
      </c>
      <c r="K9" s="319">
        <f t="shared" si="1"/>
        <v>201370.68949224471</v>
      </c>
      <c r="L9" s="319">
        <f t="shared" si="1"/>
        <v>274866.73270489549</v>
      </c>
      <c r="M9" s="319">
        <f t="shared" si="1"/>
        <v>345279.52136602055</v>
      </c>
      <c r="N9" s="319">
        <f t="shared" si="1"/>
        <v>396745.65515019378</v>
      </c>
      <c r="O9" s="319">
        <f t="shared" si="1"/>
        <v>443226.79953039618</v>
      </c>
      <c r="P9" s="319">
        <f t="shared" si="1"/>
        <v>489584.33329648053</v>
      </c>
      <c r="Q9" s="319">
        <f t="shared" si="1"/>
        <v>534570.09194827103</v>
      </c>
      <c r="R9" s="319">
        <f t="shared" si="1"/>
        <v>584086.8607780477</v>
      </c>
      <c r="S9" s="319">
        <f t="shared" si="1"/>
        <v>625059.33452614164</v>
      </c>
    </row>
    <row r="10" spans="2:20" ht="15.75" thickBot="1">
      <c r="B10" s="102" t="s">
        <v>149</v>
      </c>
      <c r="C10" s="317">
        <v>0</v>
      </c>
      <c r="D10" s="317">
        <v>0</v>
      </c>
      <c r="E10" s="317">
        <v>0</v>
      </c>
      <c r="F10" s="317">
        <v>0</v>
      </c>
      <c r="G10" s="317">
        <v>0</v>
      </c>
      <c r="H10" s="317">
        <v>0</v>
      </c>
      <c r="I10" s="317">
        <f>I9*I25</f>
        <v>0</v>
      </c>
      <c r="J10" s="317">
        <f t="shared" ref="J10:S10" si="2">J9*J25</f>
        <v>0</v>
      </c>
      <c r="K10" s="317">
        <f t="shared" si="2"/>
        <v>30205.603423836706</v>
      </c>
      <c r="L10" s="317">
        <f t="shared" si="2"/>
        <v>68716.683176223873</v>
      </c>
      <c r="M10" s="317">
        <f t="shared" si="2"/>
        <v>120847.83247810719</v>
      </c>
      <c r="N10" s="317">
        <f t="shared" si="2"/>
        <v>138860.97930256781</v>
      </c>
      <c r="O10" s="317">
        <f t="shared" si="2"/>
        <v>155129.37983563865</v>
      </c>
      <c r="P10" s="317">
        <f t="shared" si="2"/>
        <v>171354.51665376817</v>
      </c>
      <c r="Q10" s="317">
        <f t="shared" si="2"/>
        <v>187099.53218189484</v>
      </c>
      <c r="R10" s="317">
        <f t="shared" si="2"/>
        <v>204430.4012723167</v>
      </c>
      <c r="S10" s="317">
        <f t="shared" si="2"/>
        <v>218770.76708414956</v>
      </c>
      <c r="T10" s="126" t="s">
        <v>151</v>
      </c>
    </row>
    <row r="11" spans="2:20" ht="15.75" thickBot="1">
      <c r="B11" s="101" t="s">
        <v>150</v>
      </c>
      <c r="C11" s="321">
        <f>C9-C10</f>
        <v>0</v>
      </c>
      <c r="D11" s="321">
        <f t="shared" ref="D11:S11" si="3">D9-D10</f>
        <v>0</v>
      </c>
      <c r="E11" s="321">
        <f t="shared" si="3"/>
        <v>0</v>
      </c>
      <c r="F11" s="321">
        <f t="shared" si="3"/>
        <v>0</v>
      </c>
      <c r="G11" s="321">
        <f t="shared" si="3"/>
        <v>0</v>
      </c>
      <c r="H11" s="321">
        <f t="shared" si="3"/>
        <v>18470.739123469026</v>
      </c>
      <c r="I11" s="321">
        <f t="shared" si="3"/>
        <v>57141.780245086957</v>
      </c>
      <c r="J11" s="321">
        <f t="shared" si="3"/>
        <v>137268.92559370311</v>
      </c>
      <c r="K11" s="321">
        <f t="shared" si="3"/>
        <v>171165.08606840801</v>
      </c>
      <c r="L11" s="321">
        <f t="shared" si="3"/>
        <v>206150.0495286716</v>
      </c>
      <c r="M11" s="321">
        <f t="shared" si="3"/>
        <v>224431.68888791336</v>
      </c>
      <c r="N11" s="321">
        <f t="shared" si="3"/>
        <v>257884.67584762597</v>
      </c>
      <c r="O11" s="321">
        <f t="shared" si="3"/>
        <v>288097.41969475755</v>
      </c>
      <c r="P11" s="321">
        <f t="shared" si="3"/>
        <v>318229.81664271234</v>
      </c>
      <c r="Q11" s="321">
        <f t="shared" si="3"/>
        <v>347470.55976637616</v>
      </c>
      <c r="R11" s="321">
        <f t="shared" si="3"/>
        <v>379656.45950573101</v>
      </c>
      <c r="S11" s="321">
        <f t="shared" si="3"/>
        <v>406288.56744199211</v>
      </c>
      <c r="T11" s="100">
        <f>S11*2.5</f>
        <v>1015721.4186049802</v>
      </c>
    </row>
    <row r="12" spans="2:20" ht="15.75" thickBot="1"/>
    <row r="13" spans="2:20">
      <c r="B13" s="99"/>
      <c r="C13" s="98"/>
      <c r="G13" s="720" t="s">
        <v>445</v>
      </c>
      <c r="H13" s="721"/>
    </row>
    <row r="14" spans="2:20">
      <c r="B14" s="97" t="s">
        <v>478</v>
      </c>
      <c r="C14" s="96">
        <f>NPV($C$235,G11:T11)</f>
        <v>1307219.8571855118</v>
      </c>
      <c r="D14" s="173"/>
      <c r="G14" s="437" t="s">
        <v>359</v>
      </c>
      <c r="H14" s="651">
        <v>0.85</v>
      </c>
    </row>
    <row r="15" spans="2:20">
      <c r="B15" s="97" t="s">
        <v>201</v>
      </c>
      <c r="C15" s="677">
        <f>CHOOSE($C$258,H14,H15,H16)</f>
        <v>0.75</v>
      </c>
      <c r="E15" s="126" t="s">
        <v>474</v>
      </c>
      <c r="G15" s="437" t="s">
        <v>361</v>
      </c>
      <c r="H15" s="651">
        <v>0.75</v>
      </c>
    </row>
    <row r="16" spans="2:20" ht="15.75" thickBot="1">
      <c r="B16" s="97" t="s">
        <v>477</v>
      </c>
      <c r="C16" s="96">
        <f>($C14*C15)</f>
        <v>980414.89288913389</v>
      </c>
      <c r="E16" s="126" t="s">
        <v>155</v>
      </c>
      <c r="G16" s="438" t="s">
        <v>360</v>
      </c>
      <c r="H16" s="652">
        <v>0</v>
      </c>
    </row>
    <row r="17" spans="2:19" ht="15.75" thickBot="1">
      <c r="B17" s="95" t="s">
        <v>155</v>
      </c>
      <c r="C17" s="94">
        <f>C16/$C$237</f>
        <v>21.738689421045098</v>
      </c>
      <c r="E17" s="657">
        <f>C14/$C$237</f>
        <v>28.984919228060129</v>
      </c>
    </row>
    <row r="18" spans="2:19" ht="15.75" thickBot="1">
      <c r="B18" s="116"/>
      <c r="C18" s="117"/>
      <c r="D18" s="117"/>
    </row>
    <row r="19" spans="2:19" ht="15.75" thickBot="1">
      <c r="B19" s="643" t="s">
        <v>473</v>
      </c>
      <c r="C19" s="642">
        <v>0.122</v>
      </c>
      <c r="D19" s="649">
        <f>NPV(C19,E11:T11)</f>
        <v>980376.17597486288</v>
      </c>
    </row>
    <row r="21" spans="2:19">
      <c r="B21" s="108" t="s">
        <v>310</v>
      </c>
      <c r="C21" s="388">
        <v>2014</v>
      </c>
      <c r="D21" s="388">
        <v>2015</v>
      </c>
      <c r="E21" s="388">
        <v>2016</v>
      </c>
      <c r="F21" s="388">
        <v>2017</v>
      </c>
      <c r="G21" s="388">
        <v>2018</v>
      </c>
      <c r="H21" s="388">
        <v>2019</v>
      </c>
      <c r="I21" s="388">
        <v>2020</v>
      </c>
      <c r="J21" s="388">
        <v>2021</v>
      </c>
      <c r="K21" s="388">
        <v>2022</v>
      </c>
      <c r="L21" s="388">
        <v>2023</v>
      </c>
      <c r="M21" s="388">
        <v>2024</v>
      </c>
      <c r="N21" s="388">
        <v>2025</v>
      </c>
      <c r="O21" s="388">
        <v>2026</v>
      </c>
      <c r="P21" s="388">
        <v>2027</v>
      </c>
      <c r="Q21" s="388">
        <v>2028</v>
      </c>
      <c r="R21" s="388">
        <v>2029</v>
      </c>
      <c r="S21" s="388">
        <v>2030</v>
      </c>
    </row>
    <row r="22" spans="2:19">
      <c r="B22" s="131" t="s">
        <v>33</v>
      </c>
      <c r="C22" s="389"/>
      <c r="D22" s="389"/>
      <c r="E22" s="389"/>
      <c r="F22" s="389">
        <v>0.01</v>
      </c>
      <c r="G22" s="389">
        <f>F22</f>
        <v>0.01</v>
      </c>
      <c r="H22" s="389">
        <f>G22</f>
        <v>0.01</v>
      </c>
      <c r="I22" s="389">
        <f>H22</f>
        <v>0.01</v>
      </c>
      <c r="J22" s="389">
        <f>I22</f>
        <v>0.01</v>
      </c>
      <c r="K22" s="389">
        <f>J22</f>
        <v>0.01</v>
      </c>
      <c r="L22" s="389"/>
      <c r="M22" s="389"/>
      <c r="N22" s="389"/>
      <c r="O22" s="389"/>
      <c r="P22" s="389"/>
      <c r="Q22" s="389"/>
      <c r="R22" s="389"/>
      <c r="S22" s="389"/>
    </row>
    <row r="23" spans="2:19">
      <c r="B23" s="387" t="s">
        <v>311</v>
      </c>
      <c r="C23" s="390"/>
      <c r="D23" s="390"/>
      <c r="E23" s="390"/>
      <c r="F23" s="390"/>
      <c r="G23" s="390"/>
      <c r="H23" s="390"/>
      <c r="I23" s="390"/>
      <c r="J23" s="390"/>
      <c r="K23" s="390"/>
      <c r="L23" s="390"/>
      <c r="M23" s="390"/>
      <c r="N23" s="390"/>
      <c r="O23" s="390"/>
      <c r="P23" s="390"/>
      <c r="Q23" s="390"/>
      <c r="R23" s="390"/>
      <c r="S23" s="390"/>
    </row>
    <row r="24" spans="2:19">
      <c r="B24" s="387" t="s">
        <v>147</v>
      </c>
      <c r="C24" s="390"/>
      <c r="D24" s="390"/>
      <c r="E24" s="390"/>
      <c r="F24" s="390"/>
      <c r="G24" s="390"/>
      <c r="H24" s="390"/>
      <c r="I24" s="390"/>
      <c r="J24" s="390"/>
      <c r="K24" s="390"/>
      <c r="L24" s="390"/>
      <c r="M24" s="390"/>
      <c r="N24" s="390"/>
      <c r="O24" s="390"/>
      <c r="P24" s="390"/>
      <c r="Q24" s="390"/>
      <c r="R24" s="390"/>
      <c r="S24" s="390"/>
    </row>
    <row r="25" spans="2:19">
      <c r="B25" s="102" t="s">
        <v>149</v>
      </c>
      <c r="C25" s="391"/>
      <c r="D25" s="102"/>
      <c r="E25" s="102"/>
      <c r="F25" s="392"/>
      <c r="G25" s="392"/>
      <c r="H25" s="392"/>
      <c r="I25" s="392"/>
      <c r="J25" s="392"/>
      <c r="K25" s="392">
        <v>0.15</v>
      </c>
      <c r="L25" s="392">
        <v>0.25</v>
      </c>
      <c r="M25" s="392">
        <v>0.35</v>
      </c>
      <c r="N25" s="392">
        <v>0.35</v>
      </c>
      <c r="O25" s="392">
        <v>0.35</v>
      </c>
      <c r="P25" s="392">
        <v>0.35</v>
      </c>
      <c r="Q25" s="392">
        <v>0.35</v>
      </c>
      <c r="R25" s="392">
        <v>0.35</v>
      </c>
      <c r="S25" s="392">
        <v>0.35</v>
      </c>
    </row>
    <row r="27" spans="2:19" ht="15.75" thickBot="1">
      <c r="B27" s="267" t="s">
        <v>521</v>
      </c>
      <c r="C27" s="77">
        <v>2014</v>
      </c>
      <c r="D27" s="77">
        <v>2015</v>
      </c>
      <c r="E27" s="77">
        <v>2016</v>
      </c>
      <c r="F27" s="77">
        <v>2017</v>
      </c>
      <c r="G27" s="77">
        <v>2018</v>
      </c>
      <c r="H27" s="77">
        <v>2019</v>
      </c>
      <c r="I27" s="77">
        <v>2020</v>
      </c>
      <c r="J27" s="77">
        <v>2021</v>
      </c>
      <c r="K27" s="77">
        <v>2022</v>
      </c>
      <c r="L27" s="77">
        <v>2023</v>
      </c>
      <c r="M27" s="77">
        <v>2024</v>
      </c>
      <c r="N27" s="77">
        <v>2025</v>
      </c>
      <c r="O27" s="77">
        <v>2026</v>
      </c>
      <c r="P27" s="77">
        <v>2027</v>
      </c>
      <c r="Q27" s="77">
        <v>2028</v>
      </c>
      <c r="R27" s="77">
        <v>2029</v>
      </c>
      <c r="S27" s="77">
        <v>2030</v>
      </c>
    </row>
    <row r="28" spans="2:19" ht="15.75" thickTop="1">
      <c r="B28" s="107" t="s">
        <v>164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f>H5*0.2</f>
        <v>3731.4624491856616</v>
      </c>
      <c r="I28" s="106">
        <f>I5*0.3</f>
        <v>17315.690983359684</v>
      </c>
      <c r="J28" s="106">
        <f>J5*0.4</f>
        <v>55462.192159071965</v>
      </c>
      <c r="K28" s="106">
        <f>K5*0.5</f>
        <v>101702.36843042662</v>
      </c>
      <c r="L28" s="106">
        <f t="shared" ref="L28:S28" si="4">L5*0.5</f>
        <v>137433.36635244775</v>
      </c>
      <c r="M28" s="106">
        <f t="shared" si="4"/>
        <v>172639.76068301027</v>
      </c>
      <c r="N28" s="106">
        <f t="shared" si="4"/>
        <v>198372.82757509689</v>
      </c>
      <c r="O28" s="106">
        <f t="shared" si="4"/>
        <v>221613.39976519809</v>
      </c>
      <c r="P28" s="106">
        <f t="shared" si="4"/>
        <v>244792.16664824027</v>
      </c>
      <c r="Q28" s="106">
        <f t="shared" si="4"/>
        <v>267285.04597413552</v>
      </c>
      <c r="R28" s="106">
        <f t="shared" si="4"/>
        <v>292043.43038902385</v>
      </c>
      <c r="S28" s="106">
        <f t="shared" si="4"/>
        <v>312529.66726307082</v>
      </c>
    </row>
    <row r="29" spans="2:19">
      <c r="B29" s="105" t="s">
        <v>33</v>
      </c>
      <c r="C29" s="93"/>
      <c r="D29" s="93"/>
      <c r="E29" s="92"/>
      <c r="F29" s="92">
        <f t="shared" ref="F29:G29" si="5">F28*F5</f>
        <v>0</v>
      </c>
      <c r="G29" s="92">
        <f t="shared" si="5"/>
        <v>0</v>
      </c>
      <c r="H29" s="92">
        <f t="shared" ref="H29:I29" si="6">H28*H22</f>
        <v>37.31462449185662</v>
      </c>
      <c r="I29" s="92">
        <f t="shared" si="6"/>
        <v>173.15690983359684</v>
      </c>
      <c r="J29" s="92">
        <f>J28*J22</f>
        <v>554.62192159071969</v>
      </c>
      <c r="K29" s="92">
        <f t="shared" ref="K29:S29" si="7">K28*K22</f>
        <v>1017.0236843042662</v>
      </c>
      <c r="L29" s="92">
        <f t="shared" si="7"/>
        <v>0</v>
      </c>
      <c r="M29" s="92">
        <f t="shared" si="7"/>
        <v>0</v>
      </c>
      <c r="N29" s="92">
        <f t="shared" si="7"/>
        <v>0</v>
      </c>
      <c r="O29" s="92">
        <f t="shared" si="7"/>
        <v>0</v>
      </c>
      <c r="P29" s="92">
        <f t="shared" si="7"/>
        <v>0</v>
      </c>
      <c r="Q29" s="92">
        <f t="shared" si="7"/>
        <v>0</v>
      </c>
      <c r="R29" s="92">
        <f t="shared" si="7"/>
        <v>0</v>
      </c>
      <c r="S29" s="92">
        <f t="shared" si="7"/>
        <v>0</v>
      </c>
    </row>
    <row r="30" spans="2:19">
      <c r="B30" s="105" t="s">
        <v>146</v>
      </c>
      <c r="C30" s="93"/>
      <c r="D30" s="93"/>
      <c r="E30" s="93"/>
      <c r="F30" s="93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</row>
    <row r="31" spans="2:19">
      <c r="B31" s="104" t="s">
        <v>147</v>
      </c>
      <c r="C31" s="115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</row>
    <row r="32" spans="2:19">
      <c r="B32" s="103" t="s">
        <v>148</v>
      </c>
      <c r="C32" s="319">
        <f t="shared" ref="C32:S32" si="8">C28-C29-C30-C31</f>
        <v>0</v>
      </c>
      <c r="D32" s="319">
        <f t="shared" si="8"/>
        <v>0</v>
      </c>
      <c r="E32" s="319">
        <f t="shared" si="8"/>
        <v>0</v>
      </c>
      <c r="F32" s="319">
        <f t="shared" si="8"/>
        <v>0</v>
      </c>
      <c r="G32" s="319">
        <f t="shared" si="8"/>
        <v>0</v>
      </c>
      <c r="H32" s="319">
        <f t="shared" si="8"/>
        <v>3694.147824693805</v>
      </c>
      <c r="I32" s="319">
        <f t="shared" si="8"/>
        <v>17142.534073526087</v>
      </c>
      <c r="J32" s="319">
        <f t="shared" si="8"/>
        <v>54907.570237481246</v>
      </c>
      <c r="K32" s="319">
        <f t="shared" si="8"/>
        <v>100685.34474612235</v>
      </c>
      <c r="L32" s="319">
        <f t="shared" si="8"/>
        <v>137433.36635244775</v>
      </c>
      <c r="M32" s="319">
        <f t="shared" si="8"/>
        <v>172639.76068301027</v>
      </c>
      <c r="N32" s="319">
        <f t="shared" si="8"/>
        <v>198372.82757509689</v>
      </c>
      <c r="O32" s="319">
        <f t="shared" si="8"/>
        <v>221613.39976519809</v>
      </c>
      <c r="P32" s="319">
        <f t="shared" si="8"/>
        <v>244792.16664824027</v>
      </c>
      <c r="Q32" s="319">
        <f t="shared" si="8"/>
        <v>267285.04597413552</v>
      </c>
      <c r="R32" s="319">
        <f t="shared" si="8"/>
        <v>292043.43038902385</v>
      </c>
      <c r="S32" s="319">
        <f t="shared" si="8"/>
        <v>312529.66726307082</v>
      </c>
    </row>
    <row r="33" spans="2:20" ht="15.75" thickBot="1">
      <c r="B33" s="102" t="s">
        <v>149</v>
      </c>
      <c r="C33" s="106">
        <f t="shared" ref="C33:J33" si="9">C32*C25</f>
        <v>0</v>
      </c>
      <c r="D33" s="106">
        <f t="shared" si="9"/>
        <v>0</v>
      </c>
      <c r="E33" s="106">
        <f t="shared" si="9"/>
        <v>0</v>
      </c>
      <c r="F33" s="106">
        <f t="shared" si="9"/>
        <v>0</v>
      </c>
      <c r="G33" s="106">
        <f t="shared" si="9"/>
        <v>0</v>
      </c>
      <c r="H33" s="106">
        <f t="shared" si="9"/>
        <v>0</v>
      </c>
      <c r="I33" s="106">
        <f t="shared" si="9"/>
        <v>0</v>
      </c>
      <c r="J33" s="106">
        <f t="shared" si="9"/>
        <v>0</v>
      </c>
      <c r="K33" s="106">
        <f>K32*K25</f>
        <v>15102.801711918353</v>
      </c>
      <c r="L33" s="106">
        <f t="shared" ref="L33:S33" si="10">L32*L25</f>
        <v>34358.341588111936</v>
      </c>
      <c r="M33" s="106">
        <f t="shared" si="10"/>
        <v>60423.916239053593</v>
      </c>
      <c r="N33" s="106">
        <f t="shared" si="10"/>
        <v>69430.489651283904</v>
      </c>
      <c r="O33" s="106">
        <f t="shared" si="10"/>
        <v>77564.689917819327</v>
      </c>
      <c r="P33" s="106">
        <f t="shared" si="10"/>
        <v>85677.258326884083</v>
      </c>
      <c r="Q33" s="106">
        <f t="shared" si="10"/>
        <v>93549.766090947422</v>
      </c>
      <c r="R33" s="106">
        <f t="shared" si="10"/>
        <v>102215.20063615835</v>
      </c>
      <c r="S33" s="106">
        <f t="shared" si="10"/>
        <v>109385.38354207478</v>
      </c>
      <c r="T33" s="126" t="s">
        <v>151</v>
      </c>
    </row>
    <row r="34" spans="2:20" ht="15.75" thickBot="1">
      <c r="B34" s="101" t="s">
        <v>150</v>
      </c>
      <c r="C34" s="90">
        <f>C32-C33</f>
        <v>0</v>
      </c>
      <c r="D34" s="90">
        <f t="shared" ref="D34:S34" si="11">D32-D33</f>
        <v>0</v>
      </c>
      <c r="E34" s="90">
        <f t="shared" si="11"/>
        <v>0</v>
      </c>
      <c r="F34" s="90">
        <f t="shared" si="11"/>
        <v>0</v>
      </c>
      <c r="G34" s="90">
        <f t="shared" si="11"/>
        <v>0</v>
      </c>
      <c r="H34" s="90">
        <f t="shared" si="11"/>
        <v>3694.147824693805</v>
      </c>
      <c r="I34" s="90">
        <f t="shared" si="11"/>
        <v>17142.534073526087</v>
      </c>
      <c r="J34" s="90">
        <f t="shared" si="11"/>
        <v>54907.570237481246</v>
      </c>
      <c r="K34" s="90">
        <f t="shared" si="11"/>
        <v>85582.543034204005</v>
      </c>
      <c r="L34" s="90">
        <f t="shared" si="11"/>
        <v>103075.0247643358</v>
      </c>
      <c r="M34" s="90">
        <f t="shared" si="11"/>
        <v>112215.84444395668</v>
      </c>
      <c r="N34" s="90">
        <f t="shared" si="11"/>
        <v>128942.33792381299</v>
      </c>
      <c r="O34" s="90">
        <f t="shared" si="11"/>
        <v>144048.70984737878</v>
      </c>
      <c r="P34" s="90">
        <f t="shared" si="11"/>
        <v>159114.90832135617</v>
      </c>
      <c r="Q34" s="90">
        <f t="shared" si="11"/>
        <v>173735.27988318808</v>
      </c>
      <c r="R34" s="90">
        <f t="shared" si="11"/>
        <v>189828.2297528655</v>
      </c>
      <c r="S34" s="90">
        <f t="shared" si="11"/>
        <v>203144.28372099606</v>
      </c>
      <c r="T34" s="100">
        <f>S34*2.5</f>
        <v>507860.70930249011</v>
      </c>
    </row>
    <row r="35" spans="2:20" ht="15.75" thickBot="1"/>
    <row r="36" spans="2:20">
      <c r="B36" s="99"/>
      <c r="C36" s="89"/>
      <c r="G36" s="720" t="s">
        <v>445</v>
      </c>
      <c r="H36" s="721"/>
      <c r="S36" s="702">
        <f>S28/0.25</f>
        <v>1250118.6690522833</v>
      </c>
    </row>
    <row r="37" spans="2:20">
      <c r="B37" s="97" t="s">
        <v>478</v>
      </c>
      <c r="C37" s="96">
        <f>NPV($C$235,G34:T34)</f>
        <v>632027.16873290541</v>
      </c>
      <c r="G37" s="437" t="s">
        <v>359</v>
      </c>
      <c r="H37" s="651">
        <v>0.85</v>
      </c>
    </row>
    <row r="38" spans="2:20">
      <c r="B38" s="97" t="s">
        <v>201</v>
      </c>
      <c r="C38" s="677">
        <f>CHOOSE($C$258,H37,H38,H39)</f>
        <v>0.55000000000000004</v>
      </c>
      <c r="E38" s="126" t="s">
        <v>474</v>
      </c>
      <c r="G38" s="437" t="s">
        <v>361</v>
      </c>
      <c r="H38" s="651">
        <v>0.55000000000000004</v>
      </c>
    </row>
    <row r="39" spans="2:20" ht="15.75" thickBot="1">
      <c r="B39" s="97" t="s">
        <v>477</v>
      </c>
      <c r="C39" s="96">
        <f>C37*C38</f>
        <v>347614.94280309801</v>
      </c>
      <c r="E39" s="126" t="s">
        <v>155</v>
      </c>
      <c r="G39" s="438" t="s">
        <v>360</v>
      </c>
      <c r="H39" s="652">
        <v>0.3</v>
      </c>
    </row>
    <row r="40" spans="2:20" ht="15.75" thickBot="1">
      <c r="B40" s="95" t="s">
        <v>155</v>
      </c>
      <c r="C40" s="94">
        <f>C39/$C$237</f>
        <v>7.7076483991817737</v>
      </c>
      <c r="D40" s="658"/>
      <c r="E40" s="657">
        <f>C37/$C$237</f>
        <v>14.013906180330498</v>
      </c>
    </row>
    <row r="41" spans="2:20" ht="15.75" thickBot="1">
      <c r="B41" s="116"/>
      <c r="C41" s="117"/>
    </row>
    <row r="42" spans="2:20" ht="15.75" thickBot="1">
      <c r="B42" s="643" t="s">
        <v>472</v>
      </c>
      <c r="C42" s="642">
        <v>0.1535</v>
      </c>
      <c r="D42" s="649">
        <f>NPV(C42,E34:T34)</f>
        <v>347152.03610110347</v>
      </c>
    </row>
    <row r="43" spans="2:20">
      <c r="B43" s="116"/>
      <c r="C43" s="117"/>
    </row>
    <row r="44" spans="2:20" ht="15.75" thickBot="1">
      <c r="B44" s="108" t="s">
        <v>373</v>
      </c>
      <c r="C44" s="77">
        <v>2014</v>
      </c>
      <c r="D44" s="77">
        <v>2015</v>
      </c>
      <c r="E44" s="77">
        <v>2016</v>
      </c>
      <c r="F44" s="77">
        <v>2017</v>
      </c>
      <c r="G44" s="77">
        <v>2018</v>
      </c>
      <c r="H44" s="77">
        <v>2019</v>
      </c>
      <c r="I44" s="77">
        <v>2020</v>
      </c>
      <c r="J44" s="77">
        <v>2021</v>
      </c>
      <c r="K44" s="77">
        <v>2022</v>
      </c>
      <c r="L44" s="77">
        <v>2023</v>
      </c>
      <c r="M44" s="77">
        <v>2024</v>
      </c>
      <c r="N44" s="77">
        <v>2025</v>
      </c>
      <c r="O44" s="77">
        <v>2026</v>
      </c>
      <c r="P44" s="77">
        <v>2027</v>
      </c>
      <c r="Q44" s="77">
        <v>2028</v>
      </c>
      <c r="R44" s="77">
        <v>2029</v>
      </c>
      <c r="S44" s="77">
        <v>2030</v>
      </c>
    </row>
    <row r="45" spans="2:20" ht="15.75" thickTop="1">
      <c r="B45" s="107" t="s">
        <v>164</v>
      </c>
      <c r="C45" s="106">
        <v>0</v>
      </c>
      <c r="D45" s="106">
        <v>0</v>
      </c>
      <c r="E45" s="106">
        <v>0</v>
      </c>
      <c r="F45" s="106">
        <v>0</v>
      </c>
      <c r="G45" s="106">
        <v>0</v>
      </c>
      <c r="H45" s="106">
        <f>Royalties!K12/1000</f>
        <v>8534.5224611417379</v>
      </c>
      <c r="I45" s="106">
        <f>Royalties!L12/1000</f>
        <v>22610.814199604258</v>
      </c>
      <c r="J45" s="106">
        <f>Royalties!M12/1000</f>
        <v>43473.462669381304</v>
      </c>
      <c r="K45" s="106">
        <f>Royalties!N12/1000</f>
        <v>63254.002221872783</v>
      </c>
      <c r="L45" s="106">
        <f>Royalties!O12/1000</f>
        <v>79306.629146999461</v>
      </c>
      <c r="M45" s="106">
        <f>Royalties!P12/1000</f>
        <v>93011.950648930098</v>
      </c>
      <c r="N45" s="106">
        <f>Royalties!Q12/1000</f>
        <v>105972.92460494951</v>
      </c>
      <c r="O45" s="106">
        <f>Royalties!R12/1000</f>
        <v>120761.90134942693</v>
      </c>
      <c r="P45" s="106">
        <f>Royalties!S12/1000</f>
        <v>134691.97594636789</v>
      </c>
      <c r="Q45" s="106">
        <f>Royalties!T12/1000</f>
        <v>150620.06540815416</v>
      </c>
      <c r="R45" s="106">
        <f>Royalties!U12/1000</f>
        <v>163058.75964909923</v>
      </c>
      <c r="S45" s="106">
        <f>Royalties!V12/1000</f>
        <v>170916.82143301485</v>
      </c>
    </row>
    <row r="46" spans="2:20">
      <c r="B46" s="105" t="s">
        <v>33</v>
      </c>
      <c r="C46" s="93"/>
      <c r="D46" s="93"/>
      <c r="E46" s="92"/>
      <c r="F46" s="92">
        <f t="shared" ref="F46:S46" si="12">F45*F22</f>
        <v>0</v>
      </c>
      <c r="G46" s="92">
        <f t="shared" si="12"/>
        <v>0</v>
      </c>
      <c r="H46" s="92">
        <f t="shared" si="12"/>
        <v>85.345224611417379</v>
      </c>
      <c r="I46" s="92">
        <f t="shared" si="12"/>
        <v>226.10814199604258</v>
      </c>
      <c r="J46" s="92">
        <f t="shared" si="12"/>
        <v>434.73462669381303</v>
      </c>
      <c r="K46" s="92">
        <f t="shared" si="12"/>
        <v>632.54002221872781</v>
      </c>
      <c r="L46" s="92">
        <f t="shared" si="12"/>
        <v>0</v>
      </c>
      <c r="M46" s="92">
        <f t="shared" si="12"/>
        <v>0</v>
      </c>
      <c r="N46" s="92">
        <f t="shared" si="12"/>
        <v>0</v>
      </c>
      <c r="O46" s="92">
        <f t="shared" si="12"/>
        <v>0</v>
      </c>
      <c r="P46" s="92">
        <f t="shared" si="12"/>
        <v>0</v>
      </c>
      <c r="Q46" s="92">
        <f t="shared" si="12"/>
        <v>0</v>
      </c>
      <c r="R46" s="92">
        <f t="shared" si="12"/>
        <v>0</v>
      </c>
      <c r="S46" s="92">
        <f t="shared" si="12"/>
        <v>0</v>
      </c>
    </row>
    <row r="47" spans="2:20">
      <c r="B47" s="105" t="s">
        <v>146</v>
      </c>
      <c r="C47" s="93"/>
      <c r="D47" s="93"/>
      <c r="E47" s="93"/>
      <c r="F47" s="93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317"/>
      <c r="S47" s="317"/>
    </row>
    <row r="48" spans="2:20">
      <c r="B48" s="104" t="s">
        <v>147</v>
      </c>
      <c r="C48" s="115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</row>
    <row r="49" spans="2:20">
      <c r="B49" s="103" t="s">
        <v>148</v>
      </c>
      <c r="C49" s="319">
        <f t="shared" ref="C49:S49" si="13">C45-C46-C47-C48</f>
        <v>0</v>
      </c>
      <c r="D49" s="319">
        <f t="shared" si="13"/>
        <v>0</v>
      </c>
      <c r="E49" s="319">
        <f t="shared" si="13"/>
        <v>0</v>
      </c>
      <c r="F49" s="319">
        <f t="shared" si="13"/>
        <v>0</v>
      </c>
      <c r="G49" s="319">
        <f t="shared" si="13"/>
        <v>0</v>
      </c>
      <c r="H49" s="319">
        <f t="shared" si="13"/>
        <v>8449.1772365303204</v>
      </c>
      <c r="I49" s="319">
        <f t="shared" si="13"/>
        <v>22384.706057608215</v>
      </c>
      <c r="J49" s="319">
        <f t="shared" si="13"/>
        <v>43038.728042687493</v>
      </c>
      <c r="K49" s="319">
        <f t="shared" si="13"/>
        <v>62621.462199654052</v>
      </c>
      <c r="L49" s="319">
        <f t="shared" si="13"/>
        <v>79306.629146999461</v>
      </c>
      <c r="M49" s="319">
        <f t="shared" si="13"/>
        <v>93011.950648930098</v>
      </c>
      <c r="N49" s="319">
        <f t="shared" si="13"/>
        <v>105972.92460494951</v>
      </c>
      <c r="O49" s="319">
        <f t="shared" si="13"/>
        <v>120761.90134942693</v>
      </c>
      <c r="P49" s="319">
        <f t="shared" si="13"/>
        <v>134691.97594636789</v>
      </c>
      <c r="Q49" s="319">
        <f t="shared" si="13"/>
        <v>150620.06540815416</v>
      </c>
      <c r="R49" s="319">
        <f t="shared" si="13"/>
        <v>163058.75964909923</v>
      </c>
      <c r="S49" s="319">
        <f t="shared" si="13"/>
        <v>170916.82143301485</v>
      </c>
    </row>
    <row r="50" spans="2:20" ht="15.75" thickBot="1">
      <c r="B50" s="102" t="s">
        <v>149</v>
      </c>
      <c r="C50" s="93">
        <v>0</v>
      </c>
      <c r="D50" s="93">
        <v>0</v>
      </c>
      <c r="E50" s="93">
        <v>0</v>
      </c>
      <c r="F50" s="93">
        <v>0</v>
      </c>
      <c r="G50" s="93">
        <v>0</v>
      </c>
      <c r="H50" s="106">
        <v>0</v>
      </c>
      <c r="I50" s="106">
        <f t="shared" ref="I50:S50" si="14">I49*I25</f>
        <v>0</v>
      </c>
      <c r="J50" s="106">
        <f t="shared" si="14"/>
        <v>0</v>
      </c>
      <c r="K50" s="106">
        <f t="shared" si="14"/>
        <v>9393.2193299481078</v>
      </c>
      <c r="L50" s="106">
        <f t="shared" si="14"/>
        <v>19826.657286749865</v>
      </c>
      <c r="M50" s="106">
        <f t="shared" si="14"/>
        <v>32554.182727125532</v>
      </c>
      <c r="N50" s="106">
        <f t="shared" si="14"/>
        <v>37090.523611732329</v>
      </c>
      <c r="O50" s="106">
        <f t="shared" si="14"/>
        <v>42266.665472299421</v>
      </c>
      <c r="P50" s="106">
        <f t="shared" si="14"/>
        <v>47142.191581228763</v>
      </c>
      <c r="Q50" s="106">
        <f t="shared" si="14"/>
        <v>52717.022892853951</v>
      </c>
      <c r="R50" s="106">
        <f t="shared" si="14"/>
        <v>57070.56587718473</v>
      </c>
      <c r="S50" s="106">
        <f t="shared" si="14"/>
        <v>59820.887501555189</v>
      </c>
      <c r="T50" s="126" t="s">
        <v>151</v>
      </c>
    </row>
    <row r="51" spans="2:20" ht="15.75" thickBot="1">
      <c r="B51" s="101" t="s">
        <v>150</v>
      </c>
      <c r="C51" s="90">
        <f>C49-C50</f>
        <v>0</v>
      </c>
      <c r="D51" s="90">
        <f t="shared" ref="D51:S51" si="15">D49-D50</f>
        <v>0</v>
      </c>
      <c r="E51" s="90">
        <f t="shared" si="15"/>
        <v>0</v>
      </c>
      <c r="F51" s="90">
        <f t="shared" si="15"/>
        <v>0</v>
      </c>
      <c r="G51" s="90">
        <f t="shared" si="15"/>
        <v>0</v>
      </c>
      <c r="H51" s="90">
        <f t="shared" si="15"/>
        <v>8449.1772365303204</v>
      </c>
      <c r="I51" s="90">
        <f t="shared" si="15"/>
        <v>22384.706057608215</v>
      </c>
      <c r="J51" s="90">
        <f t="shared" si="15"/>
        <v>43038.728042687493</v>
      </c>
      <c r="K51" s="90">
        <f t="shared" si="15"/>
        <v>53228.242869705944</v>
      </c>
      <c r="L51" s="90">
        <f t="shared" si="15"/>
        <v>59479.9718602496</v>
      </c>
      <c r="M51" s="90">
        <f t="shared" si="15"/>
        <v>60457.767921804567</v>
      </c>
      <c r="N51" s="90">
        <f t="shared" si="15"/>
        <v>68882.40099321719</v>
      </c>
      <c r="O51" s="90">
        <f t="shared" si="15"/>
        <v>78495.235877127503</v>
      </c>
      <c r="P51" s="90">
        <f t="shared" si="15"/>
        <v>87549.78436513913</v>
      </c>
      <c r="Q51" s="90">
        <f t="shared" si="15"/>
        <v>97903.042515300214</v>
      </c>
      <c r="R51" s="90">
        <f t="shared" si="15"/>
        <v>105988.19377191449</v>
      </c>
      <c r="S51" s="90">
        <f t="shared" si="15"/>
        <v>111095.93393145966</v>
      </c>
      <c r="T51" s="100">
        <f>S51*2.5</f>
        <v>277739.83482864912</v>
      </c>
    </row>
    <row r="52" spans="2:20" ht="15.75" thickBot="1"/>
    <row r="53" spans="2:20">
      <c r="B53" s="99"/>
      <c r="C53" s="89"/>
      <c r="G53" s="720" t="s">
        <v>445</v>
      </c>
      <c r="H53" s="721"/>
    </row>
    <row r="54" spans="2:20">
      <c r="B54" s="97" t="s">
        <v>478</v>
      </c>
      <c r="C54" s="96">
        <f>NPV($C$235,G51:T51)</f>
        <v>374391.05459381326</v>
      </c>
      <c r="G54" s="437" t="s">
        <v>359</v>
      </c>
      <c r="H54" s="651">
        <v>0.85</v>
      </c>
    </row>
    <row r="55" spans="2:20">
      <c r="B55" s="97" t="s">
        <v>201</v>
      </c>
      <c r="C55" s="677">
        <f>CHOOSE($C$258,H54,H55,H56)</f>
        <v>0.75</v>
      </c>
      <c r="E55" s="126" t="s">
        <v>474</v>
      </c>
      <c r="G55" s="437" t="s">
        <v>361</v>
      </c>
      <c r="H55" s="651">
        <v>0.75</v>
      </c>
    </row>
    <row r="56" spans="2:20" ht="15.75" thickBot="1">
      <c r="B56" s="97" t="s">
        <v>477</v>
      </c>
      <c r="C56" s="96">
        <f>C54*C55</f>
        <v>280793.29094535997</v>
      </c>
      <c r="E56" s="126" t="s">
        <v>155</v>
      </c>
      <c r="G56" s="438" t="s">
        <v>360</v>
      </c>
      <c r="H56" s="652">
        <v>0.3</v>
      </c>
    </row>
    <row r="57" spans="2:20" ht="15.75" thickBot="1">
      <c r="B57" s="95" t="s">
        <v>155</v>
      </c>
      <c r="C57" s="94">
        <f>C56/$C$237</f>
        <v>6.2260153202962298</v>
      </c>
      <c r="D57" s="658"/>
      <c r="E57" s="657">
        <f>C54/$C$237</f>
        <v>8.3013537603949725</v>
      </c>
    </row>
    <row r="58" spans="2:20" ht="15.75" thickBot="1">
      <c r="B58" s="116"/>
      <c r="C58" s="117"/>
    </row>
    <row r="59" spans="2:20" ht="15.75" thickBot="1">
      <c r="B59" s="643" t="s">
        <v>472</v>
      </c>
      <c r="C59" s="642">
        <v>0.1221</v>
      </c>
      <c r="D59" s="649">
        <f>NPV(C59,E51:T51)</f>
        <v>280910.17015237594</v>
      </c>
    </row>
    <row r="60" spans="2:20">
      <c r="B60" s="116"/>
      <c r="C60" s="117"/>
    </row>
    <row r="61" spans="2:20" ht="15.75" thickBot="1">
      <c r="B61" s="108"/>
      <c r="C61" s="77">
        <v>2014</v>
      </c>
      <c r="D61" s="77">
        <v>2015</v>
      </c>
      <c r="E61" s="77">
        <v>2016</v>
      </c>
      <c r="F61" s="77">
        <v>2017</v>
      </c>
      <c r="G61" s="77">
        <v>2018</v>
      </c>
      <c r="H61" s="77">
        <v>2019</v>
      </c>
      <c r="I61" s="77">
        <v>2020</v>
      </c>
      <c r="J61" s="77">
        <v>2021</v>
      </c>
      <c r="K61" s="77">
        <v>2022</v>
      </c>
      <c r="L61" s="77">
        <v>2023</v>
      </c>
      <c r="M61" s="77">
        <v>2024</v>
      </c>
      <c r="N61" s="77">
        <v>2025</v>
      </c>
      <c r="O61" s="77">
        <v>2026</v>
      </c>
      <c r="P61" s="77">
        <v>2027</v>
      </c>
      <c r="Q61" s="77">
        <v>2028</v>
      </c>
      <c r="R61" s="77">
        <v>2029</v>
      </c>
      <c r="S61" s="77">
        <v>2030</v>
      </c>
    </row>
    <row r="62" spans="2:20" ht="15.75" thickTop="1">
      <c r="B62" s="435" t="s">
        <v>306</v>
      </c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</row>
    <row r="63" spans="2:20">
      <c r="B63" s="122" t="s">
        <v>20</v>
      </c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</row>
    <row r="64" spans="2:20">
      <c r="B64" s="123" t="s">
        <v>178</v>
      </c>
      <c r="C64" s="120"/>
      <c r="D64" s="120">
        <v>15000</v>
      </c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</row>
    <row r="65" spans="2:19">
      <c r="B65" s="122" t="s">
        <v>18</v>
      </c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</row>
    <row r="66" spans="2:19">
      <c r="B66" s="123" t="s">
        <v>179</v>
      </c>
      <c r="C66" s="120"/>
      <c r="D66" s="120">
        <v>0</v>
      </c>
      <c r="E66" s="120">
        <v>0</v>
      </c>
      <c r="F66" s="120">
        <v>0</v>
      </c>
      <c r="G66" s="120">
        <v>0</v>
      </c>
      <c r="H66" s="120">
        <v>20000</v>
      </c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</row>
    <row r="67" spans="2:19">
      <c r="B67" s="123" t="s">
        <v>181</v>
      </c>
      <c r="C67" s="120"/>
      <c r="D67" s="120">
        <v>0</v>
      </c>
      <c r="E67" s="120">
        <v>0</v>
      </c>
      <c r="F67" s="120">
        <v>0</v>
      </c>
      <c r="G67" s="120">
        <v>0</v>
      </c>
      <c r="H67" s="120">
        <v>32500</v>
      </c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</row>
    <row r="68" spans="2:19">
      <c r="B68" s="123" t="s">
        <v>180</v>
      </c>
      <c r="C68" s="120"/>
      <c r="D68" s="120">
        <v>0</v>
      </c>
      <c r="E68" s="120">
        <v>0</v>
      </c>
      <c r="F68" s="120">
        <v>0</v>
      </c>
      <c r="G68" s="120">
        <v>0</v>
      </c>
      <c r="H68" s="120">
        <v>20000</v>
      </c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</row>
    <row r="69" spans="2:19">
      <c r="B69" s="123" t="s">
        <v>182</v>
      </c>
      <c r="C69" s="120"/>
      <c r="D69" s="120">
        <v>0</v>
      </c>
      <c r="E69" s="120">
        <v>0</v>
      </c>
      <c r="F69" s="120">
        <v>0</v>
      </c>
      <c r="G69" s="120">
        <v>0</v>
      </c>
      <c r="H69" s="120">
        <v>32500</v>
      </c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</row>
    <row r="70" spans="2:19">
      <c r="B70" s="122" t="s">
        <v>19</v>
      </c>
      <c r="C70" s="125"/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</row>
    <row r="71" spans="2:19">
      <c r="B71" s="123" t="s">
        <v>187</v>
      </c>
      <c r="C71" s="120"/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10000</v>
      </c>
      <c r="K71" s="120"/>
      <c r="L71" s="120"/>
      <c r="M71" s="120"/>
      <c r="N71" s="120"/>
      <c r="O71" s="120"/>
      <c r="P71" s="120"/>
      <c r="Q71" s="120"/>
      <c r="R71" s="120"/>
      <c r="S71" s="120"/>
    </row>
    <row r="72" spans="2:19">
      <c r="B72" s="123" t="s">
        <v>186</v>
      </c>
      <c r="C72" s="120"/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10000</v>
      </c>
      <c r="L72" s="120"/>
      <c r="M72" s="120"/>
      <c r="N72" s="120"/>
      <c r="O72" s="120"/>
      <c r="P72" s="120"/>
      <c r="Q72" s="120"/>
      <c r="R72" s="120"/>
      <c r="S72" s="120"/>
    </row>
    <row r="73" spans="2:19">
      <c r="B73" s="123" t="s">
        <v>185</v>
      </c>
      <c r="C73" s="120"/>
      <c r="D73" s="120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120">
        <v>0</v>
      </c>
      <c r="M73" s="120">
        <v>15000</v>
      </c>
      <c r="N73" s="120"/>
      <c r="O73" s="120"/>
      <c r="P73" s="120"/>
      <c r="Q73" s="120"/>
      <c r="R73" s="120"/>
      <c r="S73" s="120"/>
    </row>
    <row r="74" spans="2:19">
      <c r="B74" s="123" t="s">
        <v>184</v>
      </c>
      <c r="C74" s="120"/>
      <c r="D74" s="120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120">
        <v>0</v>
      </c>
      <c r="M74" s="120">
        <v>0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</row>
    <row r="75" spans="2:19" ht="15.75" thickBot="1">
      <c r="B75" s="124" t="s">
        <v>183</v>
      </c>
      <c r="C75" s="121"/>
      <c r="D75" s="121">
        <v>0</v>
      </c>
      <c r="E75" s="121">
        <v>0</v>
      </c>
      <c r="F75" s="121">
        <v>0</v>
      </c>
      <c r="G75" s="121">
        <v>0</v>
      </c>
      <c r="H75" s="121">
        <v>0</v>
      </c>
      <c r="I75" s="121">
        <v>0</v>
      </c>
      <c r="J75" s="121">
        <v>0</v>
      </c>
      <c r="K75" s="121">
        <v>0</v>
      </c>
      <c r="L75" s="121">
        <v>0</v>
      </c>
      <c r="M75" s="121">
        <v>0</v>
      </c>
      <c r="N75" s="121">
        <v>0</v>
      </c>
      <c r="O75" s="121">
        <v>0</v>
      </c>
      <c r="P75" s="121">
        <v>0</v>
      </c>
      <c r="Q75" s="121">
        <v>0</v>
      </c>
      <c r="R75" s="121">
        <v>0</v>
      </c>
      <c r="S75" s="121">
        <v>0</v>
      </c>
    </row>
    <row r="76" spans="2:19" ht="15.75" thickTop="1">
      <c r="B76" s="345" t="s">
        <v>200</v>
      </c>
      <c r="C76" s="355">
        <f>SUM(C64:C75)</f>
        <v>0</v>
      </c>
      <c r="D76" s="355">
        <f t="shared" ref="D76:S76" si="16">SUM(D64:D75)</f>
        <v>15000</v>
      </c>
      <c r="E76" s="355">
        <f t="shared" si="16"/>
        <v>0</v>
      </c>
      <c r="F76" s="355">
        <f>SUM(F64:F75)</f>
        <v>0</v>
      </c>
      <c r="G76" s="355">
        <f t="shared" si="16"/>
        <v>0</v>
      </c>
      <c r="H76" s="355">
        <f t="shared" si="16"/>
        <v>105000</v>
      </c>
      <c r="I76" s="355">
        <f t="shared" si="16"/>
        <v>0</v>
      </c>
      <c r="J76" s="355">
        <f t="shared" si="16"/>
        <v>10000</v>
      </c>
      <c r="K76" s="355">
        <f t="shared" si="16"/>
        <v>10000</v>
      </c>
      <c r="L76" s="355">
        <f t="shared" si="16"/>
        <v>0</v>
      </c>
      <c r="M76" s="355">
        <f t="shared" si="16"/>
        <v>15000</v>
      </c>
      <c r="N76" s="355">
        <f t="shared" si="16"/>
        <v>0</v>
      </c>
      <c r="O76" s="355">
        <f t="shared" si="16"/>
        <v>0</v>
      </c>
      <c r="P76" s="355">
        <f t="shared" si="16"/>
        <v>0</v>
      </c>
      <c r="Q76" s="355">
        <f t="shared" si="16"/>
        <v>0</v>
      </c>
      <c r="R76" s="355">
        <f t="shared" si="16"/>
        <v>0</v>
      </c>
      <c r="S76" s="355">
        <f t="shared" si="16"/>
        <v>0</v>
      </c>
    </row>
    <row r="77" spans="2:19">
      <c r="B77" s="345" t="s">
        <v>463</v>
      </c>
      <c r="C77" s="355">
        <f t="shared" ref="C77:S77" si="17">C76*(1-C25)</f>
        <v>0</v>
      </c>
      <c r="D77" s="355">
        <f t="shared" si="17"/>
        <v>15000</v>
      </c>
      <c r="E77" s="355">
        <f t="shared" si="17"/>
        <v>0</v>
      </c>
      <c r="F77" s="355">
        <f t="shared" si="17"/>
        <v>0</v>
      </c>
      <c r="G77" s="355">
        <f t="shared" si="17"/>
        <v>0</v>
      </c>
      <c r="H77" s="355">
        <f t="shared" si="17"/>
        <v>105000</v>
      </c>
      <c r="I77" s="355">
        <f t="shared" si="17"/>
        <v>0</v>
      </c>
      <c r="J77" s="355">
        <f t="shared" si="17"/>
        <v>10000</v>
      </c>
      <c r="K77" s="355">
        <f t="shared" si="17"/>
        <v>8500</v>
      </c>
      <c r="L77" s="355">
        <f t="shared" si="17"/>
        <v>0</v>
      </c>
      <c r="M77" s="355">
        <f t="shared" si="17"/>
        <v>9750</v>
      </c>
      <c r="N77" s="355">
        <f t="shared" si="17"/>
        <v>0</v>
      </c>
      <c r="O77" s="355">
        <f t="shared" si="17"/>
        <v>0</v>
      </c>
      <c r="P77" s="355">
        <f t="shared" si="17"/>
        <v>0</v>
      </c>
      <c r="Q77" s="355">
        <f t="shared" si="17"/>
        <v>0</v>
      </c>
      <c r="R77" s="355">
        <f t="shared" si="17"/>
        <v>0</v>
      </c>
      <c r="S77" s="355">
        <f t="shared" si="17"/>
        <v>0</v>
      </c>
    </row>
    <row r="78" spans="2:19">
      <c r="B78" s="345" t="s">
        <v>188</v>
      </c>
      <c r="C78" s="355"/>
      <c r="D78" s="355"/>
      <c r="E78" s="355"/>
      <c r="F78" s="355">
        <f>SUM('MDS Revs'!I4:I8)+SUM('B-Thal'!L5:L10)</f>
        <v>0</v>
      </c>
      <c r="G78" s="355">
        <f>SUM('MDS Revs'!J4:J8)+SUM('B-Thal'!M5:M10)</f>
        <v>0</v>
      </c>
      <c r="H78" s="355">
        <f>SUM('MDS Revs'!K4:K8)+SUM('B-Thal'!N5:N10)</f>
        <v>80060674.693071008</v>
      </c>
      <c r="I78" s="355">
        <f>SUM('MDS Revs'!L4:L8)+SUM('B-Thal'!O5:O10)</f>
        <v>235556656.74468166</v>
      </c>
      <c r="J78" s="355">
        <f>SUM('MDS Revs'!M4:M8)+SUM('B-Thal'!P5:P10)</f>
        <v>499232810.50068474</v>
      </c>
      <c r="K78" s="355">
        <f>SUM('MDS Revs'!N4:N8)+SUM('B-Thal'!Q5:Q10)</f>
        <v>698114979.44755816</v>
      </c>
      <c r="L78" s="355">
        <f>SUM('MDS Revs'!O4:O8)+SUM('B-Thal'!R5:R10)</f>
        <v>891512327.20563436</v>
      </c>
      <c r="M78" s="355">
        <f>SUM('MDS Revs'!P4:P8)+SUM('B-Thal'!S5:S10)</f>
        <v>1079142400.32534</v>
      </c>
      <c r="N78" s="355">
        <f>SUM('MDS Revs'!Q4:Q8)+SUM('B-Thal'!T5:T10)</f>
        <v>1212227110.0590799</v>
      </c>
      <c r="O78" s="355">
        <f>SUM('MDS Revs'!R4:R8)+SUM('B-Thal'!U5:U10)</f>
        <v>1337546508.1910918</v>
      </c>
      <c r="P78" s="355">
        <f>SUM('MDS Revs'!S4:S8)+SUM('B-Thal'!V5:V10)</f>
        <v>1451537250.3888226</v>
      </c>
      <c r="Q78" s="355">
        <f>SUM('MDS Revs'!T4:T8)+SUM('B-Thal'!W5:W10)</f>
        <v>1566437631.691041</v>
      </c>
      <c r="R78" s="355">
        <f>SUM('MDS Revs'!U4:U8)+SUM('B-Thal'!X5:X10)</f>
        <v>1665843982.7430973</v>
      </c>
      <c r="S78" s="355">
        <f>SUM('MDS Revs'!V4:V8)+SUM('B-Thal'!Y5:Y10)</f>
        <v>1729039232.8364768</v>
      </c>
    </row>
    <row r="79" spans="2:19">
      <c r="B79" s="116"/>
      <c r="C79" s="117"/>
    </row>
    <row r="80" spans="2:19">
      <c r="B80" s="108" t="s">
        <v>307</v>
      </c>
      <c r="C80" s="130" t="s">
        <v>191</v>
      </c>
      <c r="D80" s="130" t="s">
        <v>17</v>
      </c>
      <c r="E80" s="130" t="s">
        <v>152</v>
      </c>
      <c r="F80" s="130" t="s">
        <v>153</v>
      </c>
      <c r="G80" s="130" t="s">
        <v>190</v>
      </c>
      <c r="H80" s="130" t="s">
        <v>154</v>
      </c>
    </row>
    <row r="81" spans="2:8">
      <c r="B81" s="118" t="s">
        <v>20</v>
      </c>
      <c r="C81" s="131"/>
      <c r="D81" s="131"/>
      <c r="E81" s="131"/>
      <c r="F81" s="131"/>
      <c r="G81" s="131"/>
      <c r="H81" s="131"/>
    </row>
    <row r="82" spans="2:8">
      <c r="B82" s="128" t="s">
        <v>178</v>
      </c>
      <c r="C82" s="141">
        <f>D64</f>
        <v>15000</v>
      </c>
      <c r="D82" s="132">
        <v>2015</v>
      </c>
      <c r="E82" s="168">
        <f>NPV($C$235,D64)</f>
        <v>13452.914798206279</v>
      </c>
      <c r="F82" s="134">
        <v>0.95</v>
      </c>
      <c r="G82" s="138">
        <v>0.95</v>
      </c>
      <c r="H82" s="141">
        <f>F82*NPV($C$235,D64)</f>
        <v>12780.269058295964</v>
      </c>
    </row>
    <row r="83" spans="2:8">
      <c r="B83" s="128" t="s">
        <v>189</v>
      </c>
      <c r="C83" s="141">
        <v>0</v>
      </c>
      <c r="D83" s="133"/>
      <c r="E83" s="169"/>
      <c r="F83" s="135">
        <v>0.95</v>
      </c>
      <c r="G83" s="137">
        <f>F83*F82</f>
        <v>0.90249999999999997</v>
      </c>
      <c r="H83" s="142"/>
    </row>
    <row r="84" spans="2:8">
      <c r="B84" s="118" t="s">
        <v>18</v>
      </c>
      <c r="C84" s="143"/>
      <c r="D84" s="144"/>
      <c r="E84" s="170"/>
      <c r="F84" s="136"/>
      <c r="G84" s="144"/>
      <c r="H84" s="145"/>
    </row>
    <row r="85" spans="2:8">
      <c r="B85" s="128" t="s">
        <v>179</v>
      </c>
      <c r="C85" s="141">
        <f>H66</f>
        <v>20000</v>
      </c>
      <c r="D85" s="146">
        <v>2019</v>
      </c>
      <c r="E85" s="171">
        <f>NPV($C$235,F66:H66)</f>
        <v>14427.975411483605</v>
      </c>
      <c r="F85" s="134">
        <v>0.95</v>
      </c>
      <c r="G85" s="138">
        <f>$G$83*F85</f>
        <v>0.85737499999999989</v>
      </c>
      <c r="H85" s="141">
        <f>G85*NPV($C$235,F66:H66)</f>
        <v>12370.185418420755</v>
      </c>
    </row>
    <row r="86" spans="2:8">
      <c r="B86" s="128" t="s">
        <v>181</v>
      </c>
      <c r="C86" s="141">
        <f>H67</f>
        <v>32500</v>
      </c>
      <c r="D86" s="146">
        <v>2019</v>
      </c>
      <c r="E86" s="171">
        <f>NPV($C$235,F67:H67)</f>
        <v>23445.460043660856</v>
      </c>
      <c r="F86" s="134">
        <f>G86/G85</f>
        <v>0.87476308499781319</v>
      </c>
      <c r="G86" s="139">
        <f>$C$15</f>
        <v>0.75</v>
      </c>
      <c r="H86" s="141">
        <f>G86*NPV($C$235,F67:H67)</f>
        <v>17584.095032745641</v>
      </c>
    </row>
    <row r="87" spans="2:8">
      <c r="B87" s="128" t="s">
        <v>180</v>
      </c>
      <c r="C87" s="141">
        <f>H68</f>
        <v>20000</v>
      </c>
      <c r="D87" s="146">
        <v>2019</v>
      </c>
      <c r="E87" s="171">
        <f>NPV($C$235,F68:H68)</f>
        <v>14427.975411483605</v>
      </c>
      <c r="F87" s="134">
        <v>0.95</v>
      </c>
      <c r="G87" s="138">
        <f>$G$83*F87</f>
        <v>0.85737499999999989</v>
      </c>
      <c r="H87" s="141">
        <f>G87*NPV($C$235,F68:H68)</f>
        <v>12370.185418420755</v>
      </c>
    </row>
    <row r="88" spans="2:8">
      <c r="B88" s="128" t="s">
        <v>182</v>
      </c>
      <c r="C88" s="142">
        <f>H69</f>
        <v>32500</v>
      </c>
      <c r="D88" s="147">
        <v>2019</v>
      </c>
      <c r="E88" s="172">
        <f>NPV($C$235,F69:H69)</f>
        <v>23445.460043660856</v>
      </c>
      <c r="F88" s="135">
        <f>G88/G87</f>
        <v>0.87476308499781319</v>
      </c>
      <c r="G88" s="140">
        <f>$C$15</f>
        <v>0.75</v>
      </c>
      <c r="H88" s="142">
        <f>G88*NPV($C$235,F69:H69)</f>
        <v>17584.095032745641</v>
      </c>
    </row>
    <row r="89" spans="2:8">
      <c r="B89" s="118" t="s">
        <v>19</v>
      </c>
      <c r="C89" s="145"/>
      <c r="D89" s="144"/>
      <c r="E89" s="170"/>
      <c r="F89" s="144"/>
      <c r="G89" s="144"/>
      <c r="H89" s="145"/>
    </row>
    <row r="90" spans="2:8">
      <c r="B90" s="128" t="s">
        <v>173</v>
      </c>
      <c r="C90" s="141">
        <f>J71</f>
        <v>10000</v>
      </c>
      <c r="D90" s="146">
        <v>2021</v>
      </c>
      <c r="E90" s="171">
        <f>NPV($C$235,F71:J71)</f>
        <v>5802.6404759732159</v>
      </c>
      <c r="F90" s="134">
        <v>0.95</v>
      </c>
      <c r="G90" s="139">
        <f>G88*F90</f>
        <v>0.71249999999999991</v>
      </c>
      <c r="H90" s="141">
        <f>G90*NPV($C$235,F71:J71)</f>
        <v>4134.3813391309159</v>
      </c>
    </row>
    <row r="91" spans="2:8">
      <c r="B91" s="128" t="s">
        <v>174</v>
      </c>
      <c r="C91" s="141">
        <f>K72</f>
        <v>10000</v>
      </c>
      <c r="D91" s="146">
        <v>2022</v>
      </c>
      <c r="E91" s="171">
        <f>NPV($C$235,F72:K72)</f>
        <v>5204.1618618593866</v>
      </c>
      <c r="F91" s="134">
        <v>0.9</v>
      </c>
      <c r="G91" s="139">
        <f>$G$88*F91</f>
        <v>0.67500000000000004</v>
      </c>
      <c r="H91" s="141">
        <f>G91*NPV($C$235,F72:K72)</f>
        <v>3512.8092567550862</v>
      </c>
    </row>
    <row r="92" spans="2:8">
      <c r="B92" s="128" t="s">
        <v>175</v>
      </c>
      <c r="C92" s="141">
        <f>M73*0.75</f>
        <v>11250</v>
      </c>
      <c r="D92" s="146">
        <v>2024</v>
      </c>
      <c r="E92" s="171">
        <f>NPV($C$235,F73:M73)</f>
        <v>6279.0265581765807</v>
      </c>
      <c r="F92" s="134">
        <v>0.7</v>
      </c>
      <c r="G92" s="139">
        <f>$G$88*F92</f>
        <v>0.52499999999999991</v>
      </c>
      <c r="H92" s="141">
        <f>G92*NPV($C$235,F73:M73)</f>
        <v>3296.4889430427042</v>
      </c>
    </row>
    <row r="93" spans="2:8">
      <c r="B93" s="128" t="s">
        <v>176</v>
      </c>
      <c r="C93" s="141">
        <f>S74*0.65</f>
        <v>0</v>
      </c>
      <c r="D93" s="146"/>
      <c r="E93" s="171">
        <f>NPV($C$235,E74:S74)</f>
        <v>0</v>
      </c>
      <c r="F93" s="134">
        <v>0.5</v>
      </c>
      <c r="G93" s="139">
        <f>$G$88*F93</f>
        <v>0.375</v>
      </c>
      <c r="H93" s="141">
        <f>G93*NPV($C$235,D74:S74)</f>
        <v>0</v>
      </c>
    </row>
    <row r="94" spans="2:8">
      <c r="B94" s="129" t="s">
        <v>177</v>
      </c>
      <c r="C94" s="142">
        <f>P75*0.65</f>
        <v>0</v>
      </c>
      <c r="D94" s="147"/>
      <c r="E94" s="172">
        <f>NPV($C$235,E75:P75)</f>
        <v>0</v>
      </c>
      <c r="F94" s="135">
        <v>0.3</v>
      </c>
      <c r="G94" s="140">
        <f>$G$88*F94</f>
        <v>0.22499999999999998</v>
      </c>
      <c r="H94" s="142">
        <f>G94*NPV($C$235,D75:P75)</f>
        <v>0</v>
      </c>
    </row>
    <row r="95" spans="2:8">
      <c r="B95" s="116"/>
      <c r="C95" s="117"/>
      <c r="E95" s="172">
        <f>SUM(E81:E94)</f>
        <v>106485.6146045044</v>
      </c>
    </row>
    <row r="96" spans="2:8">
      <c r="B96" s="116"/>
      <c r="C96" s="117"/>
      <c r="E96" s="659"/>
    </row>
    <row r="97" spans="2:20" ht="15.75" thickBot="1">
      <c r="E97" s="126" t="s">
        <v>474</v>
      </c>
    </row>
    <row r="98" spans="2:20" ht="15.75" thickBot="1">
      <c r="B98" s="99" t="s">
        <v>154</v>
      </c>
      <c r="C98" s="148">
        <f>SUM(H82:H94)</f>
        <v>83632.509499557476</v>
      </c>
      <c r="D98" s="658"/>
      <c r="E98" s="126" t="s">
        <v>155</v>
      </c>
    </row>
    <row r="99" spans="2:20" ht="15.75" thickBot="1">
      <c r="B99" s="95" t="s">
        <v>155</v>
      </c>
      <c r="C99" s="86">
        <f>C98/C237</f>
        <v>1.8543793680611413</v>
      </c>
      <c r="E99" s="657">
        <f>E95/$C$237</f>
        <v>2.3611001020954414</v>
      </c>
    </row>
    <row r="100" spans="2:20" ht="15.75" thickBot="1"/>
    <row r="101" spans="2:20" ht="15.75" thickBot="1">
      <c r="B101" s="643" t="s">
        <v>491</v>
      </c>
      <c r="C101" s="642">
        <v>0.17199999999999999</v>
      </c>
      <c r="D101" s="649">
        <f>NPV(C101,E77:T77)</f>
        <v>64645.882183685528</v>
      </c>
    </row>
    <row r="104" spans="2:20" ht="15.75" thickBot="1">
      <c r="B104" s="108" t="s">
        <v>374</v>
      </c>
      <c r="C104" s="696">
        <v>2014</v>
      </c>
      <c r="D104" s="696">
        <v>2015</v>
      </c>
      <c r="E104" s="696">
        <v>2016</v>
      </c>
      <c r="F104" s="696">
        <v>2017</v>
      </c>
      <c r="G104" s="696">
        <v>2018</v>
      </c>
      <c r="H104" s="696">
        <v>2019</v>
      </c>
      <c r="I104" s="696">
        <v>2020</v>
      </c>
      <c r="J104" s="696">
        <v>2021</v>
      </c>
      <c r="K104" s="696">
        <v>2022</v>
      </c>
      <c r="L104" s="696">
        <v>2023</v>
      </c>
      <c r="M104" s="696">
        <v>2024</v>
      </c>
      <c r="N104" s="696">
        <v>2025</v>
      </c>
      <c r="O104" s="696">
        <v>2026</v>
      </c>
      <c r="P104" s="696">
        <v>2027</v>
      </c>
      <c r="Q104" s="696">
        <v>2028</v>
      </c>
      <c r="R104" s="696">
        <v>2029</v>
      </c>
      <c r="S104" s="696">
        <v>2030</v>
      </c>
    </row>
    <row r="105" spans="2:20" ht="15.75" thickTop="1">
      <c r="B105" s="107" t="s">
        <v>164</v>
      </c>
      <c r="C105" s="106">
        <f>Royalties!F20/1000</f>
        <v>0</v>
      </c>
      <c r="D105" s="106">
        <f>Royalties!G20/1000</f>
        <v>0</v>
      </c>
      <c r="E105" s="106">
        <f>Royalties!H20/1000</f>
        <v>0</v>
      </c>
      <c r="F105" s="106">
        <f>Royalties!I20/1000</f>
        <v>0</v>
      </c>
      <c r="G105" s="106">
        <f>Royalties!J20/1000</f>
        <v>0</v>
      </c>
      <c r="H105" s="106">
        <f>Royalties!K20/1000</f>
        <v>0</v>
      </c>
      <c r="I105" s="106">
        <f>Royalties!L20/1000</f>
        <v>0</v>
      </c>
      <c r="J105" s="106">
        <f>Royalties!M20/1000</f>
        <v>0</v>
      </c>
      <c r="K105" s="106">
        <f>Royalties!N20/1000</f>
        <v>0</v>
      </c>
      <c r="L105" s="106">
        <f>Royalties!O20/1000</f>
        <v>0</v>
      </c>
      <c r="M105" s="106">
        <f>Royalties!P20/1000</f>
        <v>0</v>
      </c>
      <c r="N105" s="106">
        <f>Royalties!Q20/1000</f>
        <v>0</v>
      </c>
      <c r="O105" s="106">
        <f>Royalties!R20/1000</f>
        <v>0</v>
      </c>
      <c r="P105" s="106">
        <f>Royalties!S20/1000</f>
        <v>0</v>
      </c>
      <c r="Q105" s="106">
        <f>Royalties!T20/1000</f>
        <v>0</v>
      </c>
      <c r="R105" s="106">
        <f>Royalties!U20/1000</f>
        <v>0</v>
      </c>
      <c r="S105" s="106">
        <f>Royalties!V20/1000</f>
        <v>0</v>
      </c>
    </row>
    <row r="106" spans="2:20">
      <c r="B106" s="105" t="s">
        <v>33</v>
      </c>
      <c r="C106" s="106"/>
      <c r="D106" s="106"/>
      <c r="E106" s="106"/>
      <c r="F106" s="106"/>
      <c r="G106" s="106"/>
      <c r="H106" s="106">
        <f>H105*H114</f>
        <v>0</v>
      </c>
      <c r="I106" s="106">
        <f t="shared" ref="I106:S106" si="18">I105*I114</f>
        <v>0</v>
      </c>
      <c r="J106" s="106">
        <f t="shared" si="18"/>
        <v>0</v>
      </c>
      <c r="K106" s="106">
        <f t="shared" si="18"/>
        <v>0</v>
      </c>
      <c r="L106" s="106">
        <f t="shared" si="18"/>
        <v>0</v>
      </c>
      <c r="M106" s="106">
        <f t="shared" si="18"/>
        <v>0</v>
      </c>
      <c r="N106" s="106">
        <f t="shared" si="18"/>
        <v>0</v>
      </c>
      <c r="O106" s="106">
        <f t="shared" si="18"/>
        <v>0</v>
      </c>
      <c r="P106" s="106">
        <f t="shared" si="18"/>
        <v>0</v>
      </c>
      <c r="Q106" s="106">
        <f t="shared" si="18"/>
        <v>0</v>
      </c>
      <c r="R106" s="106">
        <f t="shared" si="18"/>
        <v>0</v>
      </c>
      <c r="S106" s="106">
        <f t="shared" si="18"/>
        <v>0</v>
      </c>
    </row>
    <row r="107" spans="2:20">
      <c r="B107" s="105" t="s">
        <v>146</v>
      </c>
      <c r="C107" s="106">
        <v>3000</v>
      </c>
      <c r="D107" s="106">
        <v>3000</v>
      </c>
      <c r="E107" s="106">
        <v>3000</v>
      </c>
      <c r="F107" s="106">
        <v>3000</v>
      </c>
      <c r="G107" s="317">
        <v>3000</v>
      </c>
      <c r="H107" s="317">
        <v>3000</v>
      </c>
      <c r="I107" s="317">
        <v>3000</v>
      </c>
      <c r="J107" s="317">
        <f t="shared" ref="J107:S107" si="19">I107</f>
        <v>3000</v>
      </c>
      <c r="K107" s="317">
        <f t="shared" si="19"/>
        <v>3000</v>
      </c>
      <c r="L107" s="317">
        <f t="shared" si="19"/>
        <v>3000</v>
      </c>
      <c r="M107" s="317">
        <f t="shared" si="19"/>
        <v>3000</v>
      </c>
      <c r="N107" s="317">
        <f t="shared" si="19"/>
        <v>3000</v>
      </c>
      <c r="O107" s="317">
        <f t="shared" si="19"/>
        <v>3000</v>
      </c>
      <c r="P107" s="317">
        <f t="shared" si="19"/>
        <v>3000</v>
      </c>
      <c r="Q107" s="317">
        <f t="shared" si="19"/>
        <v>3000</v>
      </c>
      <c r="R107" s="317">
        <f t="shared" si="19"/>
        <v>3000</v>
      </c>
      <c r="S107" s="317">
        <f t="shared" si="19"/>
        <v>3000</v>
      </c>
    </row>
    <row r="108" spans="2:20">
      <c r="B108" s="104" t="s">
        <v>147</v>
      </c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</row>
    <row r="109" spans="2:20">
      <c r="B109" s="103" t="s">
        <v>148</v>
      </c>
      <c r="C109" s="319">
        <f t="shared" ref="C109:S109" si="20">C105-C106-C107-C108</f>
        <v>-3000</v>
      </c>
      <c r="D109" s="319">
        <f t="shared" si="20"/>
        <v>-3000</v>
      </c>
      <c r="E109" s="319">
        <f t="shared" si="20"/>
        <v>-3000</v>
      </c>
      <c r="F109" s="319">
        <f t="shared" si="20"/>
        <v>-3000</v>
      </c>
      <c r="G109" s="319">
        <f t="shared" si="20"/>
        <v>-3000</v>
      </c>
      <c r="H109" s="319">
        <f t="shared" si="20"/>
        <v>-3000</v>
      </c>
      <c r="I109" s="319">
        <f t="shared" si="20"/>
        <v>-3000</v>
      </c>
      <c r="J109" s="319">
        <f t="shared" si="20"/>
        <v>-3000</v>
      </c>
      <c r="K109" s="319">
        <f t="shared" si="20"/>
        <v>-3000</v>
      </c>
      <c r="L109" s="319">
        <f t="shared" si="20"/>
        <v>-3000</v>
      </c>
      <c r="M109" s="319">
        <f t="shared" si="20"/>
        <v>-3000</v>
      </c>
      <c r="N109" s="319">
        <f t="shared" si="20"/>
        <v>-3000</v>
      </c>
      <c r="O109" s="319">
        <f t="shared" si="20"/>
        <v>-3000</v>
      </c>
      <c r="P109" s="319">
        <f t="shared" si="20"/>
        <v>-3000</v>
      </c>
      <c r="Q109" s="319">
        <f t="shared" si="20"/>
        <v>-3000</v>
      </c>
      <c r="R109" s="319">
        <f t="shared" si="20"/>
        <v>-3000</v>
      </c>
      <c r="S109" s="319">
        <f t="shared" si="20"/>
        <v>-3000</v>
      </c>
    </row>
    <row r="110" spans="2:20" ht="15.75" thickBot="1">
      <c r="B110" s="102" t="s">
        <v>149</v>
      </c>
      <c r="C110" s="93">
        <v>0</v>
      </c>
      <c r="D110" s="93">
        <v>0</v>
      </c>
      <c r="E110" s="93">
        <v>0</v>
      </c>
      <c r="F110" s="93">
        <v>0</v>
      </c>
      <c r="G110" s="93">
        <v>0</v>
      </c>
      <c r="H110" s="106">
        <v>0</v>
      </c>
      <c r="I110" s="106">
        <f>I109*0.15</f>
        <v>-450</v>
      </c>
      <c r="J110" s="106">
        <f>J109*0.25</f>
        <v>-750</v>
      </c>
      <c r="K110" s="106">
        <f>K109*0.35</f>
        <v>-1050</v>
      </c>
      <c r="L110" s="106">
        <f t="shared" ref="L110:S110" si="21">L109*0.35</f>
        <v>-1050</v>
      </c>
      <c r="M110" s="106">
        <f t="shared" si="21"/>
        <v>-1050</v>
      </c>
      <c r="N110" s="106">
        <f t="shared" si="21"/>
        <v>-1050</v>
      </c>
      <c r="O110" s="106">
        <f t="shared" si="21"/>
        <v>-1050</v>
      </c>
      <c r="P110" s="106">
        <f t="shared" si="21"/>
        <v>-1050</v>
      </c>
      <c r="Q110" s="106">
        <f t="shared" si="21"/>
        <v>-1050</v>
      </c>
      <c r="R110" s="106">
        <f t="shared" si="21"/>
        <v>-1050</v>
      </c>
      <c r="S110" s="106">
        <f t="shared" si="21"/>
        <v>-1050</v>
      </c>
      <c r="T110" s="126" t="s">
        <v>151</v>
      </c>
    </row>
    <row r="111" spans="2:20" ht="15.75" thickBot="1">
      <c r="B111" s="101" t="s">
        <v>150</v>
      </c>
      <c r="C111" s="90">
        <f t="shared" ref="C111:S111" si="22">C109-C110</f>
        <v>-3000</v>
      </c>
      <c r="D111" s="90">
        <f t="shared" si="22"/>
        <v>-3000</v>
      </c>
      <c r="E111" s="90">
        <f t="shared" si="22"/>
        <v>-3000</v>
      </c>
      <c r="F111" s="90">
        <f t="shared" si="22"/>
        <v>-3000</v>
      </c>
      <c r="G111" s="90">
        <f t="shared" si="22"/>
        <v>-3000</v>
      </c>
      <c r="H111" s="90">
        <f t="shared" si="22"/>
        <v>-3000</v>
      </c>
      <c r="I111" s="90">
        <f t="shared" si="22"/>
        <v>-2550</v>
      </c>
      <c r="J111" s="90">
        <f t="shared" si="22"/>
        <v>-2250</v>
      </c>
      <c r="K111" s="90">
        <f t="shared" si="22"/>
        <v>-1950</v>
      </c>
      <c r="L111" s="90">
        <f t="shared" si="22"/>
        <v>-1950</v>
      </c>
      <c r="M111" s="90">
        <f t="shared" si="22"/>
        <v>-1950</v>
      </c>
      <c r="N111" s="90">
        <f t="shared" si="22"/>
        <v>-1950</v>
      </c>
      <c r="O111" s="90">
        <f t="shared" si="22"/>
        <v>-1950</v>
      </c>
      <c r="P111" s="90">
        <f t="shared" si="22"/>
        <v>-1950</v>
      </c>
      <c r="Q111" s="90">
        <f t="shared" si="22"/>
        <v>-1950</v>
      </c>
      <c r="R111" s="90">
        <f t="shared" si="22"/>
        <v>-1950</v>
      </c>
      <c r="S111" s="90">
        <f t="shared" si="22"/>
        <v>-1950</v>
      </c>
      <c r="T111" s="100">
        <f>S111*2.5</f>
        <v>-4875</v>
      </c>
    </row>
    <row r="113" spans="2:19">
      <c r="B113" s="108" t="s">
        <v>452</v>
      </c>
      <c r="C113" s="107">
        <v>2014</v>
      </c>
      <c r="D113" s="107">
        <v>2015</v>
      </c>
      <c r="E113" s="107">
        <v>2016</v>
      </c>
      <c r="F113" s="107">
        <v>2017</v>
      </c>
      <c r="G113" s="107">
        <v>2018</v>
      </c>
      <c r="H113" s="107">
        <v>2019</v>
      </c>
      <c r="I113" s="107">
        <v>2020</v>
      </c>
      <c r="J113" s="107">
        <v>2021</v>
      </c>
      <c r="K113" s="107">
        <v>2022</v>
      </c>
      <c r="L113" s="107">
        <v>2023</v>
      </c>
      <c r="M113" s="107">
        <v>2024</v>
      </c>
      <c r="N113" s="107">
        <v>2025</v>
      </c>
      <c r="O113" s="107">
        <v>2026</v>
      </c>
      <c r="P113" s="107">
        <v>2027</v>
      </c>
      <c r="Q113" s="107">
        <v>2028</v>
      </c>
      <c r="R113" s="107">
        <v>2029</v>
      </c>
      <c r="S113" s="107">
        <v>2030</v>
      </c>
    </row>
    <row r="114" spans="2:19">
      <c r="B114" s="131" t="s">
        <v>33</v>
      </c>
      <c r="C114" s="389"/>
      <c r="D114" s="389"/>
      <c r="E114" s="389"/>
      <c r="F114" s="389"/>
      <c r="G114" s="389"/>
      <c r="H114" s="389">
        <v>0.02</v>
      </c>
      <c r="I114" s="389">
        <v>0.02</v>
      </c>
      <c r="J114" s="389">
        <f t="shared" ref="J114:S114" si="23">I114</f>
        <v>0.02</v>
      </c>
      <c r="K114" s="389">
        <f t="shared" si="23"/>
        <v>0.02</v>
      </c>
      <c r="L114" s="389">
        <f t="shared" si="23"/>
        <v>0.02</v>
      </c>
      <c r="M114" s="389">
        <f t="shared" si="23"/>
        <v>0.02</v>
      </c>
      <c r="N114" s="389">
        <f t="shared" si="23"/>
        <v>0.02</v>
      </c>
      <c r="O114" s="389">
        <f t="shared" si="23"/>
        <v>0.02</v>
      </c>
      <c r="P114" s="389">
        <f t="shared" si="23"/>
        <v>0.02</v>
      </c>
      <c r="Q114" s="389">
        <f t="shared" si="23"/>
        <v>0.02</v>
      </c>
      <c r="R114" s="389">
        <f t="shared" si="23"/>
        <v>0.02</v>
      </c>
      <c r="S114" s="389">
        <f t="shared" si="23"/>
        <v>0.02</v>
      </c>
    </row>
    <row r="115" spans="2:19">
      <c r="B115" s="387" t="s">
        <v>311</v>
      </c>
      <c r="C115" s="390"/>
      <c r="D115" s="390"/>
      <c r="E115" s="390"/>
      <c r="F115" s="390"/>
      <c r="G115" s="390"/>
      <c r="H115" s="390"/>
      <c r="I115" s="390"/>
      <c r="J115" s="390"/>
      <c r="K115" s="390"/>
      <c r="L115" s="390"/>
      <c r="M115" s="390"/>
      <c r="N115" s="390"/>
      <c r="O115" s="390"/>
      <c r="P115" s="390"/>
      <c r="Q115" s="390"/>
      <c r="R115" s="390"/>
      <c r="S115" s="390"/>
    </row>
    <row r="116" spans="2:19">
      <c r="B116" s="387" t="s">
        <v>147</v>
      </c>
      <c r="C116" s="390"/>
      <c r="D116" s="390"/>
      <c r="E116" s="390"/>
      <c r="F116" s="390"/>
      <c r="G116" s="390"/>
      <c r="H116" s="390"/>
      <c r="I116" s="390"/>
      <c r="J116" s="390"/>
      <c r="K116" s="390"/>
      <c r="L116" s="390"/>
      <c r="M116" s="390"/>
      <c r="N116" s="390"/>
      <c r="O116" s="390"/>
      <c r="P116" s="390"/>
      <c r="Q116" s="390"/>
      <c r="R116" s="390"/>
      <c r="S116" s="390"/>
    </row>
    <row r="117" spans="2:19">
      <c r="B117" s="102" t="s">
        <v>149</v>
      </c>
      <c r="C117" s="391"/>
      <c r="D117" s="102"/>
      <c r="E117" s="102"/>
      <c r="F117" s="392"/>
      <c r="G117" s="392"/>
      <c r="H117" s="392"/>
      <c r="I117" s="392"/>
      <c r="J117" s="392"/>
      <c r="K117" s="392">
        <v>0.15</v>
      </c>
      <c r="L117" s="392">
        <v>0.25</v>
      </c>
      <c r="M117" s="392">
        <v>0.35</v>
      </c>
      <c r="N117" s="392">
        <v>0.35</v>
      </c>
      <c r="O117" s="392">
        <v>0.35</v>
      </c>
      <c r="P117" s="392">
        <v>0.35</v>
      </c>
      <c r="Q117" s="392">
        <v>0.35</v>
      </c>
      <c r="R117" s="392">
        <v>0.35</v>
      </c>
      <c r="S117" s="392">
        <v>0.35</v>
      </c>
    </row>
    <row r="118" spans="2:19" ht="15.75" thickBot="1"/>
    <row r="119" spans="2:19">
      <c r="B119" s="99"/>
      <c r="C119" s="88"/>
      <c r="G119" s="720" t="s">
        <v>445</v>
      </c>
      <c r="H119" s="721"/>
    </row>
    <row r="120" spans="2:19">
      <c r="B120" s="97" t="s">
        <v>478</v>
      </c>
      <c r="C120" s="96">
        <f>NPV($C$235,F111:T111)</f>
        <v>-17321.088909318565</v>
      </c>
      <c r="G120" s="437" t="s">
        <v>359</v>
      </c>
      <c r="H120" s="651">
        <v>0.6</v>
      </c>
    </row>
    <row r="121" spans="2:19">
      <c r="B121" s="97" t="s">
        <v>201</v>
      </c>
      <c r="C121" s="677">
        <f>CHOOSE($C$258,H120,H121,H122)</f>
        <v>0.45</v>
      </c>
      <c r="E121" s="126" t="s">
        <v>474</v>
      </c>
      <c r="G121" s="437" t="s">
        <v>361</v>
      </c>
      <c r="H121" s="651">
        <v>0.45</v>
      </c>
    </row>
    <row r="122" spans="2:19" ht="15.75" thickBot="1">
      <c r="B122" s="97" t="s">
        <v>477</v>
      </c>
      <c r="C122" s="96">
        <f>C120*C121</f>
        <v>-7794.4900091933541</v>
      </c>
      <c r="E122" s="126" t="s">
        <v>155</v>
      </c>
      <c r="G122" s="438" t="s">
        <v>360</v>
      </c>
      <c r="H122" s="652">
        <v>0.3</v>
      </c>
    </row>
    <row r="123" spans="2:19" ht="15.75" thickBot="1">
      <c r="B123" s="95" t="s">
        <v>155</v>
      </c>
      <c r="C123" s="94">
        <f>C122/$C$237</f>
        <v>-0.17282682947213646</v>
      </c>
      <c r="D123" s="658"/>
      <c r="E123" s="657">
        <f>C120/$C$237</f>
        <v>-0.38405962104919211</v>
      </c>
    </row>
    <row r="124" spans="2:19" ht="15.75" thickBot="1">
      <c r="B124" s="116"/>
      <c r="C124" s="116"/>
    </row>
    <row r="125" spans="2:19" ht="15.75" thickBot="1">
      <c r="B125" s="643" t="s">
        <v>471</v>
      </c>
      <c r="C125" s="642">
        <v>0.20318154875552455</v>
      </c>
      <c r="D125" s="649">
        <f>NPV(C125,E111:T111)</f>
        <v>-12290.111045968159</v>
      </c>
    </row>
    <row r="126" spans="2:19">
      <c r="B126" s="116"/>
      <c r="C126" s="116"/>
      <c r="D126" s="649"/>
    </row>
    <row r="127" spans="2:19" ht="15.75" thickBot="1">
      <c r="B127" s="108"/>
      <c r="C127" s="696">
        <v>2014</v>
      </c>
      <c r="D127" s="696">
        <v>2015</v>
      </c>
      <c r="E127" s="696">
        <v>2016</v>
      </c>
      <c r="F127" s="696">
        <v>2017</v>
      </c>
      <c r="G127" s="696">
        <v>2018</v>
      </c>
      <c r="H127" s="696">
        <v>2019</v>
      </c>
      <c r="I127" s="696">
        <v>2020</v>
      </c>
      <c r="J127" s="696">
        <v>2021</v>
      </c>
      <c r="K127" s="696">
        <v>2022</v>
      </c>
      <c r="L127" s="696">
        <v>2023</v>
      </c>
      <c r="M127" s="696">
        <v>2024</v>
      </c>
      <c r="N127" s="696">
        <v>2025</v>
      </c>
      <c r="O127" s="696">
        <v>2026</v>
      </c>
      <c r="P127" s="696">
        <v>2027</v>
      </c>
      <c r="Q127" s="696">
        <v>2028</v>
      </c>
      <c r="R127" s="696">
        <v>2029</v>
      </c>
      <c r="S127" s="696">
        <v>2030</v>
      </c>
    </row>
    <row r="128" spans="2:19" ht="15.75" thickTop="1">
      <c r="B128" s="435" t="s">
        <v>308</v>
      </c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</row>
    <row r="129" spans="2:19">
      <c r="B129" s="122" t="s">
        <v>20</v>
      </c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</row>
    <row r="130" spans="2:19">
      <c r="B130" s="123" t="s">
        <v>167</v>
      </c>
      <c r="C130" s="120"/>
      <c r="D130" s="120"/>
      <c r="E130" s="120"/>
      <c r="F130" s="120">
        <v>10000</v>
      </c>
      <c r="G130" s="120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R130" s="120"/>
      <c r="S130" s="120"/>
    </row>
    <row r="131" spans="2:19">
      <c r="B131" s="123" t="s">
        <v>166</v>
      </c>
      <c r="C131" s="120"/>
      <c r="D131" s="120"/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</row>
    <row r="132" spans="2:19">
      <c r="B132" s="122" t="s">
        <v>18</v>
      </c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</row>
    <row r="133" spans="2:19">
      <c r="B133" s="123" t="s">
        <v>169</v>
      </c>
      <c r="C133" s="120"/>
      <c r="D133" s="120">
        <v>0</v>
      </c>
      <c r="E133" s="120">
        <v>0</v>
      </c>
      <c r="F133" s="120">
        <v>0</v>
      </c>
      <c r="G133" s="120">
        <v>0</v>
      </c>
      <c r="H133" s="120">
        <v>19000</v>
      </c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/>
    </row>
    <row r="134" spans="2:19">
      <c r="B134" s="123" t="s">
        <v>168</v>
      </c>
      <c r="C134" s="120"/>
      <c r="D134" s="120"/>
      <c r="E134" s="120"/>
      <c r="F134" s="120"/>
      <c r="G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</row>
    <row r="135" spans="2:19">
      <c r="B135" s="123" t="s">
        <v>170</v>
      </c>
      <c r="C135" s="120"/>
      <c r="D135" s="120">
        <v>0</v>
      </c>
      <c r="E135" s="120">
        <v>0</v>
      </c>
      <c r="F135" s="120">
        <v>0</v>
      </c>
      <c r="G135" s="120">
        <v>0</v>
      </c>
      <c r="H135" s="120">
        <v>19000</v>
      </c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</row>
    <row r="136" spans="2:19">
      <c r="B136" s="123" t="s">
        <v>171</v>
      </c>
      <c r="C136" s="120"/>
      <c r="D136" s="120"/>
      <c r="E136" s="120"/>
      <c r="F136" s="120"/>
      <c r="G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</row>
    <row r="137" spans="2:19">
      <c r="B137" s="123" t="s">
        <v>172</v>
      </c>
      <c r="C137" s="120"/>
      <c r="D137" s="120">
        <v>0</v>
      </c>
      <c r="E137" s="120">
        <v>0</v>
      </c>
      <c r="F137" s="120">
        <v>0</v>
      </c>
      <c r="G137" s="120">
        <v>0</v>
      </c>
      <c r="H137" s="120">
        <v>0</v>
      </c>
      <c r="I137" s="120">
        <v>28500</v>
      </c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</row>
    <row r="138" spans="2:19">
      <c r="B138" s="123" t="s">
        <v>192</v>
      </c>
      <c r="C138" s="120"/>
      <c r="D138" s="120"/>
      <c r="E138" s="120"/>
      <c r="F138" s="120"/>
      <c r="G138" s="120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</row>
    <row r="139" spans="2:19">
      <c r="B139" s="123" t="s">
        <v>193</v>
      </c>
      <c r="C139" s="120"/>
      <c r="D139" s="120">
        <v>0</v>
      </c>
      <c r="E139" s="120">
        <v>0</v>
      </c>
      <c r="F139" s="120">
        <v>0</v>
      </c>
      <c r="G139" s="120">
        <v>0</v>
      </c>
      <c r="H139" s="120">
        <v>0</v>
      </c>
      <c r="I139" s="120">
        <v>28500</v>
      </c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</row>
    <row r="140" spans="2:19">
      <c r="B140" s="123" t="s">
        <v>194</v>
      </c>
      <c r="C140" s="120"/>
      <c r="D140" s="120"/>
      <c r="E140" s="120"/>
      <c r="F140" s="120"/>
      <c r="G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0"/>
      <c r="S140" s="120"/>
    </row>
    <row r="141" spans="2:19">
      <c r="B141" s="122" t="s">
        <v>19</v>
      </c>
      <c r="C141" s="125"/>
      <c r="D141" s="125"/>
      <c r="E141" s="125"/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</row>
    <row r="142" spans="2:19">
      <c r="B142" s="123" t="s">
        <v>173</v>
      </c>
      <c r="C142" s="120"/>
      <c r="D142" s="120">
        <v>0</v>
      </c>
      <c r="E142" s="120">
        <v>0</v>
      </c>
      <c r="F142" s="120">
        <v>0</v>
      </c>
      <c r="G142" s="120">
        <v>0</v>
      </c>
      <c r="H142" s="120">
        <v>0</v>
      </c>
      <c r="I142" s="120">
        <v>0</v>
      </c>
      <c r="J142" s="120">
        <v>0</v>
      </c>
      <c r="K142" s="120">
        <v>18750</v>
      </c>
      <c r="L142" s="120"/>
      <c r="M142" s="120"/>
      <c r="N142" s="120"/>
      <c r="O142" s="120"/>
      <c r="P142" s="120"/>
      <c r="Q142" s="120"/>
      <c r="R142" s="120"/>
      <c r="S142" s="120"/>
    </row>
    <row r="143" spans="2:19">
      <c r="B143" s="123" t="s">
        <v>174</v>
      </c>
      <c r="C143" s="120"/>
      <c r="D143" s="120">
        <v>0</v>
      </c>
      <c r="E143" s="120">
        <v>0</v>
      </c>
      <c r="F143" s="120">
        <v>0</v>
      </c>
      <c r="G143" s="120">
        <v>0</v>
      </c>
      <c r="H143" s="120">
        <v>0</v>
      </c>
      <c r="I143" s="120">
        <v>0</v>
      </c>
      <c r="J143" s="120">
        <v>0</v>
      </c>
      <c r="K143" s="120">
        <v>0</v>
      </c>
      <c r="L143" s="120">
        <v>0</v>
      </c>
      <c r="M143" s="120">
        <v>0</v>
      </c>
      <c r="N143" s="120">
        <v>0</v>
      </c>
      <c r="O143" s="120">
        <v>18750</v>
      </c>
      <c r="P143" s="120"/>
      <c r="Q143" s="120"/>
      <c r="R143" s="120"/>
      <c r="S143" s="120"/>
    </row>
    <row r="144" spans="2:19">
      <c r="B144" s="123" t="s">
        <v>175</v>
      </c>
      <c r="C144" s="120"/>
      <c r="D144" s="120">
        <v>0</v>
      </c>
      <c r="E144" s="120">
        <v>0</v>
      </c>
      <c r="F144" s="120">
        <v>0</v>
      </c>
      <c r="G144" s="120">
        <v>0</v>
      </c>
      <c r="H144" s="120">
        <v>0</v>
      </c>
      <c r="I144" s="120">
        <v>0</v>
      </c>
      <c r="J144" s="120">
        <v>0</v>
      </c>
      <c r="K144" s="120">
        <v>0</v>
      </c>
      <c r="L144" s="120">
        <v>0</v>
      </c>
      <c r="M144" s="120">
        <v>0</v>
      </c>
      <c r="N144" s="120">
        <v>0</v>
      </c>
      <c r="O144" s="120">
        <v>0</v>
      </c>
      <c r="P144" s="120">
        <v>0</v>
      </c>
      <c r="Q144" s="120">
        <v>0</v>
      </c>
      <c r="R144" s="120">
        <v>0</v>
      </c>
      <c r="S144" s="120">
        <v>0</v>
      </c>
    </row>
    <row r="145" spans="2:19">
      <c r="B145" s="123" t="s">
        <v>176</v>
      </c>
      <c r="C145" s="120"/>
      <c r="D145" s="120">
        <v>0</v>
      </c>
      <c r="E145" s="120">
        <v>0</v>
      </c>
      <c r="F145" s="120">
        <v>0</v>
      </c>
      <c r="G145" s="120">
        <v>0</v>
      </c>
      <c r="H145" s="120">
        <v>0</v>
      </c>
      <c r="I145" s="120">
        <v>0</v>
      </c>
      <c r="J145" s="120">
        <v>0</v>
      </c>
      <c r="K145" s="120">
        <v>0</v>
      </c>
      <c r="L145" s="120">
        <v>0</v>
      </c>
      <c r="M145" s="120">
        <v>0</v>
      </c>
      <c r="N145" s="120">
        <v>0</v>
      </c>
      <c r="O145" s="120">
        <v>0</v>
      </c>
      <c r="P145" s="120">
        <v>0</v>
      </c>
      <c r="Q145" s="120">
        <v>0</v>
      </c>
      <c r="R145" s="120">
        <v>0</v>
      </c>
      <c r="S145" s="120">
        <v>0</v>
      </c>
    </row>
    <row r="146" spans="2:19">
      <c r="B146" s="123" t="s">
        <v>177</v>
      </c>
      <c r="C146" s="120"/>
      <c r="D146" s="120">
        <v>0</v>
      </c>
      <c r="E146" s="120">
        <v>0</v>
      </c>
      <c r="F146" s="120">
        <v>0</v>
      </c>
      <c r="G146" s="120">
        <v>0</v>
      </c>
      <c r="H146" s="120">
        <v>0</v>
      </c>
      <c r="I146" s="120">
        <v>0</v>
      </c>
      <c r="J146" s="120">
        <v>0</v>
      </c>
      <c r="K146" s="120">
        <v>0</v>
      </c>
      <c r="L146" s="120">
        <v>0</v>
      </c>
      <c r="M146" s="120">
        <v>0</v>
      </c>
      <c r="N146" s="120">
        <v>0</v>
      </c>
      <c r="O146" s="120">
        <v>0</v>
      </c>
      <c r="P146" s="120">
        <v>0</v>
      </c>
      <c r="Q146" s="120">
        <v>0</v>
      </c>
      <c r="R146" s="120">
        <v>0</v>
      </c>
      <c r="S146" s="120">
        <v>0</v>
      </c>
    </row>
    <row r="147" spans="2:19">
      <c r="B147" s="697" t="s">
        <v>200</v>
      </c>
      <c r="C147" s="698">
        <f>SUM(C130:C146)</f>
        <v>0</v>
      </c>
      <c r="D147" s="698">
        <f t="shared" ref="D147:S147" si="24">SUM(D130:D146)</f>
        <v>0</v>
      </c>
      <c r="E147" s="698">
        <f t="shared" si="24"/>
        <v>0</v>
      </c>
      <c r="F147" s="698">
        <f t="shared" si="24"/>
        <v>10000</v>
      </c>
      <c r="G147" s="698">
        <f t="shared" si="24"/>
        <v>0</v>
      </c>
      <c r="H147" s="698">
        <f t="shared" si="24"/>
        <v>38000</v>
      </c>
      <c r="I147" s="698">
        <f t="shared" si="24"/>
        <v>57000</v>
      </c>
      <c r="J147" s="698">
        <f t="shared" si="24"/>
        <v>0</v>
      </c>
      <c r="K147" s="698">
        <f t="shared" si="24"/>
        <v>18750</v>
      </c>
      <c r="L147" s="698">
        <f t="shared" si="24"/>
        <v>0</v>
      </c>
      <c r="M147" s="698">
        <f t="shared" si="24"/>
        <v>0</v>
      </c>
      <c r="N147" s="698">
        <f t="shared" si="24"/>
        <v>0</v>
      </c>
      <c r="O147" s="698">
        <f t="shared" si="24"/>
        <v>18750</v>
      </c>
      <c r="P147" s="698">
        <f t="shared" si="24"/>
        <v>0</v>
      </c>
      <c r="Q147" s="698">
        <f t="shared" si="24"/>
        <v>0</v>
      </c>
      <c r="R147" s="698">
        <f t="shared" si="24"/>
        <v>0</v>
      </c>
      <c r="S147" s="698">
        <f t="shared" si="24"/>
        <v>0</v>
      </c>
    </row>
    <row r="148" spans="2:19">
      <c r="B148" s="697" t="s">
        <v>463</v>
      </c>
      <c r="C148" s="698">
        <f t="shared" ref="C148:S148" si="25">C147*(1-C25)</f>
        <v>0</v>
      </c>
      <c r="D148" s="698">
        <f t="shared" si="25"/>
        <v>0</v>
      </c>
      <c r="E148" s="698">
        <f t="shared" si="25"/>
        <v>0</v>
      </c>
      <c r="F148" s="698">
        <f t="shared" si="25"/>
        <v>10000</v>
      </c>
      <c r="G148" s="698">
        <f t="shared" si="25"/>
        <v>0</v>
      </c>
      <c r="H148" s="698">
        <f t="shared" si="25"/>
        <v>38000</v>
      </c>
      <c r="I148" s="698">
        <f t="shared" si="25"/>
        <v>57000</v>
      </c>
      <c r="J148" s="698">
        <f t="shared" si="25"/>
        <v>0</v>
      </c>
      <c r="K148" s="698">
        <f t="shared" si="25"/>
        <v>15937.5</v>
      </c>
      <c r="L148" s="698">
        <f t="shared" si="25"/>
        <v>0</v>
      </c>
      <c r="M148" s="698">
        <f t="shared" si="25"/>
        <v>0</v>
      </c>
      <c r="N148" s="698">
        <f t="shared" si="25"/>
        <v>0</v>
      </c>
      <c r="O148" s="698">
        <f t="shared" si="25"/>
        <v>12187.5</v>
      </c>
      <c r="P148" s="698">
        <f t="shared" si="25"/>
        <v>0</v>
      </c>
      <c r="Q148" s="698">
        <f t="shared" si="25"/>
        <v>0</v>
      </c>
      <c r="R148" s="698">
        <f t="shared" si="25"/>
        <v>0</v>
      </c>
      <c r="S148" s="698">
        <f t="shared" si="25"/>
        <v>0</v>
      </c>
    </row>
    <row r="149" spans="2:19">
      <c r="B149" s="697" t="s">
        <v>188</v>
      </c>
      <c r="C149" s="698">
        <v>0</v>
      </c>
      <c r="D149" s="698">
        <v>0</v>
      </c>
      <c r="E149" s="698">
        <v>0</v>
      </c>
      <c r="F149" s="698">
        <v>0</v>
      </c>
      <c r="G149" s="698">
        <v>0</v>
      </c>
      <c r="H149" s="698">
        <v>18470083.196397174</v>
      </c>
      <c r="I149" s="698">
        <v>55931105.935329922</v>
      </c>
      <c r="J149" s="698">
        <v>131732669.43928476</v>
      </c>
      <c r="K149" s="698">
        <v>284937763.99717283</v>
      </c>
      <c r="L149" s="698">
        <v>383488238.63832843</v>
      </c>
      <c r="M149" s="698">
        <v>425802330.88968158</v>
      </c>
      <c r="N149" s="698">
        <v>488414628.18186891</v>
      </c>
      <c r="O149" s="698">
        <v>532446183.74172074</v>
      </c>
      <c r="P149" s="698">
        <v>597167975.409881</v>
      </c>
      <c r="Q149" s="698">
        <v>602781354.37873387</v>
      </c>
      <c r="R149" s="698">
        <v>608447499.10989404</v>
      </c>
      <c r="S149" s="698">
        <v>614166905.60152709</v>
      </c>
    </row>
    <row r="150" spans="2:19">
      <c r="B150" s="116"/>
      <c r="C150" s="127"/>
      <c r="D150" s="127"/>
      <c r="E150" s="127"/>
      <c r="F150" s="127"/>
      <c r="G150" s="127"/>
      <c r="H150" s="127"/>
      <c r="I150" s="127"/>
      <c r="J150" s="127"/>
      <c r="K150" s="127"/>
      <c r="L150" s="127"/>
      <c r="M150" s="127"/>
      <c r="N150" s="127"/>
      <c r="O150" s="127"/>
      <c r="P150" s="127"/>
      <c r="Q150" s="127"/>
      <c r="R150" s="127"/>
      <c r="S150" s="127"/>
    </row>
    <row r="151" spans="2:19">
      <c r="B151" s="108" t="s">
        <v>309</v>
      </c>
      <c r="C151" s="155" t="s">
        <v>191</v>
      </c>
      <c r="D151" s="155" t="s">
        <v>17</v>
      </c>
      <c r="E151" s="155" t="s">
        <v>152</v>
      </c>
      <c r="F151" s="155" t="s">
        <v>153</v>
      </c>
      <c r="G151" s="155" t="s">
        <v>190</v>
      </c>
      <c r="H151" s="155" t="s">
        <v>154</v>
      </c>
    </row>
    <row r="152" spans="2:19">
      <c r="B152" s="122" t="s">
        <v>20</v>
      </c>
      <c r="D152" s="132"/>
      <c r="E152" s="132"/>
      <c r="F152" s="134"/>
      <c r="G152" s="134"/>
      <c r="H152" s="153"/>
    </row>
    <row r="153" spans="2:19">
      <c r="B153" s="123" t="s">
        <v>167</v>
      </c>
      <c r="C153" s="151">
        <f>E130</f>
        <v>0</v>
      </c>
      <c r="D153" s="132">
        <v>2016</v>
      </c>
      <c r="E153" s="168">
        <f>NPV($C$235,E130)</f>
        <v>0</v>
      </c>
      <c r="F153" s="134">
        <v>0.95</v>
      </c>
      <c r="G153" s="134"/>
      <c r="H153" s="153">
        <f>F153*NPV($C$235,E130:F130)</f>
        <v>8520.1793721973081</v>
      </c>
    </row>
    <row r="154" spans="2:19">
      <c r="B154" s="123" t="s">
        <v>166</v>
      </c>
      <c r="C154" s="151"/>
      <c r="D154" s="132"/>
      <c r="E154" s="132"/>
      <c r="F154" s="134"/>
      <c r="G154" s="134"/>
      <c r="H154" s="153"/>
    </row>
    <row r="155" spans="2:19">
      <c r="B155" s="123" t="s">
        <v>195</v>
      </c>
      <c r="C155" s="151"/>
      <c r="D155" s="132"/>
      <c r="E155" s="132"/>
      <c r="F155" s="134">
        <v>0.75</v>
      </c>
      <c r="G155" s="134">
        <f>F153*F155</f>
        <v>0.71249999999999991</v>
      </c>
      <c r="H155" s="153"/>
    </row>
    <row r="156" spans="2:19">
      <c r="B156" s="123" t="s">
        <v>196</v>
      </c>
      <c r="C156" s="152"/>
      <c r="D156" s="133"/>
      <c r="E156" s="133"/>
      <c r="F156" s="135">
        <v>0</v>
      </c>
      <c r="G156" s="135"/>
      <c r="H156" s="154"/>
    </row>
    <row r="157" spans="2:19">
      <c r="B157" s="122" t="s">
        <v>18</v>
      </c>
      <c r="C157" s="151"/>
      <c r="D157" s="132"/>
      <c r="E157" s="132"/>
      <c r="F157" s="134"/>
      <c r="G157" s="134"/>
      <c r="H157" s="153"/>
      <c r="O157" s="127"/>
    </row>
    <row r="158" spans="2:19">
      <c r="B158" s="123" t="s">
        <v>169</v>
      </c>
      <c r="C158" s="151">
        <f>H133</f>
        <v>19000</v>
      </c>
      <c r="D158" s="132">
        <v>2019</v>
      </c>
      <c r="E158" s="168">
        <f>NPV($C$235,E133:H133)</f>
        <v>12292.893848349258</v>
      </c>
      <c r="F158" s="134">
        <v>0.95</v>
      </c>
      <c r="G158" s="134">
        <f>F158*G155</f>
        <v>0.67687499999999989</v>
      </c>
      <c r="H158" s="153">
        <f>G158*NPV($C$235,E133:H133)</f>
        <v>8320.7525236014026</v>
      </c>
    </row>
    <row r="159" spans="2:19">
      <c r="B159" s="123" t="s">
        <v>168</v>
      </c>
      <c r="C159" s="151"/>
      <c r="D159" s="132"/>
      <c r="E159" s="168"/>
      <c r="F159" s="134"/>
      <c r="G159" s="134"/>
      <c r="H159" s="153"/>
    </row>
    <row r="160" spans="2:19">
      <c r="B160" s="123" t="s">
        <v>170</v>
      </c>
      <c r="C160" s="151">
        <f>H135</f>
        <v>19000</v>
      </c>
      <c r="D160" s="132">
        <v>2019</v>
      </c>
      <c r="E160" s="168">
        <f>NPV($C$235,E135:H135)</f>
        <v>12292.893848349258</v>
      </c>
      <c r="F160" s="134">
        <v>0.95</v>
      </c>
      <c r="G160" s="134">
        <f>F160*G155</f>
        <v>0.67687499999999989</v>
      </c>
      <c r="H160" s="153">
        <f>G160*NPV($C$235,E135:H135)</f>
        <v>8320.7525236014026</v>
      </c>
      <c r="O160" s="150"/>
    </row>
    <row r="161" spans="2:15">
      <c r="B161" s="123" t="s">
        <v>171</v>
      </c>
      <c r="C161" s="151"/>
      <c r="D161" s="132"/>
      <c r="E161" s="168"/>
      <c r="F161" s="134"/>
      <c r="G161" s="134"/>
      <c r="H161" s="153"/>
    </row>
    <row r="162" spans="2:15">
      <c r="B162" s="123" t="s">
        <v>172</v>
      </c>
      <c r="C162" s="151">
        <f>H137</f>
        <v>0</v>
      </c>
      <c r="D162" s="132">
        <v>2019</v>
      </c>
      <c r="E162" s="168">
        <f>NPV($C$235,E137:I137)</f>
        <v>16537.525356523667</v>
      </c>
      <c r="F162" s="134">
        <f>G162/G160</f>
        <v>0.66481994459833804</v>
      </c>
      <c r="G162" s="134">
        <f>C121</f>
        <v>0.45</v>
      </c>
      <c r="H162" s="153">
        <f>G162*NPV($C$235,E137:I137)</f>
        <v>7441.8864104356508</v>
      </c>
    </row>
    <row r="163" spans="2:15">
      <c r="B163" s="123" t="s">
        <v>192</v>
      </c>
      <c r="C163" s="151"/>
      <c r="D163" s="132"/>
      <c r="E163" s="168"/>
      <c r="F163" s="134"/>
      <c r="G163" s="134"/>
      <c r="H163" s="153"/>
    </row>
    <row r="164" spans="2:15">
      <c r="B164" s="123" t="s">
        <v>193</v>
      </c>
      <c r="C164" s="151">
        <f>H139</f>
        <v>0</v>
      </c>
      <c r="D164" s="132">
        <v>2019</v>
      </c>
      <c r="E164" s="168">
        <f>NPV($C$235,E139:I139)</f>
        <v>16537.525356523667</v>
      </c>
      <c r="F164" s="134">
        <f>G164/G160</f>
        <v>0.66481994459833804</v>
      </c>
      <c r="G164" s="134">
        <f>C121</f>
        <v>0.45</v>
      </c>
      <c r="H164" s="153">
        <f>G164*NPV($C$235,E139:I139)</f>
        <v>7441.8864104356508</v>
      </c>
    </row>
    <row r="165" spans="2:15">
      <c r="B165" s="123" t="s">
        <v>194</v>
      </c>
      <c r="C165" s="152"/>
      <c r="D165" s="133"/>
      <c r="E165" s="133"/>
      <c r="F165" s="135"/>
      <c r="G165" s="135"/>
      <c r="H165" s="154"/>
    </row>
    <row r="166" spans="2:15">
      <c r="B166" s="122" t="s">
        <v>19</v>
      </c>
      <c r="C166" s="151"/>
      <c r="D166" s="132"/>
      <c r="E166" s="132"/>
      <c r="F166" s="134"/>
      <c r="G166" s="134"/>
      <c r="H166" s="153"/>
      <c r="O166" s="150"/>
    </row>
    <row r="167" spans="2:15">
      <c r="B167" s="123" t="s">
        <v>173</v>
      </c>
      <c r="C167" s="151">
        <f>K142*0.75</f>
        <v>14062.5</v>
      </c>
      <c r="D167" s="132">
        <v>2022</v>
      </c>
      <c r="E167" s="168">
        <f>NPV($C$235,E142:K142)</f>
        <v>8751.3932654586097</v>
      </c>
      <c r="F167" s="134">
        <v>0.95</v>
      </c>
      <c r="G167" s="134">
        <f>F167*$G$164</f>
        <v>0.42749999999999999</v>
      </c>
      <c r="H167" s="153">
        <f>G167*NPV($C$235,E142:K142)</f>
        <v>3741.2206209835554</v>
      </c>
    </row>
    <row r="168" spans="2:15">
      <c r="B168" s="123" t="s">
        <v>174</v>
      </c>
      <c r="C168" s="151">
        <f>O143*0.65</f>
        <v>12187.5</v>
      </c>
      <c r="D168" s="132">
        <v>2026</v>
      </c>
      <c r="E168" s="168">
        <f>NPV($C$235,E143:O143)</f>
        <v>5662.1025493390152</v>
      </c>
      <c r="F168" s="134">
        <v>0.9</v>
      </c>
      <c r="G168" s="134">
        <f>F168*$G$164</f>
        <v>0.40500000000000003</v>
      </c>
      <c r="H168" s="153">
        <f>G168*NPV($C$235,E143:O143)</f>
        <v>2293.1515324823013</v>
      </c>
    </row>
    <row r="169" spans="2:15">
      <c r="B169" s="123" t="s">
        <v>175</v>
      </c>
      <c r="C169" s="151">
        <f>L144*0.65</f>
        <v>0</v>
      </c>
      <c r="D169" s="132"/>
      <c r="E169" s="132"/>
      <c r="F169" s="134">
        <v>0.7</v>
      </c>
      <c r="G169" s="134">
        <f>F169*$G$164</f>
        <v>0.315</v>
      </c>
      <c r="H169" s="153">
        <f>G169*NPV($C$235,D144:L144)</f>
        <v>0</v>
      </c>
    </row>
    <row r="170" spans="2:15">
      <c r="B170" s="123" t="s">
        <v>176</v>
      </c>
      <c r="C170" s="151">
        <f>O145*0.65</f>
        <v>0</v>
      </c>
      <c r="D170" s="132"/>
      <c r="E170" s="132"/>
      <c r="F170" s="134">
        <v>0.5</v>
      </c>
      <c r="G170" s="134">
        <f>F170*$G$164</f>
        <v>0.22500000000000001</v>
      </c>
      <c r="H170" s="153">
        <f>G170*NPV($C$235,D145:O145)</f>
        <v>0</v>
      </c>
      <c r="O170" s="150"/>
    </row>
    <row r="171" spans="2:15">
      <c r="B171" s="124" t="s">
        <v>177</v>
      </c>
      <c r="C171" s="152">
        <v>0</v>
      </c>
      <c r="D171" s="133"/>
      <c r="E171" s="133"/>
      <c r="F171" s="135">
        <v>0.3</v>
      </c>
      <c r="G171" s="135">
        <f>F171*$G$164</f>
        <v>0.13500000000000001</v>
      </c>
      <c r="H171" s="154">
        <v>0</v>
      </c>
    </row>
    <row r="172" spans="2:15">
      <c r="B172" s="116"/>
      <c r="C172" s="116"/>
      <c r="E172" s="172">
        <f>SUM(E152:E171)</f>
        <v>72074.334224543476</v>
      </c>
    </row>
    <row r="174" spans="2:15" ht="15.75" thickBot="1">
      <c r="E174" s="126" t="s">
        <v>474</v>
      </c>
    </row>
    <row r="175" spans="2:15" ht="15.75" thickBot="1">
      <c r="B175" s="99" t="s">
        <v>154</v>
      </c>
      <c r="C175" s="148">
        <f>SUM(H153:H171)</f>
        <v>46079.82939373728</v>
      </c>
      <c r="E175" s="126" t="s">
        <v>155</v>
      </c>
    </row>
    <row r="176" spans="2:15" ht="15.75" thickBot="1">
      <c r="B176" s="95" t="s">
        <v>155</v>
      </c>
      <c r="C176" s="86">
        <f>C175/C237</f>
        <v>1.0217257071782102</v>
      </c>
      <c r="D176" s="658"/>
      <c r="E176" s="657">
        <f>E172/$C$237</f>
        <v>1.5981005371295671</v>
      </c>
    </row>
    <row r="177" spans="2:20" ht="15.75" thickBot="1">
      <c r="B177" s="116"/>
      <c r="C177" s="73"/>
    </row>
    <row r="178" spans="2:20" ht="15.75" thickBot="1">
      <c r="B178" s="643" t="s">
        <v>490</v>
      </c>
      <c r="C178" s="642">
        <v>0.27442910649279617</v>
      </c>
      <c r="D178" s="649">
        <f>NPV(C178,E148:T148)</f>
        <v>41282.173143564745</v>
      </c>
    </row>
    <row r="179" spans="2:20">
      <c r="B179" s="116"/>
      <c r="C179" s="73"/>
    </row>
    <row r="180" spans="2:20">
      <c r="B180" s="116"/>
      <c r="C180" s="73"/>
    </row>
    <row r="181" spans="2:20" ht="15.75" thickBot="1">
      <c r="B181" s="108" t="s">
        <v>375</v>
      </c>
      <c r="C181" s="77">
        <v>2014</v>
      </c>
      <c r="D181" s="77">
        <v>2015</v>
      </c>
      <c r="E181" s="77">
        <v>2016</v>
      </c>
      <c r="F181" s="77">
        <v>2017</v>
      </c>
      <c r="G181" s="77">
        <v>2018</v>
      </c>
      <c r="H181" s="77">
        <v>2019</v>
      </c>
      <c r="I181" s="77">
        <v>2020</v>
      </c>
      <c r="J181" s="77">
        <v>2021</v>
      </c>
      <c r="K181" s="77">
        <v>2022</v>
      </c>
      <c r="L181" s="77">
        <v>2023</v>
      </c>
      <c r="M181" s="77">
        <v>2024</v>
      </c>
      <c r="N181" s="77">
        <v>2025</v>
      </c>
      <c r="O181" s="77">
        <v>2026</v>
      </c>
      <c r="P181" s="77">
        <v>2027</v>
      </c>
      <c r="Q181" s="77">
        <v>2028</v>
      </c>
      <c r="R181" s="77">
        <v>2029</v>
      </c>
      <c r="S181" s="77">
        <v>2030</v>
      </c>
    </row>
    <row r="182" spans="2:20" ht="15.75" thickTop="1">
      <c r="B182" s="107" t="s">
        <v>145</v>
      </c>
      <c r="C182" s="106"/>
      <c r="D182" s="106"/>
      <c r="E182" s="106"/>
      <c r="F182" s="106"/>
      <c r="G182" s="106"/>
      <c r="H182" s="106"/>
      <c r="I182" s="106">
        <v>8254.4522543420717</v>
      </c>
      <c r="J182" s="106">
        <v>42526.5572143483</v>
      </c>
      <c r="K182" s="106">
        <v>84307.709790193956</v>
      </c>
      <c r="L182" s="106">
        <v>116048.22854345215</v>
      </c>
      <c r="M182" s="106">
        <v>250983.30628235106</v>
      </c>
      <c r="N182" s="106">
        <v>352882.23125939997</v>
      </c>
      <c r="O182" s="106">
        <v>485250.11433691386</v>
      </c>
      <c r="P182" s="106">
        <v>610284.21961770987</v>
      </c>
      <c r="Q182" s="106">
        <v>769917.98461648601</v>
      </c>
      <c r="R182" s="106">
        <v>922051.78338768403</v>
      </c>
      <c r="S182" s="106">
        <v>1087108.4135458902</v>
      </c>
    </row>
    <row r="183" spans="2:20">
      <c r="B183" s="105" t="s">
        <v>33</v>
      </c>
      <c r="C183" s="106"/>
      <c r="D183" s="106"/>
      <c r="E183" s="106"/>
      <c r="F183" s="106"/>
      <c r="G183" s="106"/>
      <c r="H183" s="106"/>
      <c r="I183" s="106">
        <f>I182*I208</f>
        <v>1155.6233156078902</v>
      </c>
      <c r="J183" s="106">
        <f t="shared" ref="J183:S183" si="26">J182*J208</f>
        <v>5528.4524378652795</v>
      </c>
      <c r="K183" s="106">
        <f t="shared" si="26"/>
        <v>10960.002272725214</v>
      </c>
      <c r="L183" s="106">
        <f t="shared" si="26"/>
        <v>15086.269710648779</v>
      </c>
      <c r="M183" s="106">
        <f t="shared" si="26"/>
        <v>32627.829816705638</v>
      </c>
      <c r="N183" s="106">
        <f t="shared" si="26"/>
        <v>45874.690063721995</v>
      </c>
      <c r="O183" s="106">
        <f t="shared" si="26"/>
        <v>63082.514863798802</v>
      </c>
      <c r="P183" s="106">
        <f t="shared" si="26"/>
        <v>79336.948550302288</v>
      </c>
      <c r="Q183" s="106">
        <f t="shared" si="26"/>
        <v>100089.33800014318</v>
      </c>
      <c r="R183" s="106">
        <f t="shared" si="26"/>
        <v>119866.73184039893</v>
      </c>
      <c r="S183" s="106">
        <f t="shared" si="26"/>
        <v>141324.09376096574</v>
      </c>
    </row>
    <row r="184" spans="2:20">
      <c r="B184" s="105" t="s">
        <v>146</v>
      </c>
      <c r="C184" s="106"/>
      <c r="D184" s="106"/>
      <c r="E184" s="106"/>
      <c r="F184" s="106"/>
      <c r="G184" s="106"/>
      <c r="H184" s="106"/>
      <c r="I184" s="106">
        <v>10810.156871473795</v>
      </c>
      <c r="J184" s="106">
        <v>24317.467135029201</v>
      </c>
      <c r="K184" s="106">
        <v>32136.864606535266</v>
      </c>
      <c r="L184" s="106">
        <v>42021.478512797476</v>
      </c>
      <c r="M184" s="106">
        <v>54114.929679640547</v>
      </c>
      <c r="N184" s="106">
        <v>63628.824933327764</v>
      </c>
      <c r="O184" s="106">
        <v>66810.266179994156</v>
      </c>
      <c r="P184" s="106">
        <v>70150.779488993867</v>
      </c>
      <c r="Q184" s="106">
        <v>73658.31846344356</v>
      </c>
      <c r="R184" s="106">
        <v>77341.234386615732</v>
      </c>
      <c r="S184" s="106">
        <v>81208.296105946531</v>
      </c>
    </row>
    <row r="185" spans="2:20">
      <c r="B185" s="104" t="s">
        <v>147</v>
      </c>
      <c r="C185" s="156">
        <f>0.5*'XLRN - IS'!Q28</f>
        <v>3763</v>
      </c>
      <c r="D185" s="157">
        <f>'XLRN - IS'!V28*0.5</f>
        <v>4527</v>
      </c>
      <c r="E185" s="157">
        <f>'XLRN - IS'!AA28*0.5</f>
        <v>8991</v>
      </c>
      <c r="F185" s="157">
        <f>'XLRN - IS'!AF28*0.5</f>
        <v>13486.5</v>
      </c>
      <c r="G185" s="157">
        <f>'XLRN - IS'!AK28*0.5</f>
        <v>14160.825000000001</v>
      </c>
      <c r="H185" s="157">
        <f>'XLRN - IS'!AL28*0.5</f>
        <v>8496.4950000000008</v>
      </c>
      <c r="I185" s="157">
        <f>'XLRN - IS'!AM28*0.5</f>
        <v>6372.3712500000001</v>
      </c>
      <c r="J185" s="158">
        <f>I185*1.005</f>
        <v>6404.2331062499998</v>
      </c>
      <c r="K185" s="158">
        <f t="shared" ref="K185:S185" si="27">J185*1.005</f>
        <v>6436.2542717812494</v>
      </c>
      <c r="L185" s="158">
        <f t="shared" si="27"/>
        <v>6468.4355431401546</v>
      </c>
      <c r="M185" s="158">
        <f t="shared" si="27"/>
        <v>6500.7777208558546</v>
      </c>
      <c r="N185" s="158">
        <f t="shared" si="27"/>
        <v>6533.281609460133</v>
      </c>
      <c r="O185" s="158">
        <f t="shared" si="27"/>
        <v>6565.9480175074332</v>
      </c>
      <c r="P185" s="158">
        <f t="shared" si="27"/>
        <v>6598.7777575949694</v>
      </c>
      <c r="Q185" s="158">
        <f t="shared" si="27"/>
        <v>6631.7716463829438</v>
      </c>
      <c r="R185" s="158">
        <f t="shared" si="27"/>
        <v>6664.9305046148575</v>
      </c>
      <c r="S185" s="158">
        <f t="shared" si="27"/>
        <v>6698.2551571379308</v>
      </c>
    </row>
    <row r="186" spans="2:20">
      <c r="B186" s="103" t="s">
        <v>148</v>
      </c>
      <c r="C186" s="93">
        <f>C182-C183-C184-C185</f>
        <v>-3763</v>
      </c>
      <c r="D186" s="93">
        <f>D182-D183-D184-D185</f>
        <v>-4527</v>
      </c>
      <c r="E186" s="93">
        <f t="shared" ref="E186:S186" si="28">E182-E183-E184-E185</f>
        <v>-8991</v>
      </c>
      <c r="F186" s="93">
        <f t="shared" si="28"/>
        <v>-13486.5</v>
      </c>
      <c r="G186" s="93">
        <f t="shared" si="28"/>
        <v>-14160.825000000001</v>
      </c>
      <c r="H186" s="93">
        <f t="shared" si="28"/>
        <v>-8496.4950000000008</v>
      </c>
      <c r="I186" s="93">
        <f t="shared" si="28"/>
        <v>-10083.699182739614</v>
      </c>
      <c r="J186" s="93">
        <f t="shared" si="28"/>
        <v>6276.4045352038211</v>
      </c>
      <c r="K186" s="93">
        <f t="shared" si="28"/>
        <v>34774.588639152236</v>
      </c>
      <c r="L186" s="93">
        <f t="shared" si="28"/>
        <v>52472.04477686574</v>
      </c>
      <c r="M186" s="93">
        <f t="shared" si="28"/>
        <v>157739.76906514901</v>
      </c>
      <c r="N186" s="93">
        <f t="shared" si="28"/>
        <v>236845.43465289005</v>
      </c>
      <c r="O186" s="93">
        <f t="shared" si="28"/>
        <v>348791.38527561346</v>
      </c>
      <c r="P186" s="93">
        <f t="shared" si="28"/>
        <v>454197.71382081875</v>
      </c>
      <c r="Q186" s="93">
        <f t="shared" si="28"/>
        <v>589538.5565065163</v>
      </c>
      <c r="R186" s="93">
        <f t="shared" si="28"/>
        <v>718178.88665605453</v>
      </c>
      <c r="S186" s="93">
        <f t="shared" si="28"/>
        <v>857877.76852183999</v>
      </c>
    </row>
    <row r="187" spans="2:20" ht="15.75" thickBot="1">
      <c r="B187" s="102" t="s">
        <v>149</v>
      </c>
      <c r="C187" s="115"/>
      <c r="D187" s="102"/>
      <c r="E187" s="102"/>
      <c r="F187" s="102"/>
      <c r="G187" s="91"/>
      <c r="H187" s="91"/>
      <c r="I187" s="93"/>
      <c r="J187" s="93">
        <f>J186*0.25</f>
        <v>1569.1011338009553</v>
      </c>
      <c r="K187" s="93">
        <f>K186*0.35</f>
        <v>12171.106023703282</v>
      </c>
      <c r="L187" s="93">
        <f t="shared" ref="L187:S187" si="29">L186*0.35</f>
        <v>18365.215671903006</v>
      </c>
      <c r="M187" s="93">
        <f t="shared" si="29"/>
        <v>55208.919172802154</v>
      </c>
      <c r="N187" s="93">
        <f t="shared" si="29"/>
        <v>82895.902128511516</v>
      </c>
      <c r="O187" s="93">
        <f t="shared" si="29"/>
        <v>122076.98484646471</v>
      </c>
      <c r="P187" s="93">
        <f t="shared" si="29"/>
        <v>158969.19983728655</v>
      </c>
      <c r="Q187" s="93">
        <f t="shared" si="29"/>
        <v>206338.49477728069</v>
      </c>
      <c r="R187" s="93">
        <f t="shared" si="29"/>
        <v>251362.61032961906</v>
      </c>
      <c r="S187" s="93">
        <f t="shared" si="29"/>
        <v>300257.21898264397</v>
      </c>
      <c r="T187" s="126" t="s">
        <v>151</v>
      </c>
    </row>
    <row r="188" spans="2:20" ht="15.75" thickBot="1">
      <c r="B188" s="101" t="s">
        <v>150</v>
      </c>
      <c r="C188" s="90">
        <f>C186-C187</f>
        <v>-3763</v>
      </c>
      <c r="D188" s="90">
        <f>D186-D187</f>
        <v>-4527</v>
      </c>
      <c r="E188" s="90">
        <f t="shared" ref="E188:S188" si="30">E186-E187</f>
        <v>-8991</v>
      </c>
      <c r="F188" s="90">
        <f t="shared" si="30"/>
        <v>-13486.5</v>
      </c>
      <c r="G188" s="90">
        <f t="shared" si="30"/>
        <v>-14160.825000000001</v>
      </c>
      <c r="H188" s="90">
        <f t="shared" si="30"/>
        <v>-8496.4950000000008</v>
      </c>
      <c r="I188" s="90">
        <f t="shared" si="30"/>
        <v>-10083.699182739614</v>
      </c>
      <c r="J188" s="90">
        <f t="shared" si="30"/>
        <v>4707.3034014028653</v>
      </c>
      <c r="K188" s="90">
        <f t="shared" si="30"/>
        <v>22603.482615448956</v>
      </c>
      <c r="L188" s="90">
        <f t="shared" si="30"/>
        <v>34106.82910496273</v>
      </c>
      <c r="M188" s="90">
        <f t="shared" si="30"/>
        <v>102530.84989234686</v>
      </c>
      <c r="N188" s="90">
        <f t="shared" si="30"/>
        <v>153949.53252437853</v>
      </c>
      <c r="O188" s="90">
        <f t="shared" si="30"/>
        <v>226714.40042914875</v>
      </c>
      <c r="P188" s="90">
        <f t="shared" si="30"/>
        <v>295228.5139835322</v>
      </c>
      <c r="Q188" s="90">
        <f t="shared" si="30"/>
        <v>383200.06172923557</v>
      </c>
      <c r="R188" s="90">
        <f t="shared" si="30"/>
        <v>466816.2763264355</v>
      </c>
      <c r="S188" s="90">
        <f t="shared" si="30"/>
        <v>557620.54953919607</v>
      </c>
      <c r="T188" s="100">
        <f>S188*2.5</f>
        <v>1394051.3738479903</v>
      </c>
    </row>
    <row r="189" spans="2:20" ht="15.75" thickBot="1"/>
    <row r="190" spans="2:20">
      <c r="B190" s="99" t="s">
        <v>151</v>
      </c>
      <c r="C190" s="88">
        <f>T188</f>
        <v>1394051.3738479903</v>
      </c>
      <c r="G190" s="720" t="s">
        <v>445</v>
      </c>
      <c r="H190" s="721"/>
    </row>
    <row r="191" spans="2:20">
      <c r="B191" s="97" t="s">
        <v>478</v>
      </c>
      <c r="C191" s="87">
        <f>NPV($C$235,F188:T188)</f>
        <v>871496.35061843169</v>
      </c>
      <c r="G191" s="437" t="s">
        <v>359</v>
      </c>
      <c r="H191" s="651">
        <v>0</v>
      </c>
    </row>
    <row r="192" spans="2:20">
      <c r="B192" s="97" t="s">
        <v>201</v>
      </c>
      <c r="C192" s="677">
        <f>CHOOSE($C$258,H191,H192,H193)</f>
        <v>0</v>
      </c>
      <c r="E192" s="126" t="s">
        <v>474</v>
      </c>
      <c r="G192" s="437" t="s">
        <v>361</v>
      </c>
      <c r="H192" s="651">
        <v>0</v>
      </c>
    </row>
    <row r="193" spans="2:20" ht="15.75" thickBot="1">
      <c r="B193" s="97" t="s">
        <v>477</v>
      </c>
      <c r="C193" s="87">
        <f>C191*C192</f>
        <v>0</v>
      </c>
      <c r="D193" s="160"/>
      <c r="E193" s="126" t="s">
        <v>155</v>
      </c>
      <c r="G193" s="438" t="s">
        <v>360</v>
      </c>
      <c r="H193" s="652">
        <v>0</v>
      </c>
    </row>
    <row r="194" spans="2:20" ht="15.75" thickBot="1">
      <c r="B194" s="95" t="s">
        <v>155</v>
      </c>
      <c r="C194" s="86">
        <f>C193/$C$237</f>
        <v>0</v>
      </c>
      <c r="E194" s="657">
        <f>C191/$C$237</f>
        <v>19.323644137880969</v>
      </c>
    </row>
    <row r="195" spans="2:20" ht="15.75" thickBot="1">
      <c r="B195" s="116"/>
      <c r="C195" s="73"/>
    </row>
    <row r="196" spans="2:20" ht="15.75" thickBot="1">
      <c r="B196" s="643" t="s">
        <v>470</v>
      </c>
      <c r="C196" s="642">
        <v>0.1959358609456037</v>
      </c>
      <c r="D196" s="649">
        <f>NPV(C196,E188:T188)</f>
        <v>288334.44959490251</v>
      </c>
    </row>
    <row r="197" spans="2:20">
      <c r="B197" s="116"/>
      <c r="C197" s="73"/>
    </row>
    <row r="198" spans="2:20" ht="15.75" thickBot="1">
      <c r="B198" s="108" t="s">
        <v>376</v>
      </c>
      <c r="C198" s="77">
        <v>2014</v>
      </c>
      <c r="D198" s="77">
        <v>2015</v>
      </c>
      <c r="E198" s="77">
        <v>2016</v>
      </c>
      <c r="F198" s="77">
        <v>2017</v>
      </c>
      <c r="G198" s="77">
        <v>2018</v>
      </c>
      <c r="H198" s="77">
        <v>2019</v>
      </c>
      <c r="I198" s="77">
        <v>2020</v>
      </c>
      <c r="J198" s="77">
        <v>2021</v>
      </c>
      <c r="K198" s="77">
        <v>2022</v>
      </c>
      <c r="L198" s="77">
        <v>2023</v>
      </c>
      <c r="M198" s="77">
        <v>2024</v>
      </c>
      <c r="N198" s="77">
        <v>2025</v>
      </c>
      <c r="O198" s="77">
        <v>2026</v>
      </c>
      <c r="P198" s="77">
        <v>2027</v>
      </c>
      <c r="Q198" s="77">
        <v>2028</v>
      </c>
      <c r="R198" s="77">
        <v>2029</v>
      </c>
      <c r="S198" s="77">
        <v>2030</v>
      </c>
    </row>
    <row r="199" spans="2:20" ht="15.75" thickTop="1">
      <c r="B199" s="107" t="s">
        <v>145</v>
      </c>
      <c r="C199" s="106"/>
      <c r="D199" s="106"/>
      <c r="E199" s="106"/>
      <c r="F199" s="106"/>
      <c r="G199" s="106"/>
      <c r="H199" s="106"/>
      <c r="I199" s="106">
        <v>19463.898698154837</v>
      </c>
      <c r="J199" s="106">
        <v>100517.36710935287</v>
      </c>
      <c r="K199" s="106">
        <v>145241.32311362933</v>
      </c>
      <c r="L199" s="106">
        <v>220123.59955892764</v>
      </c>
      <c r="M199" s="106">
        <v>350293.69015809952</v>
      </c>
      <c r="N199" s="106">
        <v>495502.10118497035</v>
      </c>
      <c r="O199" s="106">
        <v>657097.72393391898</v>
      </c>
      <c r="P199" s="106">
        <v>836537.97038579336</v>
      </c>
      <c r="Q199" s="106">
        <v>1035396.9882460029</v>
      </c>
      <c r="R199" s="106">
        <v>1161221.3885347666</v>
      </c>
      <c r="S199" s="106">
        <v>1231939.7710965339</v>
      </c>
    </row>
    <row r="200" spans="2:20">
      <c r="B200" s="105" t="s">
        <v>33</v>
      </c>
      <c r="C200" s="106"/>
      <c r="D200" s="106"/>
      <c r="E200" s="106"/>
      <c r="F200" s="106"/>
      <c r="G200" s="106"/>
      <c r="H200" s="106"/>
      <c r="I200" s="106">
        <f>I199*I208</f>
        <v>2724.9458177416773</v>
      </c>
      <c r="J200" s="106">
        <f t="shared" ref="J200:S200" si="31">J199*J208</f>
        <v>13067.257724215873</v>
      </c>
      <c r="K200" s="106">
        <f t="shared" si="31"/>
        <v>18881.372004771812</v>
      </c>
      <c r="L200" s="106">
        <f t="shared" si="31"/>
        <v>28616.067942660593</v>
      </c>
      <c r="M200" s="106">
        <f t="shared" si="31"/>
        <v>45538.179720552936</v>
      </c>
      <c r="N200" s="106">
        <f t="shared" si="31"/>
        <v>64415.273154046146</v>
      </c>
      <c r="O200" s="106">
        <f t="shared" si="31"/>
        <v>85422.704111409475</v>
      </c>
      <c r="P200" s="106">
        <f t="shared" si="31"/>
        <v>108749.93615015314</v>
      </c>
      <c r="Q200" s="106">
        <f t="shared" si="31"/>
        <v>134601.60847198038</v>
      </c>
      <c r="R200" s="106">
        <f t="shared" si="31"/>
        <v>150958.78050951965</v>
      </c>
      <c r="S200" s="106">
        <f t="shared" si="31"/>
        <v>160152.17024254941</v>
      </c>
    </row>
    <row r="201" spans="2:20">
      <c r="B201" s="105" t="s">
        <v>146</v>
      </c>
      <c r="C201" s="106"/>
      <c r="D201" s="106"/>
      <c r="E201" s="106"/>
      <c r="F201" s="106"/>
      <c r="G201" s="106"/>
      <c r="H201" s="106"/>
      <c r="I201" s="106">
        <v>10810.156871473795</v>
      </c>
      <c r="J201" s="106">
        <v>24317.467135029201</v>
      </c>
      <c r="K201" s="106">
        <v>32136.864606535266</v>
      </c>
      <c r="L201" s="106">
        <v>42021.478512797476</v>
      </c>
      <c r="M201" s="106">
        <v>54114.929679640547</v>
      </c>
      <c r="N201" s="106">
        <v>63628.824933327764</v>
      </c>
      <c r="O201" s="106">
        <v>66810.266179994156</v>
      </c>
      <c r="P201" s="106">
        <v>70150.779488993867</v>
      </c>
      <c r="Q201" s="106">
        <v>73658.31846344356</v>
      </c>
      <c r="R201" s="106">
        <v>77341.234386615732</v>
      </c>
      <c r="S201" s="106">
        <v>81208.296105946531</v>
      </c>
    </row>
    <row r="202" spans="2:20">
      <c r="B202" s="104" t="s">
        <v>147</v>
      </c>
      <c r="C202" s="156">
        <f>0.5*'XLRN - IS'!Q28</f>
        <v>3763</v>
      </c>
      <c r="D202" s="157">
        <f>'XLRN - IS'!V28*0.5</f>
        <v>4527</v>
      </c>
      <c r="E202" s="157">
        <f>'XLRN - IS'!AA28*0.5</f>
        <v>8991</v>
      </c>
      <c r="F202" s="157">
        <f>'XLRN - IS'!AF28*0.5</f>
        <v>13486.5</v>
      </c>
      <c r="G202" s="157">
        <f>'XLRN - IS'!AK28*0.5</f>
        <v>14160.825000000001</v>
      </c>
      <c r="H202" s="157">
        <f>'XLRN - IS'!AL28*0.5</f>
        <v>8496.4950000000008</v>
      </c>
      <c r="I202" s="157">
        <f>'XLRN - IS'!AM28*0.5</f>
        <v>6372.3712500000001</v>
      </c>
      <c r="J202" s="158">
        <f>I202*1.005</f>
        <v>6404.2331062499998</v>
      </c>
      <c r="K202" s="158">
        <f t="shared" ref="K202:S202" si="32">J202*1.005</f>
        <v>6436.2542717812494</v>
      </c>
      <c r="L202" s="158">
        <f t="shared" si="32"/>
        <v>6468.4355431401546</v>
      </c>
      <c r="M202" s="158">
        <f t="shared" si="32"/>
        <v>6500.7777208558546</v>
      </c>
      <c r="N202" s="158">
        <f t="shared" si="32"/>
        <v>6533.281609460133</v>
      </c>
      <c r="O202" s="158">
        <f t="shared" si="32"/>
        <v>6565.9480175074332</v>
      </c>
      <c r="P202" s="158">
        <f t="shared" si="32"/>
        <v>6598.7777575949694</v>
      </c>
      <c r="Q202" s="158">
        <f t="shared" si="32"/>
        <v>6631.7716463829438</v>
      </c>
      <c r="R202" s="158">
        <f t="shared" si="32"/>
        <v>6664.9305046148575</v>
      </c>
      <c r="S202" s="158">
        <f t="shared" si="32"/>
        <v>6698.2551571379308</v>
      </c>
    </row>
    <row r="203" spans="2:20">
      <c r="B203" s="103" t="s">
        <v>148</v>
      </c>
      <c r="C203" s="93">
        <f>C199-C200-C201-C202</f>
        <v>-3763</v>
      </c>
      <c r="D203" s="93">
        <f>D199-D200-D201-D202</f>
        <v>-4527</v>
      </c>
      <c r="E203" s="93">
        <f t="shared" ref="E203:S203" si="33">E199-E200-E201-E202</f>
        <v>-8991</v>
      </c>
      <c r="F203" s="93">
        <f t="shared" si="33"/>
        <v>-13486.5</v>
      </c>
      <c r="G203" s="93">
        <f t="shared" si="33"/>
        <v>-14160.825000000001</v>
      </c>
      <c r="H203" s="93">
        <f t="shared" si="33"/>
        <v>-8496.4950000000008</v>
      </c>
      <c r="I203" s="93">
        <f t="shared" si="33"/>
        <v>-443.57524106063647</v>
      </c>
      <c r="J203" s="93">
        <f t="shared" si="33"/>
        <v>56728.409143857789</v>
      </c>
      <c r="K203" s="93">
        <f t="shared" si="33"/>
        <v>87786.832230541011</v>
      </c>
      <c r="L203" s="93">
        <f t="shared" si="33"/>
        <v>143017.61756032941</v>
      </c>
      <c r="M203" s="93">
        <f t="shared" si="33"/>
        <v>244139.80303705018</v>
      </c>
      <c r="N203" s="93">
        <f t="shared" si="33"/>
        <v>360924.72148813633</v>
      </c>
      <c r="O203" s="93">
        <f t="shared" si="33"/>
        <v>498298.8056250079</v>
      </c>
      <c r="P203" s="93">
        <f t="shared" si="33"/>
        <v>651038.47698905144</v>
      </c>
      <c r="Q203" s="93">
        <f t="shared" si="33"/>
        <v>820505.28966419608</v>
      </c>
      <c r="R203" s="93">
        <f t="shared" si="33"/>
        <v>926256.44313401647</v>
      </c>
      <c r="S203" s="93">
        <f t="shared" si="33"/>
        <v>983881.04959089996</v>
      </c>
    </row>
    <row r="204" spans="2:20" ht="15.75" thickBot="1">
      <c r="B204" s="102" t="s">
        <v>149</v>
      </c>
      <c r="C204" s="115"/>
      <c r="D204" s="102"/>
      <c r="E204" s="102"/>
      <c r="F204" s="102"/>
      <c r="G204" s="91"/>
      <c r="H204" s="91"/>
      <c r="I204" s="93"/>
      <c r="J204" s="93">
        <f>J203*0.25</f>
        <v>14182.102285964447</v>
      </c>
      <c r="K204" s="93">
        <f>K203*0.35</f>
        <v>30725.391280689353</v>
      </c>
      <c r="L204" s="93">
        <f t="shared" ref="L204:S204" si="34">L203*0.35</f>
        <v>50056.166146115291</v>
      </c>
      <c r="M204" s="93">
        <f t="shared" si="34"/>
        <v>85448.93106296756</v>
      </c>
      <c r="N204" s="93">
        <f t="shared" si="34"/>
        <v>126323.65252084771</v>
      </c>
      <c r="O204" s="93">
        <f t="shared" si="34"/>
        <v>174404.58196875275</v>
      </c>
      <c r="P204" s="93">
        <f t="shared" si="34"/>
        <v>227863.46694616799</v>
      </c>
      <c r="Q204" s="93">
        <f t="shared" si="34"/>
        <v>287176.85138246859</v>
      </c>
      <c r="R204" s="93">
        <f t="shared" si="34"/>
        <v>324189.75509690575</v>
      </c>
      <c r="S204" s="93">
        <f t="shared" si="34"/>
        <v>344358.36735681497</v>
      </c>
      <c r="T204" s="126" t="s">
        <v>151</v>
      </c>
    </row>
    <row r="205" spans="2:20" ht="15.75" thickBot="1">
      <c r="B205" s="101" t="s">
        <v>150</v>
      </c>
      <c r="C205" s="90">
        <f>C203-C204</f>
        <v>-3763</v>
      </c>
      <c r="D205" s="90">
        <f>D203-D204</f>
        <v>-4527</v>
      </c>
      <c r="E205" s="90">
        <f t="shared" ref="E205:S205" si="35">E203-E204</f>
        <v>-8991</v>
      </c>
      <c r="F205" s="90">
        <f t="shared" si="35"/>
        <v>-13486.5</v>
      </c>
      <c r="G205" s="90">
        <f t="shared" si="35"/>
        <v>-14160.825000000001</v>
      </c>
      <c r="H205" s="90">
        <f t="shared" si="35"/>
        <v>-8496.4950000000008</v>
      </c>
      <c r="I205" s="90">
        <f t="shared" si="35"/>
        <v>-443.57524106063647</v>
      </c>
      <c r="J205" s="90">
        <f t="shared" si="35"/>
        <v>42546.306857893345</v>
      </c>
      <c r="K205" s="90">
        <f t="shared" si="35"/>
        <v>57061.440949851662</v>
      </c>
      <c r="L205" s="90">
        <f t="shared" si="35"/>
        <v>92961.451414214127</v>
      </c>
      <c r="M205" s="90">
        <f t="shared" si="35"/>
        <v>158690.87197408261</v>
      </c>
      <c r="N205" s="90">
        <f t="shared" si="35"/>
        <v>234601.06896728862</v>
      </c>
      <c r="O205" s="90">
        <f t="shared" si="35"/>
        <v>323894.22365625517</v>
      </c>
      <c r="P205" s="90">
        <f t="shared" si="35"/>
        <v>423175.01004288346</v>
      </c>
      <c r="Q205" s="90">
        <f t="shared" si="35"/>
        <v>533328.43828172749</v>
      </c>
      <c r="R205" s="90">
        <f t="shared" si="35"/>
        <v>602066.68803711073</v>
      </c>
      <c r="S205" s="90">
        <f t="shared" si="35"/>
        <v>639522.68223408493</v>
      </c>
      <c r="T205" s="100">
        <f>S205*2.5</f>
        <v>1598806.7055852124</v>
      </c>
    </row>
    <row r="207" spans="2:20">
      <c r="B207" s="108" t="s">
        <v>451</v>
      </c>
      <c r="C207" s="388">
        <v>2014</v>
      </c>
      <c r="D207" s="388">
        <v>2015</v>
      </c>
      <c r="E207" s="388">
        <v>2016</v>
      </c>
      <c r="F207" s="388">
        <v>2017</v>
      </c>
      <c r="G207" s="388">
        <v>2018</v>
      </c>
      <c r="H207" s="388">
        <v>2019</v>
      </c>
      <c r="I207" s="388">
        <v>2020</v>
      </c>
      <c r="J207" s="388">
        <v>2021</v>
      </c>
      <c r="K207" s="388">
        <v>2022</v>
      </c>
      <c r="L207" s="388">
        <v>2023</v>
      </c>
      <c r="M207" s="388">
        <v>2024</v>
      </c>
      <c r="N207" s="388">
        <v>2025</v>
      </c>
      <c r="O207" s="388">
        <v>2026</v>
      </c>
      <c r="P207" s="388">
        <v>2027</v>
      </c>
      <c r="Q207" s="388">
        <v>2028</v>
      </c>
      <c r="R207" s="388">
        <v>2029</v>
      </c>
      <c r="S207" s="388">
        <v>2030</v>
      </c>
    </row>
    <row r="208" spans="2:20">
      <c r="B208" s="131" t="s">
        <v>33</v>
      </c>
      <c r="C208" s="389"/>
      <c r="D208" s="389"/>
      <c r="E208" s="389"/>
      <c r="F208" s="389"/>
      <c r="G208" s="389"/>
      <c r="H208" s="389"/>
      <c r="I208" s="389">
        <v>0.14000000000000001</v>
      </c>
      <c r="J208" s="389">
        <v>0.13</v>
      </c>
      <c r="K208" s="389">
        <f t="shared" ref="K208:S208" si="36">J208</f>
        <v>0.13</v>
      </c>
      <c r="L208" s="389">
        <f t="shared" si="36"/>
        <v>0.13</v>
      </c>
      <c r="M208" s="389">
        <f t="shared" si="36"/>
        <v>0.13</v>
      </c>
      <c r="N208" s="389">
        <f t="shared" si="36"/>
        <v>0.13</v>
      </c>
      <c r="O208" s="389">
        <f t="shared" si="36"/>
        <v>0.13</v>
      </c>
      <c r="P208" s="389">
        <f t="shared" si="36"/>
        <v>0.13</v>
      </c>
      <c r="Q208" s="389">
        <f t="shared" si="36"/>
        <v>0.13</v>
      </c>
      <c r="R208" s="389">
        <f t="shared" si="36"/>
        <v>0.13</v>
      </c>
      <c r="S208" s="389">
        <f t="shared" si="36"/>
        <v>0.13</v>
      </c>
    </row>
    <row r="209" spans="2:19">
      <c r="B209" s="387" t="s">
        <v>311</v>
      </c>
      <c r="C209" s="390"/>
      <c r="D209" s="390"/>
      <c r="E209" s="390"/>
      <c r="F209" s="390"/>
      <c r="G209" s="390"/>
      <c r="H209" s="390"/>
      <c r="I209" s="390"/>
      <c r="J209" s="390"/>
      <c r="K209" s="390"/>
      <c r="L209" s="390"/>
      <c r="M209" s="390"/>
      <c r="N209" s="390"/>
      <c r="O209" s="390"/>
      <c r="P209" s="390"/>
      <c r="Q209" s="390"/>
      <c r="R209" s="390"/>
      <c r="S209" s="390"/>
    </row>
    <row r="210" spans="2:19">
      <c r="B210" s="387" t="s">
        <v>147</v>
      </c>
      <c r="C210" s="390"/>
      <c r="D210" s="390"/>
      <c r="E210" s="390"/>
      <c r="F210" s="390"/>
      <c r="G210" s="390"/>
      <c r="H210" s="390"/>
      <c r="I210" s="390"/>
      <c r="J210" s="390"/>
      <c r="K210" s="390"/>
      <c r="L210" s="390"/>
      <c r="M210" s="390"/>
      <c r="N210" s="390"/>
      <c r="O210" s="390"/>
      <c r="P210" s="390"/>
      <c r="Q210" s="390"/>
      <c r="R210" s="390"/>
      <c r="S210" s="390"/>
    </row>
    <row r="211" spans="2:19">
      <c r="B211" s="102" t="s">
        <v>149</v>
      </c>
      <c r="C211" s="391"/>
      <c r="D211" s="102"/>
      <c r="E211" s="102"/>
      <c r="F211" s="392"/>
      <c r="G211" s="392"/>
      <c r="H211" s="392"/>
      <c r="I211" s="392"/>
      <c r="J211" s="392"/>
      <c r="K211" s="392">
        <v>0.15</v>
      </c>
      <c r="L211" s="392">
        <v>0.25</v>
      </c>
      <c r="M211" s="392">
        <v>0.35</v>
      </c>
      <c r="N211" s="392">
        <v>0.35</v>
      </c>
      <c r="O211" s="392">
        <v>0.35</v>
      </c>
      <c r="P211" s="392">
        <v>0.35</v>
      </c>
      <c r="Q211" s="392">
        <v>0.35</v>
      </c>
      <c r="R211" s="392">
        <v>0.35</v>
      </c>
      <c r="S211" s="392">
        <v>0.35</v>
      </c>
    </row>
    <row r="212" spans="2:19" ht="15.75" thickBot="1"/>
    <row r="213" spans="2:19">
      <c r="B213" s="99" t="s">
        <v>151</v>
      </c>
      <c r="C213" s="88">
        <f>T205</f>
        <v>1598806.7055852124</v>
      </c>
      <c r="G213" s="720" t="s">
        <v>445</v>
      </c>
      <c r="H213" s="721"/>
    </row>
    <row r="214" spans="2:19">
      <c r="B214" s="97" t="s">
        <v>152</v>
      </c>
      <c r="C214" s="87">
        <f>NPV(C235,G205:T205)</f>
        <v>1353267.2049269949</v>
      </c>
      <c r="G214" s="437" t="s">
        <v>359</v>
      </c>
      <c r="H214" s="651">
        <v>0.3</v>
      </c>
    </row>
    <row r="215" spans="2:19">
      <c r="B215" s="97" t="s">
        <v>201</v>
      </c>
      <c r="C215" s="677">
        <f>CHOOSE($C$258,H214,H215,H216)</f>
        <v>0</v>
      </c>
      <c r="E215" s="126" t="s">
        <v>474</v>
      </c>
      <c r="G215" s="437" t="s">
        <v>361</v>
      </c>
      <c r="H215" s="651">
        <v>0</v>
      </c>
    </row>
    <row r="216" spans="2:19" ht="15.75" thickBot="1">
      <c r="B216" s="97" t="s">
        <v>477</v>
      </c>
      <c r="C216" s="87">
        <f>C214*C215</f>
        <v>0</v>
      </c>
      <c r="D216" s="160"/>
      <c r="E216" s="126" t="s">
        <v>155</v>
      </c>
      <c r="G216" s="438" t="s">
        <v>360</v>
      </c>
      <c r="H216" s="652">
        <v>0.05</v>
      </c>
    </row>
    <row r="217" spans="2:19" ht="15.75" thickBot="1">
      <c r="B217" s="95" t="s">
        <v>155</v>
      </c>
      <c r="C217" s="86">
        <f>C216/$C$237</f>
        <v>0</v>
      </c>
      <c r="E217" s="657">
        <f>C214/$C$237</f>
        <v>30.005924721219397</v>
      </c>
    </row>
    <row r="218" spans="2:19" ht="15.75" thickBot="1">
      <c r="B218" s="116"/>
      <c r="C218" s="73"/>
    </row>
    <row r="219" spans="2:19" ht="15.75" thickBot="1">
      <c r="B219" s="643" t="s">
        <v>469</v>
      </c>
      <c r="C219" s="642">
        <v>0.2959307650863004</v>
      </c>
      <c r="D219" s="160">
        <f>NPV(C219,E205:T205)</f>
        <v>148550.89659939482</v>
      </c>
    </row>
    <row r="220" spans="2:19">
      <c r="B220" s="116"/>
      <c r="C220" s="73"/>
    </row>
    <row r="221" spans="2:19" ht="15.75" thickBot="1">
      <c r="B221" s="108" t="s">
        <v>500</v>
      </c>
      <c r="C221" s="73"/>
    </row>
    <row r="222" spans="2:19">
      <c r="B222" s="99" t="s">
        <v>151</v>
      </c>
      <c r="C222" s="88"/>
    </row>
    <row r="223" spans="2:19">
      <c r="B223" s="97" t="s">
        <v>152</v>
      </c>
      <c r="C223" s="87"/>
    </row>
    <row r="224" spans="2:19">
      <c r="B224" s="97" t="s">
        <v>201</v>
      </c>
      <c r="C224" s="677"/>
      <c r="E224" s="126" t="s">
        <v>474</v>
      </c>
    </row>
    <row r="225" spans="2:20" ht="15.75" thickBot="1">
      <c r="B225" s="97" t="s">
        <v>477</v>
      </c>
      <c r="C225" s="87">
        <v>75000</v>
      </c>
      <c r="E225" s="126" t="s">
        <v>155</v>
      </c>
    </row>
    <row r="226" spans="2:20" ht="15.75" thickBot="1">
      <c r="B226" s="95" t="s">
        <v>155</v>
      </c>
      <c r="C226" s="86">
        <f>C225/$C$237</f>
        <v>1.6629711751662972</v>
      </c>
      <c r="E226" s="657">
        <f>C225/$C$237</f>
        <v>1.6629711751662972</v>
      </c>
    </row>
    <row r="227" spans="2:20">
      <c r="B227" s="116"/>
      <c r="C227" s="73"/>
      <c r="E227" s="695"/>
    </row>
    <row r="228" spans="2:20" ht="15.75" thickBot="1">
      <c r="B228" s="108" t="s">
        <v>506</v>
      </c>
      <c r="C228" s="73"/>
    </row>
    <row r="229" spans="2:20">
      <c r="B229" s="99" t="s">
        <v>151</v>
      </c>
      <c r="C229" s="88"/>
    </row>
    <row r="230" spans="2:20">
      <c r="B230" s="97" t="s">
        <v>152</v>
      </c>
      <c r="C230" s="87"/>
    </row>
    <row r="231" spans="2:20">
      <c r="B231" s="97" t="s">
        <v>201</v>
      </c>
      <c r="C231" s="677"/>
      <c r="E231" s="126" t="s">
        <v>474</v>
      </c>
    </row>
    <row r="232" spans="2:20" ht="15.75" thickBot="1">
      <c r="B232" s="97" t="s">
        <v>477</v>
      </c>
      <c r="C232" s="87">
        <v>250000</v>
      </c>
      <c r="E232" s="126" t="s">
        <v>155</v>
      </c>
    </row>
    <row r="233" spans="2:20" ht="15.75" thickBot="1">
      <c r="B233" s="95" t="s">
        <v>155</v>
      </c>
      <c r="C233" s="86">
        <f>C232/$C$237</f>
        <v>5.5432372505543235</v>
      </c>
      <c r="E233" s="657">
        <f>C232/$C$237</f>
        <v>5.5432372505543235</v>
      </c>
    </row>
    <row r="234" spans="2:20" ht="15.75" thickBot="1">
      <c r="B234" s="116"/>
      <c r="C234" s="73"/>
    </row>
    <row r="235" spans="2:20" ht="15.75" thickBot="1">
      <c r="B235" s="85" t="s">
        <v>156</v>
      </c>
      <c r="C235" s="701">
        <v>0.115</v>
      </c>
      <c r="D235" s="160"/>
      <c r="E235" s="160"/>
      <c r="F235" s="160"/>
      <c r="G235" s="160"/>
      <c r="H235" s="160"/>
      <c r="I235" s="160"/>
      <c r="J235" s="160"/>
      <c r="K235" s="160"/>
      <c r="L235" s="160"/>
      <c r="M235" s="160"/>
      <c r="N235" s="160"/>
      <c r="O235" s="160"/>
      <c r="P235" s="160"/>
      <c r="Q235" s="160"/>
      <c r="R235" s="160"/>
      <c r="S235" s="160"/>
      <c r="T235" s="160"/>
    </row>
    <row r="236" spans="2:20" ht="15.75" thickBot="1">
      <c r="B236" s="116"/>
      <c r="C236" s="109"/>
    </row>
    <row r="237" spans="2:20" ht="15.75" thickBot="1">
      <c r="B237" s="85" t="s">
        <v>165</v>
      </c>
      <c r="C237" s="110">
        <v>45100</v>
      </c>
      <c r="D237" s="173"/>
      <c r="E237" s="126" t="s">
        <v>474</v>
      </c>
      <c r="G237" s="662" t="s">
        <v>475</v>
      </c>
    </row>
    <row r="238" spans="2:20" ht="15.75" thickBot="1">
      <c r="B238" s="116"/>
      <c r="C238" s="116"/>
      <c r="E238" s="126" t="s">
        <v>155</v>
      </c>
      <c r="G238" s="662" t="s">
        <v>476</v>
      </c>
    </row>
    <row r="239" spans="2:20" ht="15.75" thickBot="1">
      <c r="B239" s="62" t="s">
        <v>456</v>
      </c>
      <c r="C239" s="266">
        <f>C194+C57+C17+C40+C99+C217+C226+C233</f>
        <v>44.732940934304864</v>
      </c>
      <c r="E239" s="657">
        <f>E194+E123+E57+E17+E99+E176+E217+E226</f>
        <v>91.853954040897577</v>
      </c>
      <c r="G239" s="660">
        <f>1-(C239/E239)</f>
        <v>0.51299928891044022</v>
      </c>
    </row>
    <row r="240" spans="2:20">
      <c r="D240" s="159"/>
    </row>
    <row r="242" spans="1:20" ht="15" customHeight="1">
      <c r="A242" s="165"/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  <c r="T242" s="113"/>
    </row>
    <row r="244" spans="1:20" ht="15.75" thickBot="1">
      <c r="F244" s="678"/>
      <c r="G244" s="679" t="s">
        <v>495</v>
      </c>
    </row>
    <row r="245" spans="1:20">
      <c r="B245" s="99" t="s">
        <v>157</v>
      </c>
      <c r="C245" s="64">
        <f>239000+98300+29400+28200</f>
        <v>394900</v>
      </c>
      <c r="F245" s="678"/>
      <c r="G245" s="679" t="s">
        <v>496</v>
      </c>
    </row>
    <row r="246" spans="1:20">
      <c r="B246" s="97" t="s">
        <v>158</v>
      </c>
      <c r="C246" s="66"/>
      <c r="F246" s="680" t="s">
        <v>497</v>
      </c>
      <c r="G246" s="683">
        <f>-NPV(C235,'XLRN - CFS'!P26:Q26)</f>
        <v>164567.76407126625</v>
      </c>
    </row>
    <row r="247" spans="1:20">
      <c r="B247" s="97" t="s">
        <v>159</v>
      </c>
      <c r="C247" s="67"/>
      <c r="F247" s="681" t="s">
        <v>367</v>
      </c>
      <c r="G247" s="684">
        <f>-NPV(C235,'XLRN - CFS'!P30:Q30)</f>
        <v>2799.5630316314428</v>
      </c>
    </row>
    <row r="248" spans="1:20" ht="15.75" thickBot="1">
      <c r="B248" s="95" t="s">
        <v>160</v>
      </c>
      <c r="C248" s="76">
        <f>G248</f>
        <v>167367.32710289769</v>
      </c>
      <c r="F248" s="682" t="s">
        <v>197</v>
      </c>
      <c r="G248" s="685">
        <f>G246+G247</f>
        <v>167367.32710289769</v>
      </c>
    </row>
    <row r="249" spans="1:20" ht="15.75" thickBot="1">
      <c r="F249" s="65"/>
      <c r="G249" s="65"/>
    </row>
    <row r="250" spans="1:20" ht="15.75" thickBot="1">
      <c r="B250" s="85" t="s">
        <v>161</v>
      </c>
      <c r="C250" s="372">
        <f>C245-C248</f>
        <v>227532.67289710231</v>
      </c>
      <c r="H250" s="68"/>
      <c r="I250" s="68"/>
    </row>
    <row r="251" spans="1:20" ht="15.75" thickBot="1">
      <c r="G251" s="71"/>
    </row>
    <row r="252" spans="1:20" ht="15.75" thickBot="1">
      <c r="B252" s="85" t="s">
        <v>162</v>
      </c>
      <c r="C252" s="63">
        <f>C250/C237</f>
        <v>5.0450703524856388</v>
      </c>
      <c r="E252" s="126" t="s">
        <v>474</v>
      </c>
      <c r="G252" s="71"/>
    </row>
    <row r="253" spans="1:20" ht="15.75" thickBot="1">
      <c r="E253" s="126" t="s">
        <v>155</v>
      </c>
      <c r="G253" s="71"/>
    </row>
    <row r="254" spans="1:20" ht="15.75" thickBot="1">
      <c r="B254" s="62" t="s">
        <v>163</v>
      </c>
      <c r="C254" s="266">
        <f>C252+C239</f>
        <v>49.778011286790502</v>
      </c>
      <c r="E254" s="657">
        <f>C252+E239</f>
        <v>96.899024393383215</v>
      </c>
      <c r="G254" s="71"/>
    </row>
    <row r="255" spans="1:20">
      <c r="G255" s="71"/>
    </row>
    <row r="256" spans="1:20">
      <c r="G256" s="71"/>
    </row>
    <row r="257" spans="1:19" ht="15.75" thickBot="1">
      <c r="D257" s="425">
        <v>1</v>
      </c>
      <c r="E257" s="116" t="s">
        <v>359</v>
      </c>
      <c r="F257" s="116"/>
      <c r="G257" s="337"/>
      <c r="H257" s="337"/>
      <c r="I257" s="337"/>
      <c r="J257" s="337"/>
      <c r="K257" s="337"/>
      <c r="L257" s="337"/>
      <c r="M257" s="337"/>
      <c r="N257" s="337"/>
      <c r="O257" s="337"/>
      <c r="P257" s="337"/>
      <c r="Q257" s="337"/>
      <c r="R257" s="337"/>
      <c r="S257" s="337"/>
    </row>
    <row r="258" spans="1:19" ht="16.5" thickBot="1">
      <c r="B258" s="442" t="s">
        <v>481</v>
      </c>
      <c r="C258" s="663">
        <v>2</v>
      </c>
      <c r="D258" s="425">
        <v>2</v>
      </c>
      <c r="E258" s="116" t="s">
        <v>361</v>
      </c>
      <c r="F258" s="116"/>
      <c r="G258" s="337"/>
      <c r="H258" s="337"/>
      <c r="I258" s="337"/>
      <c r="J258" s="337"/>
      <c r="K258" s="337"/>
      <c r="L258" s="337"/>
      <c r="M258" s="337"/>
      <c r="N258" s="337"/>
      <c r="O258" s="337"/>
      <c r="P258" s="337"/>
      <c r="Q258" s="337"/>
      <c r="R258" s="337"/>
      <c r="S258" s="337"/>
    </row>
    <row r="259" spans="1:19">
      <c r="B259" s="116"/>
      <c r="C259" s="116"/>
      <c r="D259" s="425">
        <v>3</v>
      </c>
      <c r="E259" s="116" t="s">
        <v>360</v>
      </c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</row>
    <row r="260" spans="1:19">
      <c r="A260" s="426"/>
      <c r="B260" s="116"/>
      <c r="C260" s="116"/>
      <c r="D260" s="116"/>
      <c r="E260" s="116"/>
      <c r="F260" s="116"/>
      <c r="G260" s="116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</row>
    <row r="261" spans="1:19">
      <c r="A261" s="426"/>
      <c r="B261" s="116"/>
      <c r="C261" s="116"/>
      <c r="D261" s="116"/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</row>
    <row r="262" spans="1:19">
      <c r="A262" s="426"/>
      <c r="B262" s="116"/>
      <c r="C262" s="116"/>
      <c r="D262" s="337"/>
      <c r="E262" s="338"/>
      <c r="F262" s="116"/>
      <c r="G262" s="116"/>
      <c r="H262" s="116"/>
      <c r="I262" s="116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</row>
    <row r="263" spans="1:19">
      <c r="A263" s="371"/>
      <c r="B263" s="116"/>
      <c r="C263" s="116"/>
      <c r="D263" s="339"/>
      <c r="E263" s="73"/>
      <c r="F263" s="116"/>
      <c r="G263" s="116"/>
      <c r="H263" s="116"/>
      <c r="I263" s="116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</row>
    <row r="276" spans="1:20">
      <c r="A276" s="108" t="s">
        <v>468</v>
      </c>
      <c r="B276" s="108"/>
    </row>
    <row r="277" spans="1:20" outlineLevel="1">
      <c r="B277" s="644"/>
      <c r="C277" s="445">
        <f t="shared" ref="C277:S277" si="37">C4</f>
        <v>2014</v>
      </c>
      <c r="D277" s="445">
        <f t="shared" si="37"/>
        <v>2015</v>
      </c>
      <c r="E277" s="445">
        <f t="shared" si="37"/>
        <v>2016</v>
      </c>
      <c r="F277" s="445">
        <f t="shared" si="37"/>
        <v>2017</v>
      </c>
      <c r="G277" s="445">
        <f t="shared" si="37"/>
        <v>2018</v>
      </c>
      <c r="H277" s="445">
        <f t="shared" si="37"/>
        <v>2019</v>
      </c>
      <c r="I277" s="445">
        <f t="shared" si="37"/>
        <v>2020</v>
      </c>
      <c r="J277" s="445">
        <f t="shared" si="37"/>
        <v>2021</v>
      </c>
      <c r="K277" s="445">
        <f t="shared" si="37"/>
        <v>2022</v>
      </c>
      <c r="L277" s="445">
        <f t="shared" si="37"/>
        <v>2023</v>
      </c>
      <c r="M277" s="445">
        <f t="shared" si="37"/>
        <v>2024</v>
      </c>
      <c r="N277" s="445">
        <f t="shared" si="37"/>
        <v>2025</v>
      </c>
      <c r="O277" s="445">
        <f t="shared" si="37"/>
        <v>2026</v>
      </c>
      <c r="P277" s="445">
        <f t="shared" si="37"/>
        <v>2027</v>
      </c>
      <c r="Q277" s="445">
        <f t="shared" si="37"/>
        <v>2028</v>
      </c>
      <c r="R277" s="445">
        <f t="shared" si="37"/>
        <v>2029</v>
      </c>
      <c r="S277" s="445">
        <f t="shared" si="37"/>
        <v>2030</v>
      </c>
      <c r="T277" s="686" t="s">
        <v>151</v>
      </c>
    </row>
    <row r="278" spans="1:20" outlineLevel="1">
      <c r="B278" s="437" t="s">
        <v>464</v>
      </c>
      <c r="C278" s="645">
        <f t="shared" ref="C278:T278" si="38">C11+C51+C77+C111+C148+C188+C205</f>
        <v>-10526</v>
      </c>
      <c r="D278" s="645">
        <f t="shared" si="38"/>
        <v>2946</v>
      </c>
      <c r="E278" s="645">
        <f t="shared" si="38"/>
        <v>-20982</v>
      </c>
      <c r="F278" s="645">
        <f t="shared" si="38"/>
        <v>-19973</v>
      </c>
      <c r="G278" s="645">
        <f t="shared" si="38"/>
        <v>-31321.65</v>
      </c>
      <c r="H278" s="645">
        <f t="shared" si="38"/>
        <v>149926.92635999934</v>
      </c>
      <c r="I278" s="645">
        <f t="shared" si="38"/>
        <v>123449.21187889493</v>
      </c>
      <c r="J278" s="645">
        <f t="shared" si="38"/>
        <v>235311.26389568683</v>
      </c>
      <c r="K278" s="645">
        <f t="shared" si="38"/>
        <v>326545.75250341458</v>
      </c>
      <c r="L278" s="645">
        <f t="shared" si="38"/>
        <v>390748.30190809804</v>
      </c>
      <c r="M278" s="645">
        <f t="shared" si="38"/>
        <v>553911.17867614748</v>
      </c>
      <c r="N278" s="645">
        <f t="shared" si="38"/>
        <v>713367.67833251029</v>
      </c>
      <c r="O278" s="645">
        <f t="shared" si="38"/>
        <v>927438.77965728904</v>
      </c>
      <c r="P278" s="645">
        <f t="shared" si="38"/>
        <v>1122233.1250342671</v>
      </c>
      <c r="Q278" s="645">
        <f t="shared" si="38"/>
        <v>1359952.1022926394</v>
      </c>
      <c r="R278" s="645">
        <f t="shared" si="38"/>
        <v>1552577.6176411917</v>
      </c>
      <c r="S278" s="645">
        <f t="shared" si="38"/>
        <v>1712577.7331467329</v>
      </c>
      <c r="T278" s="319">
        <f t="shared" si="38"/>
        <v>4281444.3328668326</v>
      </c>
    </row>
    <row r="279" spans="1:20" ht="9.9499999999999993" customHeight="1" outlineLevel="1">
      <c r="B279" s="437"/>
      <c r="C279" s="116"/>
      <c r="D279" s="116"/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448"/>
    </row>
    <row r="280" spans="1:20" outlineLevel="1">
      <c r="B280" s="437" t="s">
        <v>156</v>
      </c>
      <c r="C280" s="646">
        <v>0.15</v>
      </c>
      <c r="D280" s="116"/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448"/>
    </row>
    <row r="281" spans="1:20" ht="9.9499999999999993" customHeight="1" outlineLevel="1">
      <c r="B281" s="437"/>
      <c r="C281" s="116"/>
      <c r="D281" s="116"/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448"/>
    </row>
    <row r="282" spans="1:20" outlineLevel="1">
      <c r="B282" s="437" t="s">
        <v>152</v>
      </c>
      <c r="C282" s="645">
        <f>NPV(C280,E278:T278)</f>
        <v>2296729.2765864944</v>
      </c>
      <c r="D282" s="116"/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448"/>
    </row>
    <row r="283" spans="1:20" ht="9.9499999999999993" customHeight="1" outlineLevel="1">
      <c r="B283" s="437"/>
      <c r="C283" s="116"/>
      <c r="D283" s="116"/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448"/>
    </row>
    <row r="284" spans="1:20" outlineLevel="1">
      <c r="B284" s="437" t="s">
        <v>454</v>
      </c>
      <c r="C284" s="649">
        <f>C14+C54+E95+C120+E172+C191+C214+C225</f>
        <v>4142613.3272444811</v>
      </c>
      <c r="D284" s="116"/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448"/>
    </row>
    <row r="285" spans="1:20" outlineLevel="1">
      <c r="B285" s="438" t="s">
        <v>455</v>
      </c>
      <c r="C285" s="650">
        <f>C16+C56+C98+C122+C175+C193+C216+C225</f>
        <v>1458126.0327185954</v>
      </c>
      <c r="D285" s="647"/>
      <c r="E285" s="647"/>
      <c r="F285" s="647"/>
      <c r="G285" s="647"/>
      <c r="H285" s="647"/>
      <c r="I285" s="647"/>
      <c r="J285" s="647"/>
      <c r="K285" s="647"/>
      <c r="L285" s="647"/>
      <c r="M285" s="647"/>
      <c r="N285" s="647"/>
      <c r="O285" s="647"/>
      <c r="P285" s="647"/>
      <c r="Q285" s="647"/>
      <c r="R285" s="647"/>
      <c r="S285" s="647"/>
      <c r="T285" s="648"/>
    </row>
  </sheetData>
  <mergeCells count="6">
    <mergeCell ref="G13:H13"/>
    <mergeCell ref="G53:H53"/>
    <mergeCell ref="G119:H119"/>
    <mergeCell ref="G190:H190"/>
    <mergeCell ref="G213:H213"/>
    <mergeCell ref="G36:H36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99"/>
  <sheetViews>
    <sheetView showGridLines="0" zoomScale="85" zoomScaleNormal="85" zoomScalePageLayoutView="75" workbookViewId="0"/>
  </sheetViews>
  <sheetFormatPr defaultColWidth="8.85546875" defaultRowHeight="15" outlineLevelRow="1"/>
  <cols>
    <col min="1" max="1" width="2.7109375" style="165" customWidth="1"/>
    <col min="2" max="2" width="34.85546875" style="165" bestFit="1" customWidth="1"/>
    <col min="3" max="13" width="16.42578125" style="165" bestFit="1" customWidth="1"/>
    <col min="14" max="16" width="15.7109375" style="165" bestFit="1" customWidth="1"/>
    <col min="17" max="17" width="16.42578125" style="165" bestFit="1" customWidth="1"/>
    <col min="18" max="19" width="15.7109375" style="165" bestFit="1" customWidth="1"/>
    <col min="20" max="22" width="16.42578125" style="165" bestFit="1" customWidth="1"/>
    <col min="23" max="16384" width="8.85546875" style="165"/>
  </cols>
  <sheetData>
    <row r="1" spans="2:22" ht="15.75" thickBot="1"/>
    <row r="2" spans="2:22" ht="18.75">
      <c r="B2" s="384" t="s">
        <v>127</v>
      </c>
      <c r="C2" s="385">
        <v>2011</v>
      </c>
      <c r="D2" s="385">
        <f t="shared" ref="D2:V2" si="0">C2+1</f>
        <v>2012</v>
      </c>
      <c r="E2" s="385">
        <f t="shared" si="0"/>
        <v>2013</v>
      </c>
      <c r="F2" s="385">
        <f t="shared" si="0"/>
        <v>2014</v>
      </c>
      <c r="G2" s="385">
        <f t="shared" si="0"/>
        <v>2015</v>
      </c>
      <c r="H2" s="385">
        <f t="shared" si="0"/>
        <v>2016</v>
      </c>
      <c r="I2" s="385">
        <f t="shared" si="0"/>
        <v>2017</v>
      </c>
      <c r="J2" s="385">
        <f t="shared" si="0"/>
        <v>2018</v>
      </c>
      <c r="K2" s="385">
        <f t="shared" si="0"/>
        <v>2019</v>
      </c>
      <c r="L2" s="385">
        <f t="shared" si="0"/>
        <v>2020</v>
      </c>
      <c r="M2" s="385">
        <f t="shared" si="0"/>
        <v>2021</v>
      </c>
      <c r="N2" s="385">
        <f t="shared" si="0"/>
        <v>2022</v>
      </c>
      <c r="O2" s="385">
        <f t="shared" si="0"/>
        <v>2023</v>
      </c>
      <c r="P2" s="385">
        <f t="shared" si="0"/>
        <v>2024</v>
      </c>
      <c r="Q2" s="385">
        <f t="shared" si="0"/>
        <v>2025</v>
      </c>
      <c r="R2" s="385">
        <f t="shared" si="0"/>
        <v>2026</v>
      </c>
      <c r="S2" s="385">
        <f t="shared" si="0"/>
        <v>2027</v>
      </c>
      <c r="T2" s="385">
        <f t="shared" si="0"/>
        <v>2028</v>
      </c>
      <c r="U2" s="385">
        <f t="shared" si="0"/>
        <v>2029</v>
      </c>
      <c r="V2" s="386">
        <f t="shared" si="0"/>
        <v>2030</v>
      </c>
    </row>
    <row r="3" spans="2:22">
      <c r="B3" s="356" t="s">
        <v>224</v>
      </c>
      <c r="C3" s="365">
        <f t="shared" ref="C3:H3" si="1">SUM(C4:C10)</f>
        <v>0</v>
      </c>
      <c r="D3" s="365">
        <f t="shared" si="1"/>
        <v>0</v>
      </c>
      <c r="E3" s="365">
        <f t="shared" si="1"/>
        <v>0</v>
      </c>
      <c r="F3" s="365">
        <f t="shared" si="1"/>
        <v>0</v>
      </c>
      <c r="G3" s="365">
        <f t="shared" si="1"/>
        <v>0</v>
      </c>
      <c r="H3" s="365">
        <f t="shared" si="1"/>
        <v>0</v>
      </c>
      <c r="I3" s="365">
        <f>SUM(I4:I10)</f>
        <v>0</v>
      </c>
      <c r="J3" s="365">
        <f t="shared" ref="J3:V3" si="2">SUM(J4:J10)</f>
        <v>0</v>
      </c>
      <c r="K3" s="365">
        <f t="shared" si="2"/>
        <v>27191834.707070041</v>
      </c>
      <c r="L3" s="365">
        <f t="shared" si="2"/>
        <v>80329784.144136533</v>
      </c>
      <c r="M3" s="365">
        <f t="shared" si="2"/>
        <v>182128943.06706119</v>
      </c>
      <c r="N3" s="365">
        <f t="shared" si="2"/>
        <v>266658739.08272603</v>
      </c>
      <c r="O3" s="365">
        <f t="shared" si="2"/>
        <v>354173361.85189497</v>
      </c>
      <c r="P3" s="365">
        <f t="shared" si="2"/>
        <v>438291472.01495069</v>
      </c>
      <c r="Q3" s="365">
        <f t="shared" si="2"/>
        <v>502718579.75514328</v>
      </c>
      <c r="R3" s="365">
        <f t="shared" si="2"/>
        <v>563988700.87982309</v>
      </c>
      <c r="S3" s="365">
        <f t="shared" si="2"/>
        <v>624276309.2428484</v>
      </c>
      <c r="T3" s="365">
        <f t="shared" si="2"/>
        <v>685190157.35642505</v>
      </c>
      <c r="U3" s="365">
        <f t="shared" si="2"/>
        <v>747145620.42714703</v>
      </c>
      <c r="V3" s="366">
        <f t="shared" si="2"/>
        <v>795976155.95915651</v>
      </c>
    </row>
    <row r="4" spans="2:22" hidden="1" outlineLevel="1">
      <c r="B4" s="359" t="s">
        <v>134</v>
      </c>
      <c r="C4" s="360">
        <f t="shared" ref="C4:V4" si="3">IF(C$42&lt;$D$32,C$42*$F$32,$G$32)</f>
        <v>0</v>
      </c>
      <c r="D4" s="360">
        <f t="shared" si="3"/>
        <v>0</v>
      </c>
      <c r="E4" s="360">
        <f t="shared" si="3"/>
        <v>0</v>
      </c>
      <c r="F4" s="360">
        <f t="shared" si="3"/>
        <v>0</v>
      </c>
      <c r="G4" s="360">
        <f t="shared" si="3"/>
        <v>0</v>
      </c>
      <c r="H4" s="360">
        <f t="shared" si="3"/>
        <v>0</v>
      </c>
      <c r="I4" s="360">
        <f t="shared" si="3"/>
        <v>0</v>
      </c>
      <c r="J4" s="360">
        <f t="shared" si="3"/>
        <v>0</v>
      </c>
      <c r="K4" s="360">
        <f t="shared" si="3"/>
        <v>27191834.707070041</v>
      </c>
      <c r="L4" s="360">
        <f t="shared" si="3"/>
        <v>80329784.144136533</v>
      </c>
      <c r="M4" s="360">
        <f t="shared" si="3"/>
        <v>100000000</v>
      </c>
      <c r="N4" s="360">
        <f t="shared" si="3"/>
        <v>100000000</v>
      </c>
      <c r="O4" s="360">
        <f t="shared" si="3"/>
        <v>100000000</v>
      </c>
      <c r="P4" s="360">
        <f t="shared" si="3"/>
        <v>100000000</v>
      </c>
      <c r="Q4" s="360">
        <f t="shared" si="3"/>
        <v>100000000</v>
      </c>
      <c r="R4" s="360">
        <f t="shared" si="3"/>
        <v>100000000</v>
      </c>
      <c r="S4" s="360">
        <f t="shared" si="3"/>
        <v>100000000</v>
      </c>
      <c r="T4" s="360">
        <f t="shared" si="3"/>
        <v>100000000</v>
      </c>
      <c r="U4" s="360">
        <f t="shared" si="3"/>
        <v>100000000</v>
      </c>
      <c r="V4" s="361">
        <f t="shared" si="3"/>
        <v>100000000</v>
      </c>
    </row>
    <row r="5" spans="2:22" hidden="1" outlineLevel="1">
      <c r="B5" s="359" t="s">
        <v>135</v>
      </c>
      <c r="C5" s="360">
        <f t="shared" ref="C5:V5" si="4">IF(C$42-$D$32&gt;0,MIN((C$42-$D$32)*$F$33,$G$33),0)</f>
        <v>0</v>
      </c>
      <c r="D5" s="360">
        <f t="shared" si="4"/>
        <v>0</v>
      </c>
      <c r="E5" s="360">
        <f t="shared" si="4"/>
        <v>0</v>
      </c>
      <c r="F5" s="360">
        <f t="shared" si="4"/>
        <v>0</v>
      </c>
      <c r="G5" s="360">
        <f t="shared" si="4"/>
        <v>0</v>
      </c>
      <c r="H5" s="360">
        <f t="shared" si="4"/>
        <v>0</v>
      </c>
      <c r="I5" s="360">
        <f t="shared" si="4"/>
        <v>0</v>
      </c>
      <c r="J5" s="360">
        <f t="shared" si="4"/>
        <v>0</v>
      </c>
      <c r="K5" s="360">
        <f t="shared" si="4"/>
        <v>0</v>
      </c>
      <c r="L5" s="360">
        <f t="shared" si="4"/>
        <v>0</v>
      </c>
      <c r="M5" s="360">
        <f t="shared" si="4"/>
        <v>82128943.067061186</v>
      </c>
      <c r="N5" s="360">
        <f t="shared" si="4"/>
        <v>105000000</v>
      </c>
      <c r="O5" s="360">
        <f t="shared" si="4"/>
        <v>105000000</v>
      </c>
      <c r="P5" s="360">
        <f t="shared" si="4"/>
        <v>105000000</v>
      </c>
      <c r="Q5" s="360">
        <f t="shared" si="4"/>
        <v>105000000</v>
      </c>
      <c r="R5" s="360">
        <f t="shared" si="4"/>
        <v>105000000</v>
      </c>
      <c r="S5" s="360">
        <f t="shared" si="4"/>
        <v>105000000</v>
      </c>
      <c r="T5" s="360">
        <f t="shared" si="4"/>
        <v>105000000</v>
      </c>
      <c r="U5" s="360">
        <f t="shared" si="4"/>
        <v>105000000</v>
      </c>
      <c r="V5" s="361">
        <f t="shared" si="4"/>
        <v>105000000</v>
      </c>
    </row>
    <row r="6" spans="2:22" hidden="1" outlineLevel="1">
      <c r="B6" s="359" t="s">
        <v>136</v>
      </c>
      <c r="C6" s="360">
        <f t="shared" ref="C6:V6" si="5">IF(C$42-$D$33&gt;0,MIN((C$42-$D$33)*$F$34,$G$34),0)</f>
        <v>0</v>
      </c>
      <c r="D6" s="360">
        <f t="shared" si="5"/>
        <v>0</v>
      </c>
      <c r="E6" s="360">
        <f t="shared" si="5"/>
        <v>0</v>
      </c>
      <c r="F6" s="360">
        <f t="shared" si="5"/>
        <v>0</v>
      </c>
      <c r="G6" s="360">
        <f t="shared" si="5"/>
        <v>0</v>
      </c>
      <c r="H6" s="360">
        <f t="shared" si="5"/>
        <v>0</v>
      </c>
      <c r="I6" s="360">
        <f t="shared" si="5"/>
        <v>0</v>
      </c>
      <c r="J6" s="360">
        <f t="shared" si="5"/>
        <v>0</v>
      </c>
      <c r="K6" s="360">
        <f t="shared" si="5"/>
        <v>0</v>
      </c>
      <c r="L6" s="360">
        <f t="shared" si="5"/>
        <v>0</v>
      </c>
      <c r="M6" s="360">
        <f t="shared" si="5"/>
        <v>0</v>
      </c>
      <c r="N6" s="360">
        <f t="shared" si="5"/>
        <v>61658739.082726024</v>
      </c>
      <c r="O6" s="360">
        <f t="shared" si="5"/>
        <v>110000000</v>
      </c>
      <c r="P6" s="360">
        <f t="shared" si="5"/>
        <v>110000000</v>
      </c>
      <c r="Q6" s="360">
        <f t="shared" si="5"/>
        <v>110000000</v>
      </c>
      <c r="R6" s="360">
        <f t="shared" si="5"/>
        <v>110000000</v>
      </c>
      <c r="S6" s="360">
        <f t="shared" si="5"/>
        <v>110000000</v>
      </c>
      <c r="T6" s="360">
        <f t="shared" si="5"/>
        <v>110000000</v>
      </c>
      <c r="U6" s="360">
        <f t="shared" si="5"/>
        <v>110000000</v>
      </c>
      <c r="V6" s="361">
        <f t="shared" si="5"/>
        <v>110000000</v>
      </c>
    </row>
    <row r="7" spans="2:22" hidden="1" outlineLevel="1">
      <c r="B7" s="359" t="s">
        <v>137</v>
      </c>
      <c r="C7" s="360">
        <f t="shared" ref="C7:V7" si="6">IF(C$42-$D$34&gt;0,MIN((C$42-$D$34)*$F$35,$G$35),0)</f>
        <v>0</v>
      </c>
      <c r="D7" s="360">
        <f t="shared" si="6"/>
        <v>0</v>
      </c>
      <c r="E7" s="360">
        <f t="shared" si="6"/>
        <v>0</v>
      </c>
      <c r="F7" s="360">
        <f t="shared" si="6"/>
        <v>0</v>
      </c>
      <c r="G7" s="360">
        <f t="shared" si="6"/>
        <v>0</v>
      </c>
      <c r="H7" s="360">
        <f t="shared" si="6"/>
        <v>0</v>
      </c>
      <c r="I7" s="360">
        <f t="shared" si="6"/>
        <v>0</v>
      </c>
      <c r="J7" s="360">
        <f t="shared" si="6"/>
        <v>0</v>
      </c>
      <c r="K7" s="360">
        <f t="shared" si="6"/>
        <v>0</v>
      </c>
      <c r="L7" s="360">
        <f t="shared" si="6"/>
        <v>0</v>
      </c>
      <c r="M7" s="360">
        <f t="shared" si="6"/>
        <v>0</v>
      </c>
      <c r="N7" s="360">
        <f t="shared" si="6"/>
        <v>0</v>
      </c>
      <c r="O7" s="360">
        <f t="shared" si="6"/>
        <v>39173361.851894945</v>
      </c>
      <c r="P7" s="360">
        <f t="shared" si="6"/>
        <v>115000000</v>
      </c>
      <c r="Q7" s="360">
        <f t="shared" si="6"/>
        <v>115000000</v>
      </c>
      <c r="R7" s="360">
        <f t="shared" si="6"/>
        <v>115000000</v>
      </c>
      <c r="S7" s="360">
        <f t="shared" si="6"/>
        <v>115000000</v>
      </c>
      <c r="T7" s="360">
        <f t="shared" si="6"/>
        <v>115000000</v>
      </c>
      <c r="U7" s="360">
        <f t="shared" si="6"/>
        <v>115000000</v>
      </c>
      <c r="V7" s="361">
        <f t="shared" si="6"/>
        <v>115000000</v>
      </c>
    </row>
    <row r="8" spans="2:22" hidden="1" outlineLevel="1">
      <c r="B8" s="359" t="s">
        <v>138</v>
      </c>
      <c r="C8" s="360">
        <f t="shared" ref="C8:V8" si="7">IF(C$42-$D$35&gt;0,MIN((C$42-$D$35)*$F$36,$G$36),0)</f>
        <v>0</v>
      </c>
      <c r="D8" s="360">
        <f t="shared" si="7"/>
        <v>0</v>
      </c>
      <c r="E8" s="360">
        <f t="shared" si="7"/>
        <v>0</v>
      </c>
      <c r="F8" s="360">
        <f t="shared" si="7"/>
        <v>0</v>
      </c>
      <c r="G8" s="360">
        <f t="shared" si="7"/>
        <v>0</v>
      </c>
      <c r="H8" s="360">
        <f t="shared" si="7"/>
        <v>0</v>
      </c>
      <c r="I8" s="360">
        <f t="shared" si="7"/>
        <v>0</v>
      </c>
      <c r="J8" s="360">
        <f t="shared" si="7"/>
        <v>0</v>
      </c>
      <c r="K8" s="360">
        <f t="shared" si="7"/>
        <v>0</v>
      </c>
      <c r="L8" s="360">
        <f t="shared" si="7"/>
        <v>0</v>
      </c>
      <c r="M8" s="360">
        <f t="shared" si="7"/>
        <v>0</v>
      </c>
      <c r="N8" s="360">
        <f t="shared" si="7"/>
        <v>0</v>
      </c>
      <c r="O8" s="360">
        <f t="shared" si="7"/>
        <v>0</v>
      </c>
      <c r="P8" s="360">
        <f t="shared" si="7"/>
        <v>8291472.0149506759</v>
      </c>
      <c r="Q8" s="360">
        <f t="shared" si="7"/>
        <v>72718579.75514327</v>
      </c>
      <c r="R8" s="360">
        <f t="shared" si="7"/>
        <v>120000000</v>
      </c>
      <c r="S8" s="360">
        <f t="shared" si="7"/>
        <v>120000000</v>
      </c>
      <c r="T8" s="360">
        <f t="shared" si="7"/>
        <v>120000000</v>
      </c>
      <c r="U8" s="360">
        <f t="shared" si="7"/>
        <v>120000000</v>
      </c>
      <c r="V8" s="361">
        <f t="shared" si="7"/>
        <v>120000000</v>
      </c>
    </row>
    <row r="9" spans="2:22" hidden="1" outlineLevel="1">
      <c r="B9" s="359" t="s">
        <v>139</v>
      </c>
      <c r="C9" s="360">
        <f t="shared" ref="C9:V9" si="8">IF(C$42-$D$36&gt;0,MIN((C$42-$D$36)*$F$37,$G$37),0)</f>
        <v>0</v>
      </c>
      <c r="D9" s="360">
        <f t="shared" si="8"/>
        <v>0</v>
      </c>
      <c r="E9" s="360">
        <f t="shared" si="8"/>
        <v>0</v>
      </c>
      <c r="F9" s="360">
        <f t="shared" si="8"/>
        <v>0</v>
      </c>
      <c r="G9" s="360">
        <f t="shared" si="8"/>
        <v>0</v>
      </c>
      <c r="H9" s="360">
        <f t="shared" si="8"/>
        <v>0</v>
      </c>
      <c r="I9" s="360">
        <f t="shared" si="8"/>
        <v>0</v>
      </c>
      <c r="J9" s="360">
        <f t="shared" si="8"/>
        <v>0</v>
      </c>
      <c r="K9" s="360">
        <f t="shared" si="8"/>
        <v>0</v>
      </c>
      <c r="L9" s="360">
        <f t="shared" si="8"/>
        <v>0</v>
      </c>
      <c r="M9" s="360">
        <f t="shared" si="8"/>
        <v>0</v>
      </c>
      <c r="N9" s="360">
        <f t="shared" si="8"/>
        <v>0</v>
      </c>
      <c r="O9" s="360">
        <f t="shared" si="8"/>
        <v>0</v>
      </c>
      <c r="P9" s="360">
        <f t="shared" si="8"/>
        <v>0</v>
      </c>
      <c r="Q9" s="360">
        <f t="shared" si="8"/>
        <v>0</v>
      </c>
      <c r="R9" s="360">
        <f t="shared" si="8"/>
        <v>13988700.879823089</v>
      </c>
      <c r="S9" s="360">
        <f t="shared" si="8"/>
        <v>74276309.242848396</v>
      </c>
      <c r="T9" s="360">
        <f t="shared" si="8"/>
        <v>125000000</v>
      </c>
      <c r="U9" s="360">
        <f t="shared" si="8"/>
        <v>125000000</v>
      </c>
      <c r="V9" s="361">
        <f t="shared" si="8"/>
        <v>125000000</v>
      </c>
    </row>
    <row r="10" spans="2:22" hidden="1" outlineLevel="1">
      <c r="B10" s="359" t="s">
        <v>140</v>
      </c>
      <c r="C10" s="360">
        <f t="shared" ref="C10:V10" si="9">IF(C$42&gt;$D$37,(C$42-$D$37)*$F$38,0)</f>
        <v>0</v>
      </c>
      <c r="D10" s="360">
        <f t="shared" si="9"/>
        <v>0</v>
      </c>
      <c r="E10" s="360">
        <f t="shared" si="9"/>
        <v>0</v>
      </c>
      <c r="F10" s="360">
        <f t="shared" si="9"/>
        <v>0</v>
      </c>
      <c r="G10" s="360">
        <f t="shared" si="9"/>
        <v>0</v>
      </c>
      <c r="H10" s="360">
        <f t="shared" si="9"/>
        <v>0</v>
      </c>
      <c r="I10" s="360">
        <f t="shared" si="9"/>
        <v>0</v>
      </c>
      <c r="J10" s="360">
        <f t="shared" si="9"/>
        <v>0</v>
      </c>
      <c r="K10" s="360">
        <f t="shared" si="9"/>
        <v>0</v>
      </c>
      <c r="L10" s="360">
        <f t="shared" si="9"/>
        <v>0</v>
      </c>
      <c r="M10" s="360">
        <f t="shared" si="9"/>
        <v>0</v>
      </c>
      <c r="N10" s="360">
        <f t="shared" si="9"/>
        <v>0</v>
      </c>
      <c r="O10" s="360">
        <f t="shared" si="9"/>
        <v>0</v>
      </c>
      <c r="P10" s="360">
        <f t="shared" si="9"/>
        <v>0</v>
      </c>
      <c r="Q10" s="360">
        <f t="shared" si="9"/>
        <v>0</v>
      </c>
      <c r="R10" s="360">
        <f t="shared" si="9"/>
        <v>0</v>
      </c>
      <c r="S10" s="360">
        <f t="shared" si="9"/>
        <v>0</v>
      </c>
      <c r="T10" s="360">
        <f t="shared" si="9"/>
        <v>10190157.356425028</v>
      </c>
      <c r="U10" s="360">
        <f t="shared" si="9"/>
        <v>72145620.427147031</v>
      </c>
      <c r="V10" s="361">
        <f t="shared" si="9"/>
        <v>120976155.9591565</v>
      </c>
    </row>
    <row r="11" spans="2:22" collapsed="1">
      <c r="B11" s="359" t="s">
        <v>128</v>
      </c>
      <c r="C11" s="360" t="str">
        <f>IF(ISERROR((C43/C42)*C3),"",(C43/C42)*C3)</f>
        <v/>
      </c>
      <c r="D11" s="360" t="str">
        <f t="shared" ref="D11:V11" si="10">IF(ISERROR((D43/D42)*D3),"",(D43/D42)*D3)</f>
        <v/>
      </c>
      <c r="E11" s="360" t="str">
        <f t="shared" si="10"/>
        <v/>
      </c>
      <c r="F11" s="360" t="str">
        <f t="shared" si="10"/>
        <v/>
      </c>
      <c r="G11" s="360" t="str">
        <f t="shared" si="10"/>
        <v/>
      </c>
      <c r="H11" s="360" t="str">
        <f t="shared" si="10"/>
        <v/>
      </c>
      <c r="I11" s="360" t="str">
        <f t="shared" si="10"/>
        <v/>
      </c>
      <c r="J11" s="360" t="str">
        <f t="shared" si="10"/>
        <v/>
      </c>
      <c r="K11" s="360">
        <f t="shared" si="10"/>
        <v>18657312.245928306</v>
      </c>
      <c r="L11" s="360">
        <f t="shared" si="10"/>
        <v>57718969.944532275</v>
      </c>
      <c r="M11" s="360">
        <f t="shared" si="10"/>
        <v>138655480.3976799</v>
      </c>
      <c r="N11" s="360">
        <f t="shared" si="10"/>
        <v>203404736.86085325</v>
      </c>
      <c r="O11" s="360">
        <f t="shared" si="10"/>
        <v>274866732.7048955</v>
      </c>
      <c r="P11" s="360">
        <f t="shared" si="10"/>
        <v>345279521.36602056</v>
      </c>
      <c r="Q11" s="360">
        <f t="shared" si="10"/>
        <v>396745655.15019375</v>
      </c>
      <c r="R11" s="360">
        <f t="shared" si="10"/>
        <v>443226799.53039616</v>
      </c>
      <c r="S11" s="360">
        <f t="shared" si="10"/>
        <v>489584333.29648054</v>
      </c>
      <c r="T11" s="360">
        <f t="shared" si="10"/>
        <v>534570091.94827098</v>
      </c>
      <c r="U11" s="360">
        <f t="shared" si="10"/>
        <v>584086860.77804768</v>
      </c>
      <c r="V11" s="361">
        <f t="shared" si="10"/>
        <v>625059334.52614164</v>
      </c>
    </row>
    <row r="12" spans="2:22">
      <c r="B12" s="362" t="s">
        <v>129</v>
      </c>
      <c r="C12" s="363" t="str">
        <f>IF(ISERROR((C44/C42)*C3),"",(C44/C42)*C3)</f>
        <v/>
      </c>
      <c r="D12" s="363" t="str">
        <f t="shared" ref="D12:V12" si="11">IF(ISERROR((D44/D42)*D3),"",(D44/D42)*D3)</f>
        <v/>
      </c>
      <c r="E12" s="363" t="str">
        <f t="shared" si="11"/>
        <v/>
      </c>
      <c r="F12" s="363" t="str">
        <f t="shared" si="11"/>
        <v/>
      </c>
      <c r="G12" s="363" t="str">
        <f t="shared" si="11"/>
        <v/>
      </c>
      <c r="H12" s="363" t="str">
        <f t="shared" si="11"/>
        <v/>
      </c>
      <c r="I12" s="363" t="str">
        <f t="shared" si="11"/>
        <v/>
      </c>
      <c r="J12" s="363" t="str">
        <f t="shared" si="11"/>
        <v/>
      </c>
      <c r="K12" s="363">
        <f t="shared" si="11"/>
        <v>8534522.4611417372</v>
      </c>
      <c r="L12" s="363">
        <f t="shared" si="11"/>
        <v>22610814.199604258</v>
      </c>
      <c r="M12" s="363">
        <f t="shared" si="11"/>
        <v>43473462.669381306</v>
      </c>
      <c r="N12" s="363">
        <f t="shared" si="11"/>
        <v>63254002.221872784</v>
      </c>
      <c r="O12" s="363">
        <f t="shared" si="11"/>
        <v>79306629.146999463</v>
      </c>
      <c r="P12" s="363">
        <f t="shared" si="11"/>
        <v>93011950.648930103</v>
      </c>
      <c r="Q12" s="363">
        <f t="shared" si="11"/>
        <v>105972924.60494952</v>
      </c>
      <c r="R12" s="363">
        <f t="shared" si="11"/>
        <v>120761901.34942693</v>
      </c>
      <c r="S12" s="363">
        <f t="shared" si="11"/>
        <v>134691975.94636789</v>
      </c>
      <c r="T12" s="363">
        <f t="shared" si="11"/>
        <v>150620065.40815416</v>
      </c>
      <c r="U12" s="363">
        <f t="shared" si="11"/>
        <v>163058759.64909923</v>
      </c>
      <c r="V12" s="364">
        <f t="shared" si="11"/>
        <v>170916821.43301484</v>
      </c>
    </row>
    <row r="13" spans="2:22" collapsed="1">
      <c r="B13" s="72" t="s">
        <v>323</v>
      </c>
      <c r="C13" s="82"/>
      <c r="D13" s="82"/>
      <c r="E13" s="82"/>
      <c r="F13" s="82"/>
      <c r="G13" s="82"/>
      <c r="H13" s="70"/>
      <c r="I13" s="70"/>
      <c r="J13" s="70"/>
      <c r="K13" s="70">
        <f t="shared" ref="K13:V13" si="12">K3/K42</f>
        <v>0.2</v>
      </c>
      <c r="L13" s="70">
        <f t="shared" si="12"/>
        <v>0.19999999999999998</v>
      </c>
      <c r="M13" s="70">
        <f t="shared" si="12"/>
        <v>0.20438889579137037</v>
      </c>
      <c r="N13" s="70">
        <f t="shared" si="12"/>
        <v>0.20828369391005916</v>
      </c>
      <c r="O13" s="70">
        <f t="shared" si="12"/>
        <v>0.21203935856786432</v>
      </c>
      <c r="P13" s="70">
        <f t="shared" si="12"/>
        <v>0.21542451448008787</v>
      </c>
      <c r="Q13" s="70">
        <f t="shared" si="12"/>
        <v>0.21828913222834656</v>
      </c>
      <c r="R13" s="70">
        <f t="shared" si="12"/>
        <v>0.22065675813330793</v>
      </c>
      <c r="S13" s="70">
        <f t="shared" si="12"/>
        <v>0.22318656480683319</v>
      </c>
      <c r="T13" s="70">
        <f t="shared" si="12"/>
        <v>0.22545135402428709</v>
      </c>
      <c r="U13" s="70">
        <f t="shared" si="12"/>
        <v>0.22796322207662631</v>
      </c>
      <c r="V13" s="70">
        <f t="shared" si="12"/>
        <v>0.22969953109254362</v>
      </c>
    </row>
    <row r="14" spans="2:22">
      <c r="C14" s="82"/>
      <c r="D14" s="82"/>
      <c r="E14" s="82"/>
      <c r="F14" s="82"/>
      <c r="G14" s="82"/>
      <c r="H14" s="82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</row>
    <row r="15" spans="2:22" hidden="1">
      <c r="B15" s="356" t="s">
        <v>225</v>
      </c>
      <c r="C15" s="299"/>
      <c r="D15" s="299"/>
      <c r="E15" s="299"/>
      <c r="F15" s="299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299"/>
      <c r="R15" s="299"/>
      <c r="S15" s="299"/>
      <c r="T15" s="299"/>
      <c r="U15" s="299"/>
      <c r="V15" s="74"/>
    </row>
    <row r="16" spans="2:22" hidden="1">
      <c r="B16" s="31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22"/>
    </row>
    <row r="17" spans="2:22" hidden="1">
      <c r="B17" s="367" t="s">
        <v>142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22"/>
    </row>
    <row r="18" spans="2:22" hidden="1">
      <c r="B18" s="31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22"/>
    </row>
    <row r="19" spans="2:22" hidden="1">
      <c r="B19" s="31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22"/>
    </row>
    <row r="20" spans="2:22" hidden="1">
      <c r="B20" s="362" t="s">
        <v>144</v>
      </c>
      <c r="C20" s="368">
        <f>SUM(C21:C27)</f>
        <v>0</v>
      </c>
      <c r="D20" s="368">
        <f t="shared" ref="D20:V20" si="13">SUM(D21:D27)</f>
        <v>0</v>
      </c>
      <c r="E20" s="368">
        <f t="shared" si="13"/>
        <v>0</v>
      </c>
      <c r="F20" s="368">
        <f t="shared" si="13"/>
        <v>0</v>
      </c>
      <c r="G20" s="368">
        <f t="shared" si="13"/>
        <v>0</v>
      </c>
      <c r="H20" s="368">
        <f t="shared" si="13"/>
        <v>0</v>
      </c>
      <c r="I20" s="368">
        <f t="shared" si="13"/>
        <v>0</v>
      </c>
      <c r="J20" s="369">
        <f t="shared" si="13"/>
        <v>0</v>
      </c>
      <c r="K20" s="369">
        <f t="shared" si="13"/>
        <v>0</v>
      </c>
      <c r="L20" s="369">
        <f t="shared" si="13"/>
        <v>0</v>
      </c>
      <c r="M20" s="369">
        <f t="shared" si="13"/>
        <v>0</v>
      </c>
      <c r="N20" s="369">
        <f t="shared" si="13"/>
        <v>0</v>
      </c>
      <c r="O20" s="369">
        <f t="shared" si="13"/>
        <v>0</v>
      </c>
      <c r="P20" s="369">
        <f t="shared" si="13"/>
        <v>0</v>
      </c>
      <c r="Q20" s="369">
        <f t="shared" si="13"/>
        <v>0</v>
      </c>
      <c r="R20" s="369">
        <f t="shared" si="13"/>
        <v>0</v>
      </c>
      <c r="S20" s="369">
        <f t="shared" si="13"/>
        <v>0</v>
      </c>
      <c r="T20" s="369">
        <f t="shared" si="13"/>
        <v>0</v>
      </c>
      <c r="U20" s="369">
        <f t="shared" si="13"/>
        <v>0</v>
      </c>
      <c r="V20" s="370">
        <f t="shared" si="13"/>
        <v>0</v>
      </c>
    </row>
    <row r="21" spans="2:22" hidden="1" outlineLevel="1">
      <c r="B21" s="50" t="s">
        <v>134</v>
      </c>
      <c r="C21" s="82">
        <f t="shared" ref="C21:V21" si="14">IF(C$45&lt;$D$32,C$45*$F$32,$G$32)</f>
        <v>0</v>
      </c>
      <c r="D21" s="82">
        <f t="shared" si="14"/>
        <v>0</v>
      </c>
      <c r="E21" s="82">
        <f t="shared" si="14"/>
        <v>0</v>
      </c>
      <c r="F21" s="82">
        <f t="shared" si="14"/>
        <v>0</v>
      </c>
      <c r="G21" s="82">
        <f t="shared" si="14"/>
        <v>0</v>
      </c>
      <c r="H21" s="82">
        <f t="shared" si="14"/>
        <v>0</v>
      </c>
      <c r="I21" s="82">
        <f t="shared" si="14"/>
        <v>0</v>
      </c>
      <c r="J21" s="82">
        <f t="shared" si="14"/>
        <v>0</v>
      </c>
      <c r="K21" s="82">
        <f t="shared" si="14"/>
        <v>0</v>
      </c>
      <c r="L21" s="82">
        <f t="shared" si="14"/>
        <v>0</v>
      </c>
      <c r="M21" s="82">
        <f t="shared" si="14"/>
        <v>0</v>
      </c>
      <c r="N21" s="82">
        <f t="shared" si="14"/>
        <v>0</v>
      </c>
      <c r="O21" s="82">
        <f t="shared" si="14"/>
        <v>0</v>
      </c>
      <c r="P21" s="82">
        <f t="shared" si="14"/>
        <v>0</v>
      </c>
      <c r="Q21" s="82">
        <f t="shared" si="14"/>
        <v>0</v>
      </c>
      <c r="R21" s="82">
        <f t="shared" si="14"/>
        <v>0</v>
      </c>
      <c r="S21" s="82">
        <f t="shared" si="14"/>
        <v>0</v>
      </c>
      <c r="T21" s="82">
        <f t="shared" si="14"/>
        <v>0</v>
      </c>
      <c r="U21" s="82">
        <f t="shared" si="14"/>
        <v>0</v>
      </c>
      <c r="V21" s="82">
        <f t="shared" si="14"/>
        <v>0</v>
      </c>
    </row>
    <row r="22" spans="2:22" hidden="1" outlineLevel="1">
      <c r="B22" s="50" t="s">
        <v>135</v>
      </c>
      <c r="C22" s="82">
        <f t="shared" ref="C22:V22" si="15">IF(C$45-$D$32&gt;0,MIN((C$45-$D$32)*$F$33,$G$33),0)</f>
        <v>0</v>
      </c>
      <c r="D22" s="82">
        <f t="shared" si="15"/>
        <v>0</v>
      </c>
      <c r="E22" s="82">
        <f t="shared" si="15"/>
        <v>0</v>
      </c>
      <c r="F22" s="82">
        <f t="shared" si="15"/>
        <v>0</v>
      </c>
      <c r="G22" s="82">
        <f t="shared" si="15"/>
        <v>0</v>
      </c>
      <c r="H22" s="82">
        <f t="shared" si="15"/>
        <v>0</v>
      </c>
      <c r="I22" s="82">
        <f t="shared" si="15"/>
        <v>0</v>
      </c>
      <c r="J22" s="82">
        <f t="shared" si="15"/>
        <v>0</v>
      </c>
      <c r="K22" s="82">
        <f t="shared" si="15"/>
        <v>0</v>
      </c>
      <c r="L22" s="82">
        <f t="shared" si="15"/>
        <v>0</v>
      </c>
      <c r="M22" s="82">
        <f t="shared" si="15"/>
        <v>0</v>
      </c>
      <c r="N22" s="82">
        <f t="shared" si="15"/>
        <v>0</v>
      </c>
      <c r="O22" s="82">
        <f t="shared" si="15"/>
        <v>0</v>
      </c>
      <c r="P22" s="82">
        <f t="shared" si="15"/>
        <v>0</v>
      </c>
      <c r="Q22" s="82">
        <f t="shared" si="15"/>
        <v>0</v>
      </c>
      <c r="R22" s="82">
        <f t="shared" si="15"/>
        <v>0</v>
      </c>
      <c r="S22" s="82">
        <f t="shared" si="15"/>
        <v>0</v>
      </c>
      <c r="T22" s="82">
        <f t="shared" si="15"/>
        <v>0</v>
      </c>
      <c r="U22" s="82">
        <f t="shared" si="15"/>
        <v>0</v>
      </c>
      <c r="V22" s="82">
        <f t="shared" si="15"/>
        <v>0</v>
      </c>
    </row>
    <row r="23" spans="2:22" hidden="1" outlineLevel="1">
      <c r="B23" s="50" t="s">
        <v>136</v>
      </c>
      <c r="C23" s="82">
        <f t="shared" ref="C23:V23" si="16">IF(C$45-$D$33&gt;0,MIN((C$45-$D$33)*$F$34,$G$34),0)</f>
        <v>0</v>
      </c>
      <c r="D23" s="82">
        <f t="shared" si="16"/>
        <v>0</v>
      </c>
      <c r="E23" s="82">
        <f t="shared" si="16"/>
        <v>0</v>
      </c>
      <c r="F23" s="82">
        <f t="shared" si="16"/>
        <v>0</v>
      </c>
      <c r="G23" s="82">
        <f t="shared" si="16"/>
        <v>0</v>
      </c>
      <c r="H23" s="82">
        <f t="shared" si="16"/>
        <v>0</v>
      </c>
      <c r="I23" s="82">
        <f t="shared" si="16"/>
        <v>0</v>
      </c>
      <c r="J23" s="82">
        <f t="shared" si="16"/>
        <v>0</v>
      </c>
      <c r="K23" s="82">
        <f t="shared" si="16"/>
        <v>0</v>
      </c>
      <c r="L23" s="82">
        <f t="shared" si="16"/>
        <v>0</v>
      </c>
      <c r="M23" s="82">
        <f t="shared" si="16"/>
        <v>0</v>
      </c>
      <c r="N23" s="82">
        <f t="shared" si="16"/>
        <v>0</v>
      </c>
      <c r="O23" s="82">
        <f t="shared" si="16"/>
        <v>0</v>
      </c>
      <c r="P23" s="82">
        <f t="shared" si="16"/>
        <v>0</v>
      </c>
      <c r="Q23" s="82">
        <f t="shared" si="16"/>
        <v>0</v>
      </c>
      <c r="R23" s="82">
        <f t="shared" si="16"/>
        <v>0</v>
      </c>
      <c r="S23" s="82">
        <f t="shared" si="16"/>
        <v>0</v>
      </c>
      <c r="T23" s="82">
        <f t="shared" si="16"/>
        <v>0</v>
      </c>
      <c r="U23" s="82">
        <f t="shared" si="16"/>
        <v>0</v>
      </c>
      <c r="V23" s="82">
        <f t="shared" si="16"/>
        <v>0</v>
      </c>
    </row>
    <row r="24" spans="2:22" hidden="1" outlineLevel="1">
      <c r="B24" s="50" t="s">
        <v>137</v>
      </c>
      <c r="C24" s="82">
        <f t="shared" ref="C24:V24" si="17">IF(C$45-$D$34&gt;0,MIN((C$45-$D$34)*$F$35,$G$35),0)</f>
        <v>0</v>
      </c>
      <c r="D24" s="82">
        <f t="shared" si="17"/>
        <v>0</v>
      </c>
      <c r="E24" s="82">
        <f t="shared" si="17"/>
        <v>0</v>
      </c>
      <c r="F24" s="82">
        <f t="shared" si="17"/>
        <v>0</v>
      </c>
      <c r="G24" s="82">
        <f t="shared" si="17"/>
        <v>0</v>
      </c>
      <c r="H24" s="82">
        <f t="shared" si="17"/>
        <v>0</v>
      </c>
      <c r="I24" s="82">
        <f t="shared" si="17"/>
        <v>0</v>
      </c>
      <c r="J24" s="82">
        <f t="shared" si="17"/>
        <v>0</v>
      </c>
      <c r="K24" s="82">
        <f t="shared" si="17"/>
        <v>0</v>
      </c>
      <c r="L24" s="82">
        <f t="shared" si="17"/>
        <v>0</v>
      </c>
      <c r="M24" s="82">
        <f t="shared" si="17"/>
        <v>0</v>
      </c>
      <c r="N24" s="82">
        <f t="shared" si="17"/>
        <v>0</v>
      </c>
      <c r="O24" s="82">
        <f t="shared" si="17"/>
        <v>0</v>
      </c>
      <c r="P24" s="82">
        <f t="shared" si="17"/>
        <v>0</v>
      </c>
      <c r="Q24" s="82">
        <f t="shared" si="17"/>
        <v>0</v>
      </c>
      <c r="R24" s="82">
        <f t="shared" si="17"/>
        <v>0</v>
      </c>
      <c r="S24" s="82">
        <f t="shared" si="17"/>
        <v>0</v>
      </c>
      <c r="T24" s="82">
        <f t="shared" si="17"/>
        <v>0</v>
      </c>
      <c r="U24" s="82">
        <f t="shared" si="17"/>
        <v>0</v>
      </c>
      <c r="V24" s="82">
        <f t="shared" si="17"/>
        <v>0</v>
      </c>
    </row>
    <row r="25" spans="2:22" hidden="1" outlineLevel="1">
      <c r="B25" s="50" t="s">
        <v>138</v>
      </c>
      <c r="C25" s="82">
        <f t="shared" ref="C25:V25" si="18">IF(C$45-$D$35&gt;0,MIN((C$45-$D$35)*$F$36,$G$36),0)</f>
        <v>0</v>
      </c>
      <c r="D25" s="82">
        <f t="shared" si="18"/>
        <v>0</v>
      </c>
      <c r="E25" s="82">
        <f t="shared" si="18"/>
        <v>0</v>
      </c>
      <c r="F25" s="82">
        <f t="shared" si="18"/>
        <v>0</v>
      </c>
      <c r="G25" s="82">
        <f t="shared" si="18"/>
        <v>0</v>
      </c>
      <c r="H25" s="82">
        <f t="shared" si="18"/>
        <v>0</v>
      </c>
      <c r="I25" s="82">
        <f t="shared" si="18"/>
        <v>0</v>
      </c>
      <c r="J25" s="82">
        <f t="shared" si="18"/>
        <v>0</v>
      </c>
      <c r="K25" s="82">
        <f t="shared" si="18"/>
        <v>0</v>
      </c>
      <c r="L25" s="82">
        <f t="shared" si="18"/>
        <v>0</v>
      </c>
      <c r="M25" s="82">
        <f t="shared" si="18"/>
        <v>0</v>
      </c>
      <c r="N25" s="82">
        <f t="shared" si="18"/>
        <v>0</v>
      </c>
      <c r="O25" s="82">
        <f t="shared" si="18"/>
        <v>0</v>
      </c>
      <c r="P25" s="82">
        <f t="shared" si="18"/>
        <v>0</v>
      </c>
      <c r="Q25" s="82">
        <f t="shared" si="18"/>
        <v>0</v>
      </c>
      <c r="R25" s="82">
        <f t="shared" si="18"/>
        <v>0</v>
      </c>
      <c r="S25" s="82">
        <f t="shared" si="18"/>
        <v>0</v>
      </c>
      <c r="T25" s="82">
        <f t="shared" si="18"/>
        <v>0</v>
      </c>
      <c r="U25" s="82">
        <f t="shared" si="18"/>
        <v>0</v>
      </c>
      <c r="V25" s="82">
        <f t="shared" si="18"/>
        <v>0</v>
      </c>
    </row>
    <row r="26" spans="2:22" hidden="1" outlineLevel="1">
      <c r="B26" s="50" t="s">
        <v>139</v>
      </c>
      <c r="C26" s="82">
        <f t="shared" ref="C26:V26" si="19">IF(C$45-$D$36&gt;0,MIN((C$45-$D$36)*$F$37,$G$37),0)</f>
        <v>0</v>
      </c>
      <c r="D26" s="82">
        <f t="shared" si="19"/>
        <v>0</v>
      </c>
      <c r="E26" s="82">
        <f t="shared" si="19"/>
        <v>0</v>
      </c>
      <c r="F26" s="82">
        <f t="shared" si="19"/>
        <v>0</v>
      </c>
      <c r="G26" s="82">
        <f t="shared" si="19"/>
        <v>0</v>
      </c>
      <c r="H26" s="82">
        <f t="shared" si="19"/>
        <v>0</v>
      </c>
      <c r="I26" s="82">
        <f t="shared" si="19"/>
        <v>0</v>
      </c>
      <c r="J26" s="82">
        <f t="shared" si="19"/>
        <v>0</v>
      </c>
      <c r="K26" s="82">
        <f t="shared" si="19"/>
        <v>0</v>
      </c>
      <c r="L26" s="82">
        <f t="shared" si="19"/>
        <v>0</v>
      </c>
      <c r="M26" s="82">
        <f t="shared" si="19"/>
        <v>0</v>
      </c>
      <c r="N26" s="82">
        <f t="shared" si="19"/>
        <v>0</v>
      </c>
      <c r="O26" s="82">
        <f t="shared" si="19"/>
        <v>0</v>
      </c>
      <c r="P26" s="82">
        <f t="shared" si="19"/>
        <v>0</v>
      </c>
      <c r="Q26" s="82">
        <f t="shared" si="19"/>
        <v>0</v>
      </c>
      <c r="R26" s="82">
        <f t="shared" si="19"/>
        <v>0</v>
      </c>
      <c r="S26" s="82">
        <f t="shared" si="19"/>
        <v>0</v>
      </c>
      <c r="T26" s="82">
        <f t="shared" si="19"/>
        <v>0</v>
      </c>
      <c r="U26" s="82">
        <f t="shared" si="19"/>
        <v>0</v>
      </c>
      <c r="V26" s="82">
        <f t="shared" si="19"/>
        <v>0</v>
      </c>
    </row>
    <row r="27" spans="2:22" hidden="1" outlineLevel="1">
      <c r="B27" s="50" t="s">
        <v>140</v>
      </c>
      <c r="C27" s="82">
        <f t="shared" ref="C27:V27" si="20">IF(C$45&gt;$D$37,(C$45-$D$37)*$F$38,0)</f>
        <v>0</v>
      </c>
      <c r="D27" s="82">
        <f t="shared" si="20"/>
        <v>0</v>
      </c>
      <c r="E27" s="82">
        <f t="shared" si="20"/>
        <v>0</v>
      </c>
      <c r="F27" s="82">
        <f t="shared" si="20"/>
        <v>0</v>
      </c>
      <c r="G27" s="82">
        <f t="shared" si="20"/>
        <v>0</v>
      </c>
      <c r="H27" s="82">
        <f t="shared" si="20"/>
        <v>0</v>
      </c>
      <c r="I27" s="82">
        <f t="shared" si="20"/>
        <v>0</v>
      </c>
      <c r="J27" s="82">
        <f t="shared" si="20"/>
        <v>0</v>
      </c>
      <c r="K27" s="82">
        <f t="shared" si="20"/>
        <v>0</v>
      </c>
      <c r="L27" s="82">
        <f t="shared" si="20"/>
        <v>0</v>
      </c>
      <c r="M27" s="82">
        <f t="shared" si="20"/>
        <v>0</v>
      </c>
      <c r="N27" s="82">
        <f t="shared" si="20"/>
        <v>0</v>
      </c>
      <c r="O27" s="82">
        <f t="shared" si="20"/>
        <v>0</v>
      </c>
      <c r="P27" s="82">
        <f t="shared" si="20"/>
        <v>0</v>
      </c>
      <c r="Q27" s="82">
        <f t="shared" si="20"/>
        <v>0</v>
      </c>
      <c r="R27" s="82">
        <f t="shared" si="20"/>
        <v>0</v>
      </c>
      <c r="S27" s="82">
        <f t="shared" si="20"/>
        <v>0</v>
      </c>
      <c r="T27" s="82">
        <f t="shared" si="20"/>
        <v>0</v>
      </c>
      <c r="U27" s="82">
        <f t="shared" si="20"/>
        <v>0</v>
      </c>
      <c r="V27" s="82">
        <f t="shared" si="20"/>
        <v>0</v>
      </c>
    </row>
    <row r="28" spans="2:22" hidden="1" collapsed="1">
      <c r="B28" s="72" t="s">
        <v>208</v>
      </c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</row>
    <row r="30" spans="2:22">
      <c r="C30" s="722" t="s">
        <v>132</v>
      </c>
      <c r="D30" s="722"/>
      <c r="E30" s="722"/>
      <c r="F30" s="722"/>
      <c r="V30" s="83"/>
    </row>
    <row r="31" spans="2:22">
      <c r="C31" s="61" t="s">
        <v>141</v>
      </c>
      <c r="D31" s="61" t="s">
        <v>130</v>
      </c>
      <c r="E31" s="61" t="s">
        <v>143</v>
      </c>
      <c r="F31" s="61" t="s">
        <v>131</v>
      </c>
    </row>
    <row r="32" spans="2:22">
      <c r="C32" s="59">
        <v>0</v>
      </c>
      <c r="D32" s="59">
        <v>500000000</v>
      </c>
      <c r="E32" s="59">
        <f>C33-C32-1</f>
        <v>500000000</v>
      </c>
      <c r="F32" s="60">
        <v>0.2</v>
      </c>
      <c r="G32" s="82">
        <f>D32*F32</f>
        <v>100000000</v>
      </c>
    </row>
    <row r="33" spans="2:22">
      <c r="C33" s="59">
        <f t="shared" ref="C33:C38" si="21">D32+1</f>
        <v>500000001</v>
      </c>
      <c r="D33" s="59">
        <v>1000000000</v>
      </c>
      <c r="E33" s="59">
        <f>C34-C33</f>
        <v>500000000</v>
      </c>
      <c r="F33" s="60">
        <v>0.21</v>
      </c>
      <c r="G33" s="82">
        <f>E33*F33</f>
        <v>105000000</v>
      </c>
    </row>
    <row r="34" spans="2:22">
      <c r="C34" s="59">
        <f t="shared" si="21"/>
        <v>1000000001</v>
      </c>
      <c r="D34" s="59">
        <f>D33+500000000</f>
        <v>1500000000</v>
      </c>
      <c r="E34" s="59">
        <f>C35-C34</f>
        <v>500000000</v>
      </c>
      <c r="F34" s="60">
        <v>0.22</v>
      </c>
      <c r="G34" s="82">
        <f>E34*F34</f>
        <v>110000000</v>
      </c>
      <c r="J34" s="83"/>
      <c r="K34" s="83"/>
    </row>
    <row r="35" spans="2:22">
      <c r="C35" s="59">
        <f t="shared" si="21"/>
        <v>1500000001</v>
      </c>
      <c r="D35" s="59">
        <f>D34+500000000</f>
        <v>2000000000</v>
      </c>
      <c r="E35" s="59">
        <f>C36-C35</f>
        <v>500000000</v>
      </c>
      <c r="F35" s="60">
        <v>0.23</v>
      </c>
      <c r="G35" s="82">
        <f>E35*F35</f>
        <v>115000000</v>
      </c>
    </row>
    <row r="36" spans="2:22">
      <c r="C36" s="59">
        <f t="shared" si="21"/>
        <v>2000000001</v>
      </c>
      <c r="D36" s="59">
        <f>D35+500000000</f>
        <v>2500000000</v>
      </c>
      <c r="E36" s="59">
        <f>C37-C36</f>
        <v>500000000</v>
      </c>
      <c r="F36" s="60">
        <v>0.24</v>
      </c>
      <c r="G36" s="82">
        <f>E36*F36</f>
        <v>120000000</v>
      </c>
    </row>
    <row r="37" spans="2:22">
      <c r="C37" s="59">
        <f t="shared" si="21"/>
        <v>2500000001</v>
      </c>
      <c r="D37" s="59">
        <f>D36+500000000</f>
        <v>3000000000</v>
      </c>
      <c r="E37" s="59">
        <f>C38-C37</f>
        <v>500000000</v>
      </c>
      <c r="F37" s="60">
        <v>0.25</v>
      </c>
      <c r="G37" s="82">
        <f>E37*F37</f>
        <v>125000000</v>
      </c>
    </row>
    <row r="38" spans="2:22">
      <c r="C38" s="59">
        <f t="shared" si="21"/>
        <v>3000000001</v>
      </c>
      <c r="D38" s="59"/>
      <c r="E38" s="59"/>
      <c r="F38" s="60">
        <v>0.26</v>
      </c>
      <c r="L38" s="83"/>
      <c r="S38" s="83"/>
    </row>
    <row r="39" spans="2:22">
      <c r="M39" s="83"/>
      <c r="N39" s="83"/>
    </row>
    <row r="40" spans="2:22"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</row>
    <row r="41" spans="2:22">
      <c r="B41" s="323" t="s">
        <v>133</v>
      </c>
      <c r="Q41" s="83"/>
    </row>
    <row r="42" spans="2:22">
      <c r="B42" s="356" t="s">
        <v>224</v>
      </c>
      <c r="C42" s="357">
        <f>SUM(C43:C44)</f>
        <v>0</v>
      </c>
      <c r="D42" s="357">
        <f t="shared" ref="D42:V42" si="22">SUM(D43:D44)</f>
        <v>0</v>
      </c>
      <c r="E42" s="357">
        <f t="shared" si="22"/>
        <v>0</v>
      </c>
      <c r="F42" s="357">
        <f t="shared" si="22"/>
        <v>0</v>
      </c>
      <c r="G42" s="357">
        <f t="shared" si="22"/>
        <v>0</v>
      </c>
      <c r="H42" s="357">
        <f t="shared" si="22"/>
        <v>0</v>
      </c>
      <c r="I42" s="357">
        <f t="shared" si="22"/>
        <v>0</v>
      </c>
      <c r="J42" s="357">
        <f t="shared" si="22"/>
        <v>0</v>
      </c>
      <c r="K42" s="357">
        <f t="shared" si="22"/>
        <v>135959173.5353502</v>
      </c>
      <c r="L42" s="357">
        <f t="shared" si="22"/>
        <v>401648920.72068268</v>
      </c>
      <c r="M42" s="357">
        <f t="shared" si="22"/>
        <v>891090205.08124375</v>
      </c>
      <c r="N42" s="357">
        <f t="shared" si="22"/>
        <v>1280266995.8305728</v>
      </c>
      <c r="O42" s="357">
        <f t="shared" si="22"/>
        <v>1670318964.5734563</v>
      </c>
      <c r="P42" s="357">
        <f t="shared" si="22"/>
        <v>2034547800.0622945</v>
      </c>
      <c r="Q42" s="357">
        <f t="shared" si="22"/>
        <v>2302994082.313097</v>
      </c>
      <c r="R42" s="357">
        <f t="shared" si="22"/>
        <v>2555954803.5192924</v>
      </c>
      <c r="S42" s="357">
        <f t="shared" si="22"/>
        <v>2797105236.9713936</v>
      </c>
      <c r="T42" s="357">
        <f t="shared" si="22"/>
        <v>3039192912.909327</v>
      </c>
      <c r="U42" s="357">
        <f t="shared" si="22"/>
        <v>3277483155.489027</v>
      </c>
      <c r="V42" s="358">
        <f t="shared" si="22"/>
        <v>3465292907.5352173</v>
      </c>
    </row>
    <row r="43" spans="2:22">
      <c r="B43" s="50" t="s">
        <v>128</v>
      </c>
      <c r="C43" s="58">
        <f>'MDS Revs'!C9</f>
        <v>0</v>
      </c>
      <c r="D43" s="58">
        <f>'MDS Revs'!D9</f>
        <v>0</v>
      </c>
      <c r="E43" s="58">
        <f>'MDS Revs'!E9</f>
        <v>0</v>
      </c>
      <c r="F43" s="58">
        <f>'MDS Revs'!F9</f>
        <v>0</v>
      </c>
      <c r="G43" s="58">
        <f>'MDS Revs'!G9</f>
        <v>0</v>
      </c>
      <c r="H43" s="58">
        <f>'MDS Revs'!H9</f>
        <v>0</v>
      </c>
      <c r="I43" s="58">
        <f>'MDS Revs'!I9</f>
        <v>0</v>
      </c>
      <c r="J43" s="58">
        <f>'MDS Revs'!J9</f>
        <v>0</v>
      </c>
      <c r="K43" s="58">
        <f>'MDS Revs'!K9</f>
        <v>93286561.229641527</v>
      </c>
      <c r="L43" s="58">
        <f>'MDS Revs'!L9</f>
        <v>288594849.72266138</v>
      </c>
      <c r="M43" s="58">
        <f>'MDS Revs'!M9</f>
        <v>678390476.45334041</v>
      </c>
      <c r="N43" s="58">
        <f>'MDS Revs'!N9</f>
        <v>976575424.80827737</v>
      </c>
      <c r="O43" s="58">
        <f>'MDS Revs'!O9</f>
        <v>1296300529.1157911</v>
      </c>
      <c r="P43" s="58">
        <f>'MDS Revs'!P9</f>
        <v>1602786582.5731521</v>
      </c>
      <c r="Q43" s="58">
        <f>'MDS Revs'!Q9</f>
        <v>1817523626.1197305</v>
      </c>
      <c r="R43" s="58">
        <f>'MDS Revs'!R9</f>
        <v>2008670857.307821</v>
      </c>
      <c r="S43" s="58">
        <f>'MDS Revs'!S9</f>
        <v>2193610236.8895426</v>
      </c>
      <c r="T43" s="58">
        <f>'MDS Revs'!T9</f>
        <v>2371110585.0829511</v>
      </c>
      <c r="U43" s="58">
        <f>'MDS Revs'!U9</f>
        <v>2562197776.7173162</v>
      </c>
      <c r="V43" s="58">
        <f>'MDS Revs'!V9</f>
        <v>2721204225.1593084</v>
      </c>
    </row>
    <row r="44" spans="2:22">
      <c r="B44" s="50" t="s">
        <v>129</v>
      </c>
      <c r="C44" s="58">
        <f>'B-Thal'!F12</f>
        <v>0</v>
      </c>
      <c r="D44" s="58">
        <f>'B-Thal'!G12</f>
        <v>0</v>
      </c>
      <c r="E44" s="58">
        <f>'B-Thal'!H12</f>
        <v>0</v>
      </c>
      <c r="F44" s="58">
        <f>'B-Thal'!I12</f>
        <v>0</v>
      </c>
      <c r="G44" s="58">
        <f>'B-Thal'!J12</f>
        <v>0</v>
      </c>
      <c r="H44" s="58">
        <f>'B-Thal'!K12</f>
        <v>0</v>
      </c>
      <c r="I44" s="58">
        <f>'B-Thal'!L12</f>
        <v>0</v>
      </c>
      <c r="J44" s="58">
        <f>'B-Thal'!M12</f>
        <v>0</v>
      </c>
      <c r="K44" s="58">
        <f>'B-Thal'!N12</f>
        <v>42672612.305708684</v>
      </c>
      <c r="L44" s="58">
        <f>'B-Thal'!O12</f>
        <v>113054070.9980213</v>
      </c>
      <c r="M44" s="58">
        <f>'B-Thal'!P12</f>
        <v>212699728.6279034</v>
      </c>
      <c r="N44" s="58">
        <f>'B-Thal'!Q12</f>
        <v>303691571.02229548</v>
      </c>
      <c r="O44" s="58">
        <f>'B-Thal'!R12</f>
        <v>374018435.45766509</v>
      </c>
      <c r="P44" s="58">
        <f>'B-Thal'!S12</f>
        <v>431761217.4891423</v>
      </c>
      <c r="Q44" s="58">
        <f>'B-Thal'!T12</f>
        <v>485470456.19336653</v>
      </c>
      <c r="R44" s="58">
        <f>'B-Thal'!U12</f>
        <v>547283946.21147132</v>
      </c>
      <c r="S44" s="58">
        <f>'B-Thal'!V12</f>
        <v>603495000.08185124</v>
      </c>
      <c r="T44" s="58">
        <f>'B-Thal'!W12</f>
        <v>668082327.82637608</v>
      </c>
      <c r="U44" s="58">
        <f>'B-Thal'!X12</f>
        <v>715285378.77171063</v>
      </c>
      <c r="V44" s="58">
        <f>'B-Thal'!Y12</f>
        <v>744088682.37590861</v>
      </c>
    </row>
    <row r="45" spans="2:22" hidden="1">
      <c r="B45" s="356" t="s">
        <v>225</v>
      </c>
      <c r="C45" s="357">
        <v>0</v>
      </c>
      <c r="D45" s="357">
        <v>0</v>
      </c>
      <c r="E45" s="357">
        <v>0</v>
      </c>
      <c r="F45" s="357">
        <v>0</v>
      </c>
      <c r="G45" s="357">
        <v>0</v>
      </c>
      <c r="H45" s="357">
        <v>0</v>
      </c>
      <c r="I45" s="357">
        <v>0</v>
      </c>
      <c r="J45" s="357">
        <v>0</v>
      </c>
      <c r="K45" s="357">
        <v>0</v>
      </c>
      <c r="L45" s="357">
        <v>0</v>
      </c>
      <c r="M45" s="357">
        <v>0</v>
      </c>
      <c r="N45" s="357">
        <v>0</v>
      </c>
      <c r="O45" s="357">
        <v>0</v>
      </c>
      <c r="P45" s="357">
        <v>0</v>
      </c>
      <c r="Q45" s="357">
        <v>0</v>
      </c>
      <c r="R45" s="357">
        <v>0</v>
      </c>
      <c r="S45" s="357">
        <v>0</v>
      </c>
      <c r="T45" s="357">
        <v>0</v>
      </c>
      <c r="U45" s="357">
        <v>0</v>
      </c>
      <c r="V45" s="358">
        <v>0</v>
      </c>
    </row>
    <row r="46" spans="2:22" hidden="1"/>
    <row r="51" spans="22:22">
      <c r="V51" s="165">
        <f>V11/V43</f>
        <v>0.22969953109254362</v>
      </c>
    </row>
    <row r="54" spans="22:22">
      <c r="V54" s="58">
        <f>V43*0.5</f>
        <v>1360602112.5796542</v>
      </c>
    </row>
    <row r="84" spans="1:2">
      <c r="B84" s="72" t="s">
        <v>210</v>
      </c>
    </row>
    <row r="85" spans="1:2">
      <c r="B85" s="50" t="s">
        <v>209</v>
      </c>
    </row>
    <row r="96" spans="1:2">
      <c r="A96" s="371"/>
    </row>
    <row r="97" spans="1:1">
      <c r="A97" s="371"/>
    </row>
    <row r="98" spans="1:1">
      <c r="A98" s="371"/>
    </row>
    <row r="99" spans="1:1">
      <c r="A99" s="371"/>
    </row>
  </sheetData>
  <mergeCells count="1">
    <mergeCell ref="C30:F30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showGridLines="0" zoomScale="75" zoomScaleNormal="75" zoomScalePageLayoutView="75" workbookViewId="0"/>
  </sheetViews>
  <sheetFormatPr defaultColWidth="8.85546875" defaultRowHeight="15"/>
  <sheetData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AB198"/>
  <sheetViews>
    <sheetView showGridLines="0" zoomScale="75" zoomScaleNormal="75" zoomScalePageLayoutView="75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C12" sqref="C12"/>
    </sheetView>
  </sheetViews>
  <sheetFormatPr defaultColWidth="8.85546875" defaultRowHeight="15"/>
  <cols>
    <col min="1" max="1" width="5" style="165" customWidth="1"/>
    <col min="2" max="2" width="28.42578125" style="165" customWidth="1"/>
    <col min="3" max="22" width="15.7109375" style="165" bestFit="1" customWidth="1"/>
    <col min="23" max="16384" width="8.85546875" style="165"/>
  </cols>
  <sheetData>
    <row r="1" spans="2:28" ht="15.75" thickBot="1"/>
    <row r="2" spans="2:28" ht="19.5" thickBot="1">
      <c r="B2" s="331" t="s">
        <v>126</v>
      </c>
      <c r="C2" s="332">
        <v>2011</v>
      </c>
      <c r="D2" s="332">
        <f t="shared" ref="D2:V2" si="0">C2+1</f>
        <v>2012</v>
      </c>
      <c r="E2" s="332">
        <f t="shared" si="0"/>
        <v>2013</v>
      </c>
      <c r="F2" s="332">
        <f t="shared" si="0"/>
        <v>2014</v>
      </c>
      <c r="G2" s="332">
        <f t="shared" si="0"/>
        <v>2015</v>
      </c>
      <c r="H2" s="332">
        <f t="shared" si="0"/>
        <v>2016</v>
      </c>
      <c r="I2" s="332">
        <f t="shared" si="0"/>
        <v>2017</v>
      </c>
      <c r="J2" s="332">
        <f t="shared" si="0"/>
        <v>2018</v>
      </c>
      <c r="K2" s="332">
        <f t="shared" si="0"/>
        <v>2019</v>
      </c>
      <c r="L2" s="332">
        <f t="shared" si="0"/>
        <v>2020</v>
      </c>
      <c r="M2" s="332">
        <f t="shared" si="0"/>
        <v>2021</v>
      </c>
      <c r="N2" s="332">
        <f t="shared" si="0"/>
        <v>2022</v>
      </c>
      <c r="O2" s="332">
        <f t="shared" si="0"/>
        <v>2023</v>
      </c>
      <c r="P2" s="332">
        <f t="shared" si="0"/>
        <v>2024</v>
      </c>
      <c r="Q2" s="332">
        <f t="shared" si="0"/>
        <v>2025</v>
      </c>
      <c r="R2" s="332">
        <f t="shared" si="0"/>
        <v>2026</v>
      </c>
      <c r="S2" s="332">
        <f t="shared" si="0"/>
        <v>2027</v>
      </c>
      <c r="T2" s="332">
        <f t="shared" si="0"/>
        <v>2028</v>
      </c>
      <c r="U2" s="332">
        <f t="shared" si="0"/>
        <v>2029</v>
      </c>
      <c r="V2" s="333">
        <f t="shared" si="0"/>
        <v>2030</v>
      </c>
    </row>
    <row r="3" spans="2:28" s="30" customFormat="1">
      <c r="B3" s="398" t="s">
        <v>60</v>
      </c>
      <c r="C3" s="55">
        <f>C29</f>
        <v>0</v>
      </c>
      <c r="D3" s="55">
        <f t="shared" ref="D3:V3" si="1">D29</f>
        <v>0</v>
      </c>
      <c r="E3" s="55">
        <f t="shared" si="1"/>
        <v>0</v>
      </c>
      <c r="F3" s="55">
        <f t="shared" si="1"/>
        <v>0</v>
      </c>
      <c r="G3" s="55">
        <f t="shared" si="1"/>
        <v>0</v>
      </c>
      <c r="H3" s="55">
        <f t="shared" si="1"/>
        <v>0</v>
      </c>
      <c r="I3" s="55">
        <f t="shared" si="1"/>
        <v>0</v>
      </c>
      <c r="J3" s="55">
        <f t="shared" si="1"/>
        <v>0</v>
      </c>
      <c r="K3" s="55">
        <f t="shared" si="1"/>
        <v>43190373.507635467</v>
      </c>
      <c r="L3" s="55">
        <f t="shared" si="1"/>
        <v>136274958.44650215</v>
      </c>
      <c r="M3" s="55">
        <f t="shared" si="1"/>
        <v>326597880.02956581</v>
      </c>
      <c r="N3" s="55">
        <f t="shared" si="1"/>
        <v>480457499.20240408</v>
      </c>
      <c r="O3" s="55">
        <f t="shared" si="1"/>
        <v>651509432.27093279</v>
      </c>
      <c r="P3" s="55">
        <f t="shared" si="1"/>
        <v>822631475.174101</v>
      </c>
      <c r="Q3" s="55">
        <f t="shared" si="1"/>
        <v>952295122.4603467</v>
      </c>
      <c r="R3" s="55">
        <f t="shared" si="1"/>
        <v>1074008731.3989184</v>
      </c>
      <c r="S3" s="55">
        <f t="shared" si="1"/>
        <v>1196492764.7732592</v>
      </c>
      <c r="T3" s="55">
        <f t="shared" si="1"/>
        <v>1318853003.7267885</v>
      </c>
      <c r="U3" s="55">
        <f t="shared" si="1"/>
        <v>1452753539.5092568</v>
      </c>
      <c r="V3" s="55">
        <f t="shared" si="1"/>
        <v>1572223324.6578641</v>
      </c>
    </row>
    <row r="4" spans="2:28" s="30" customFormat="1">
      <c r="B4" s="398" t="s">
        <v>121</v>
      </c>
      <c r="C4" s="55">
        <f>C50</f>
        <v>0</v>
      </c>
      <c r="D4" s="55">
        <f t="shared" ref="D4:V4" si="2">D50</f>
        <v>0</v>
      </c>
      <c r="E4" s="55">
        <f t="shared" si="2"/>
        <v>0</v>
      </c>
      <c r="F4" s="55">
        <f t="shared" si="2"/>
        <v>0</v>
      </c>
      <c r="G4" s="55">
        <f t="shared" si="2"/>
        <v>0</v>
      </c>
      <c r="H4" s="55">
        <f t="shared" si="2"/>
        <v>0</v>
      </c>
      <c r="I4" s="55">
        <f t="shared" si="2"/>
        <v>0</v>
      </c>
      <c r="J4" s="55">
        <f t="shared" si="2"/>
        <v>0</v>
      </c>
      <c r="K4" s="55">
        <f t="shared" si="2"/>
        <v>13267435.324138056</v>
      </c>
      <c r="L4" s="55">
        <f t="shared" si="2"/>
        <v>40371037.400461689</v>
      </c>
      <c r="M4" s="55">
        <f t="shared" si="2"/>
        <v>93350783.165396363</v>
      </c>
      <c r="N4" s="55">
        <f t="shared" si="2"/>
        <v>131861852.20384547</v>
      </c>
      <c r="O4" s="55">
        <f t="shared" si="2"/>
        <v>171723783.48700535</v>
      </c>
      <c r="P4" s="55">
        <f t="shared" si="2"/>
        <v>208276865.49147132</v>
      </c>
      <c r="Q4" s="55">
        <f t="shared" si="2"/>
        <v>231637078.98955199</v>
      </c>
      <c r="R4" s="55">
        <f t="shared" si="2"/>
        <v>251023488.93874902</v>
      </c>
      <c r="S4" s="55">
        <f t="shared" si="2"/>
        <v>268751097.77986819</v>
      </c>
      <c r="T4" s="55">
        <f t="shared" si="2"/>
        <v>284726675.06384498</v>
      </c>
      <c r="U4" s="55">
        <f t="shared" si="2"/>
        <v>301486373.53831184</v>
      </c>
      <c r="V4" s="55">
        <f t="shared" si="2"/>
        <v>313675660.2794084</v>
      </c>
      <c r="AB4" s="30" t="s">
        <v>515</v>
      </c>
    </row>
    <row r="5" spans="2:28" s="30" customFormat="1">
      <c r="B5" s="398" t="s">
        <v>122</v>
      </c>
      <c r="C5" s="55">
        <f>C71</f>
        <v>0</v>
      </c>
      <c r="D5" s="55">
        <f t="shared" ref="D5:V5" si="3">D71</f>
        <v>0</v>
      </c>
      <c r="E5" s="55">
        <f t="shared" si="3"/>
        <v>0</v>
      </c>
      <c r="F5" s="55">
        <f t="shared" si="3"/>
        <v>0</v>
      </c>
      <c r="G5" s="55">
        <f t="shared" si="3"/>
        <v>0</v>
      </c>
      <c r="H5" s="55">
        <f t="shared" si="3"/>
        <v>0</v>
      </c>
      <c r="I5" s="55">
        <f t="shared" si="3"/>
        <v>0</v>
      </c>
      <c r="J5" s="55">
        <f t="shared" si="3"/>
        <v>0</v>
      </c>
      <c r="K5" s="55">
        <f t="shared" si="3"/>
        <v>10054975.79436101</v>
      </c>
      <c r="L5" s="55">
        <f t="shared" si="3"/>
        <v>30527403.875349924</v>
      </c>
      <c r="M5" s="55">
        <f t="shared" si="3"/>
        <v>70401454.5099255</v>
      </c>
      <c r="N5" s="55">
        <f t="shared" si="3"/>
        <v>99140509.967390075</v>
      </c>
      <c r="O5" s="55">
        <f t="shared" si="3"/>
        <v>128668574.0093098</v>
      </c>
      <c r="P5" s="55">
        <f t="shared" si="3"/>
        <v>155468619.96020105</v>
      </c>
      <c r="Q5" s="55">
        <f t="shared" si="3"/>
        <v>172197663.08567291</v>
      </c>
      <c r="R5" s="55">
        <f t="shared" si="3"/>
        <v>185787838.02947652</v>
      </c>
      <c r="S5" s="55">
        <f t="shared" si="3"/>
        <v>197975738.23035198</v>
      </c>
      <c r="T5" s="55">
        <f t="shared" si="3"/>
        <v>208704965.33153003</v>
      </c>
      <c r="U5" s="55">
        <f t="shared" si="3"/>
        <v>219840945.27090007</v>
      </c>
      <c r="V5" s="55">
        <f t="shared" si="3"/>
        <v>227489227.75228328</v>
      </c>
      <c r="AB5" s="165" t="s">
        <v>516</v>
      </c>
    </row>
    <row r="6" spans="2:28" s="30" customFormat="1">
      <c r="B6" s="398" t="s">
        <v>123</v>
      </c>
      <c r="C6" s="55">
        <f>C92</f>
        <v>0</v>
      </c>
      <c r="D6" s="55">
        <f t="shared" ref="D6:V6" si="4">D92</f>
        <v>0</v>
      </c>
      <c r="E6" s="55">
        <f t="shared" si="4"/>
        <v>0</v>
      </c>
      <c r="F6" s="55">
        <f t="shared" si="4"/>
        <v>0</v>
      </c>
      <c r="G6" s="55">
        <f t="shared" si="4"/>
        <v>0</v>
      </c>
      <c r="H6" s="55">
        <f t="shared" si="4"/>
        <v>0</v>
      </c>
      <c r="I6" s="55">
        <f t="shared" si="4"/>
        <v>0</v>
      </c>
      <c r="J6" s="55">
        <f t="shared" si="4"/>
        <v>0</v>
      </c>
      <c r="K6" s="55">
        <f t="shared" si="4"/>
        <v>9496673.5468238145</v>
      </c>
      <c r="L6" s="55">
        <f t="shared" si="4"/>
        <v>28811279.472226754</v>
      </c>
      <c r="M6" s="55">
        <f t="shared" si="4"/>
        <v>66377272.260891348</v>
      </c>
      <c r="N6" s="55">
        <f t="shared" si="4"/>
        <v>93353698.282487527</v>
      </c>
      <c r="O6" s="55">
        <f t="shared" si="4"/>
        <v>120967527.12538326</v>
      </c>
      <c r="P6" s="55">
        <f t="shared" si="4"/>
        <v>145888944.66614002</v>
      </c>
      <c r="Q6" s="55">
        <f t="shared" si="4"/>
        <v>161232132.406021</v>
      </c>
      <c r="R6" s="55">
        <f t="shared" si="4"/>
        <v>173516846.84833831</v>
      </c>
      <c r="S6" s="55">
        <f t="shared" si="4"/>
        <v>184368009.10059097</v>
      </c>
      <c r="T6" s="55">
        <f t="shared" si="4"/>
        <v>193730800.99927521</v>
      </c>
      <c r="U6" s="55">
        <f t="shared" si="4"/>
        <v>203331043.41481161</v>
      </c>
      <c r="V6" s="55">
        <f t="shared" si="4"/>
        <v>209563635.08199316</v>
      </c>
      <c r="AB6" s="165" t="s">
        <v>517</v>
      </c>
    </row>
    <row r="7" spans="2:28" s="30" customFormat="1">
      <c r="B7" s="398" t="s">
        <v>124</v>
      </c>
      <c r="C7" s="55">
        <f>C113</f>
        <v>0</v>
      </c>
      <c r="D7" s="55">
        <f t="shared" ref="D7:V7" si="5">D113</f>
        <v>0</v>
      </c>
      <c r="E7" s="55">
        <f t="shared" si="5"/>
        <v>0</v>
      </c>
      <c r="F7" s="55">
        <f t="shared" si="5"/>
        <v>0</v>
      </c>
      <c r="G7" s="55">
        <f t="shared" si="5"/>
        <v>0</v>
      </c>
      <c r="H7" s="55">
        <f t="shared" si="5"/>
        <v>0</v>
      </c>
      <c r="I7" s="55">
        <f t="shared" si="5"/>
        <v>0</v>
      </c>
      <c r="J7" s="55">
        <f t="shared" si="5"/>
        <v>0</v>
      </c>
      <c r="K7" s="55">
        <f t="shared" si="5"/>
        <v>7280763.4616625458</v>
      </c>
      <c r="L7" s="55">
        <f t="shared" si="5"/>
        <v>22166908.020139989</v>
      </c>
      <c r="M7" s="55">
        <f t="shared" si="5"/>
        <v>51255065.703060061</v>
      </c>
      <c r="N7" s="55">
        <f t="shared" si="5"/>
        <v>72353578.140990436</v>
      </c>
      <c r="O7" s="55">
        <f t="shared" si="5"/>
        <v>94112140.65987289</v>
      </c>
      <c r="P7" s="55">
        <f t="shared" si="5"/>
        <v>113941970.56190073</v>
      </c>
      <c r="Q7" s="55">
        <f t="shared" si="5"/>
        <v>126424848.7229311</v>
      </c>
      <c r="R7" s="55">
        <f t="shared" si="5"/>
        <v>136607924.87336791</v>
      </c>
      <c r="S7" s="55">
        <f t="shared" si="5"/>
        <v>145749149.20886108</v>
      </c>
      <c r="T7" s="55">
        <f t="shared" si="5"/>
        <v>153793186.1014553</v>
      </c>
      <c r="U7" s="55">
        <f t="shared" si="5"/>
        <v>162102890.44333869</v>
      </c>
      <c r="V7" s="55">
        <f t="shared" si="5"/>
        <v>167795883.38422334</v>
      </c>
      <c r="AB7" s="165" t="s">
        <v>518</v>
      </c>
    </row>
    <row r="8" spans="2:28" s="30" customFormat="1">
      <c r="B8" s="398" t="s">
        <v>125</v>
      </c>
      <c r="C8" s="55">
        <f>C134</f>
        <v>0</v>
      </c>
      <c r="D8" s="55">
        <f t="shared" ref="D8:V8" si="6">D134</f>
        <v>0</v>
      </c>
      <c r="E8" s="55">
        <f t="shared" si="6"/>
        <v>0</v>
      </c>
      <c r="F8" s="55">
        <f t="shared" si="6"/>
        <v>0</v>
      </c>
      <c r="G8" s="55">
        <f t="shared" si="6"/>
        <v>0</v>
      </c>
      <c r="H8" s="55">
        <f t="shared" si="6"/>
        <v>0</v>
      </c>
      <c r="I8" s="55">
        <f t="shared" si="6"/>
        <v>0</v>
      </c>
      <c r="J8" s="55">
        <f t="shared" si="6"/>
        <v>0</v>
      </c>
      <c r="K8" s="55">
        <f t="shared" si="6"/>
        <v>9996339.5950206369</v>
      </c>
      <c r="L8" s="55">
        <f t="shared" si="6"/>
        <v>30443262.507980891</v>
      </c>
      <c r="M8" s="55">
        <f t="shared" si="6"/>
        <v>70408020.784501418</v>
      </c>
      <c r="N8" s="55">
        <f t="shared" si="6"/>
        <v>99408287.011159927</v>
      </c>
      <c r="O8" s="55">
        <f t="shared" si="6"/>
        <v>129319071.56328712</v>
      </c>
      <c r="P8" s="55">
        <f t="shared" si="6"/>
        <v>156578706.719338</v>
      </c>
      <c r="Q8" s="55">
        <f t="shared" si="6"/>
        <v>173736780.45520657</v>
      </c>
      <c r="R8" s="55">
        <f t="shared" si="6"/>
        <v>187726027.2189706</v>
      </c>
      <c r="S8" s="55">
        <f t="shared" si="6"/>
        <v>200273477.79661125</v>
      </c>
      <c r="T8" s="55">
        <f t="shared" si="6"/>
        <v>211301953.86005706</v>
      </c>
      <c r="U8" s="55">
        <f t="shared" si="6"/>
        <v>222682984.54069692</v>
      </c>
      <c r="V8" s="55">
        <f t="shared" si="6"/>
        <v>230456494.0035359</v>
      </c>
      <c r="AB8" s="30" t="s">
        <v>519</v>
      </c>
    </row>
    <row r="9" spans="2:28" s="30" customFormat="1">
      <c r="B9" s="399" t="s">
        <v>120</v>
      </c>
      <c r="C9" s="400">
        <f>SUM(C3:C8)</f>
        <v>0</v>
      </c>
      <c r="D9" s="400">
        <f t="shared" ref="D9:V9" si="7">SUM(D3:D8)</f>
        <v>0</v>
      </c>
      <c r="E9" s="400">
        <f t="shared" si="7"/>
        <v>0</v>
      </c>
      <c r="F9" s="400">
        <f t="shared" si="7"/>
        <v>0</v>
      </c>
      <c r="G9" s="400">
        <f t="shared" si="7"/>
        <v>0</v>
      </c>
      <c r="H9" s="400">
        <f t="shared" si="7"/>
        <v>0</v>
      </c>
      <c r="I9" s="400">
        <f t="shared" si="7"/>
        <v>0</v>
      </c>
      <c r="J9" s="400">
        <f t="shared" si="7"/>
        <v>0</v>
      </c>
      <c r="K9" s="400">
        <f t="shared" si="7"/>
        <v>93286561.229641527</v>
      </c>
      <c r="L9" s="400">
        <f t="shared" si="7"/>
        <v>288594849.72266138</v>
      </c>
      <c r="M9" s="400">
        <f t="shared" si="7"/>
        <v>678390476.45334041</v>
      </c>
      <c r="N9" s="400">
        <f t="shared" si="7"/>
        <v>976575424.80827737</v>
      </c>
      <c r="O9" s="400">
        <f t="shared" si="7"/>
        <v>1296300529.1157911</v>
      </c>
      <c r="P9" s="400">
        <f t="shared" si="7"/>
        <v>1602786582.5731521</v>
      </c>
      <c r="Q9" s="400">
        <f t="shared" si="7"/>
        <v>1817523626.1197305</v>
      </c>
      <c r="R9" s="400">
        <f t="shared" si="7"/>
        <v>2008670857.307821</v>
      </c>
      <c r="S9" s="400">
        <f t="shared" si="7"/>
        <v>2193610236.8895426</v>
      </c>
      <c r="T9" s="400">
        <f t="shared" si="7"/>
        <v>2371110585.0829511</v>
      </c>
      <c r="U9" s="400">
        <f t="shared" si="7"/>
        <v>2562197776.7173162</v>
      </c>
      <c r="V9" s="400">
        <f t="shared" si="7"/>
        <v>2721204225.1593084</v>
      </c>
    </row>
    <row r="10" spans="2:28" ht="15.75" thickBot="1">
      <c r="B10" s="51" t="s">
        <v>98</v>
      </c>
      <c r="K10" s="56"/>
      <c r="L10" s="56">
        <f t="shared" ref="L10:V10" si="8">L9/K9-1</f>
        <v>2.0936379894230814</v>
      </c>
      <c r="M10" s="56">
        <f t="shared" si="8"/>
        <v>1.3506673009073835</v>
      </c>
      <c r="N10" s="56">
        <f t="shared" si="8"/>
        <v>0.43954766274707002</v>
      </c>
      <c r="O10" s="56">
        <f t="shared" si="8"/>
        <v>0.327394173747801</v>
      </c>
      <c r="P10" s="56">
        <f t="shared" si="8"/>
        <v>0.23643132635795161</v>
      </c>
      <c r="Q10" s="56">
        <f t="shared" si="8"/>
        <v>0.13397731543387037</v>
      </c>
      <c r="R10" s="56">
        <f t="shared" si="8"/>
        <v>0.10516904894170476</v>
      </c>
      <c r="S10" s="56">
        <f t="shared" si="8"/>
        <v>9.2070524600327941E-2</v>
      </c>
      <c r="T10" s="56">
        <f t="shared" si="8"/>
        <v>8.0916994828168498E-2</v>
      </c>
      <c r="U10" s="56">
        <f t="shared" si="8"/>
        <v>8.0589742560522648E-2</v>
      </c>
      <c r="V10" s="56">
        <f t="shared" si="8"/>
        <v>6.2058616195394212E-2</v>
      </c>
    </row>
    <row r="11" spans="2:28" ht="15.75" thickBot="1">
      <c r="B11" s="33"/>
      <c r="C11" s="32">
        <v>2011</v>
      </c>
      <c r="D11" s="32">
        <f t="shared" ref="D11:V11" si="9">C11+1</f>
        <v>2012</v>
      </c>
      <c r="E11" s="32">
        <f t="shared" si="9"/>
        <v>2013</v>
      </c>
      <c r="F11" s="32">
        <f t="shared" si="9"/>
        <v>2014</v>
      </c>
      <c r="G11" s="32">
        <f t="shared" si="9"/>
        <v>2015</v>
      </c>
      <c r="H11" s="32">
        <f t="shared" si="9"/>
        <v>2016</v>
      </c>
      <c r="I11" s="32">
        <f t="shared" si="9"/>
        <v>2017</v>
      </c>
      <c r="J11" s="32">
        <f t="shared" si="9"/>
        <v>2018</v>
      </c>
      <c r="K11" s="32">
        <f t="shared" si="9"/>
        <v>2019</v>
      </c>
      <c r="L11" s="32">
        <f t="shared" si="9"/>
        <v>2020</v>
      </c>
      <c r="M11" s="32">
        <f t="shared" si="9"/>
        <v>2021</v>
      </c>
      <c r="N11" s="32">
        <f t="shared" si="9"/>
        <v>2022</v>
      </c>
      <c r="O11" s="32">
        <f t="shared" si="9"/>
        <v>2023</v>
      </c>
      <c r="P11" s="32">
        <f t="shared" si="9"/>
        <v>2024</v>
      </c>
      <c r="Q11" s="32">
        <f t="shared" si="9"/>
        <v>2025</v>
      </c>
      <c r="R11" s="32">
        <f t="shared" si="9"/>
        <v>2026</v>
      </c>
      <c r="S11" s="32">
        <f t="shared" si="9"/>
        <v>2027</v>
      </c>
      <c r="T11" s="32">
        <f t="shared" si="9"/>
        <v>2028</v>
      </c>
      <c r="U11" s="32">
        <f t="shared" si="9"/>
        <v>2029</v>
      </c>
      <c r="V11" s="31">
        <f t="shared" si="9"/>
        <v>2030</v>
      </c>
    </row>
    <row r="12" spans="2:28">
      <c r="B12" s="79" t="s">
        <v>97</v>
      </c>
      <c r="C12" s="80">
        <f>'MDS Epi'!C4</f>
        <v>50000.000000000007</v>
      </c>
      <c r="D12" s="80">
        <f>'MDS Epi'!D4</f>
        <v>50940.855653979394</v>
      </c>
      <c r="E12" s="80">
        <f>'MDS Epi'!E4</f>
        <v>51975.142124729347</v>
      </c>
      <c r="F12" s="80">
        <f>'MDS Epi'!F4</f>
        <v>53071.958396067537</v>
      </c>
      <c r="G12" s="80">
        <f>'MDS Epi'!G4</f>
        <v>54278.002536007494</v>
      </c>
      <c r="H12" s="80">
        <f>'MDS Epi'!H4</f>
        <v>55519.192464140811</v>
      </c>
      <c r="I12" s="80">
        <f>'MDS Epi'!I4</f>
        <v>56927.643888796738</v>
      </c>
      <c r="J12" s="80">
        <f>'MDS Epi'!J4</f>
        <v>58514.791407408855</v>
      </c>
      <c r="K12" s="80">
        <f>'MDS Epi'!K4</f>
        <v>60053.721138300112</v>
      </c>
      <c r="L12" s="80">
        <f>'MDS Epi'!L4</f>
        <v>61620.313190029599</v>
      </c>
      <c r="M12" s="80">
        <f>'MDS Epi'!M4</f>
        <v>63253.707710560724</v>
      </c>
      <c r="N12" s="80">
        <f>'MDS Epi'!N4</f>
        <v>65299.933370383602</v>
      </c>
      <c r="O12" s="80">
        <f>'MDS Epi'!O4</f>
        <v>67453.827780869367</v>
      </c>
      <c r="P12" s="80">
        <f>'MDS Epi'!P4</f>
        <v>69722.179764484506</v>
      </c>
      <c r="Q12" s="80">
        <f>'MDS Epi'!Q4</f>
        <v>72112.238291833521</v>
      </c>
      <c r="R12" s="80">
        <f>'MDS Epi'!R4</f>
        <v>74631.74464082616</v>
      </c>
      <c r="S12" s="80">
        <f>'MDS Epi'!S4</f>
        <v>77288.966840781446</v>
      </c>
      <c r="T12" s="80">
        <f>'MDS Epi'!T4</f>
        <v>80092.736565351734</v>
      </c>
      <c r="U12" s="80">
        <f>'MDS Epi'!U4</f>
        <v>83052.488649972482</v>
      </c>
      <c r="V12" s="80">
        <f>'MDS Epi'!V4</f>
        <v>86178.303422221419</v>
      </c>
    </row>
    <row r="13" spans="2:28">
      <c r="B13" s="401" t="s">
        <v>325</v>
      </c>
      <c r="C13" s="80">
        <f>C12*0.327</f>
        <v>16350.000000000004</v>
      </c>
      <c r="D13" s="80">
        <f t="shared" ref="D13:V13" si="10">D12*0.327</f>
        <v>16657.659798851262</v>
      </c>
      <c r="E13" s="80">
        <f t="shared" si="10"/>
        <v>16995.871474786498</v>
      </c>
      <c r="F13" s="80">
        <f t="shared" si="10"/>
        <v>17354.530395514084</v>
      </c>
      <c r="G13" s="80">
        <f t="shared" si="10"/>
        <v>17748.906829274452</v>
      </c>
      <c r="H13" s="80">
        <f t="shared" si="10"/>
        <v>18154.775935774047</v>
      </c>
      <c r="I13" s="80">
        <f t="shared" si="10"/>
        <v>18615.339551636534</v>
      </c>
      <c r="J13" s="80">
        <f t="shared" si="10"/>
        <v>19134.336790222696</v>
      </c>
      <c r="K13" s="80">
        <f t="shared" si="10"/>
        <v>19637.566812224137</v>
      </c>
      <c r="L13" s="80">
        <f t="shared" si="10"/>
        <v>20149.842413139679</v>
      </c>
      <c r="M13" s="80">
        <f t="shared" si="10"/>
        <v>20683.962421353357</v>
      </c>
      <c r="N13" s="80">
        <f t="shared" si="10"/>
        <v>21353.078212115437</v>
      </c>
      <c r="O13" s="80">
        <f t="shared" si="10"/>
        <v>22057.401684344284</v>
      </c>
      <c r="P13" s="80">
        <f t="shared" si="10"/>
        <v>22799.152782986435</v>
      </c>
      <c r="Q13" s="80">
        <f t="shared" si="10"/>
        <v>23580.701921429561</v>
      </c>
      <c r="R13" s="80">
        <f t="shared" si="10"/>
        <v>24404.580497550156</v>
      </c>
      <c r="S13" s="80">
        <f t="shared" si="10"/>
        <v>25273.492156935536</v>
      </c>
      <c r="T13" s="80">
        <f t="shared" si="10"/>
        <v>26190.324856870018</v>
      </c>
      <c r="U13" s="80">
        <f t="shared" si="10"/>
        <v>27158.163788541002</v>
      </c>
      <c r="V13" s="80">
        <f t="shared" si="10"/>
        <v>28180.305219066406</v>
      </c>
    </row>
    <row r="14" spans="2:28">
      <c r="B14" s="393" t="s">
        <v>326</v>
      </c>
      <c r="C14" s="5">
        <f>C13*0.75</f>
        <v>12262.500000000004</v>
      </c>
      <c r="D14" s="5">
        <f t="shared" ref="D14:V14" si="11">D13*0.75</f>
        <v>12493.244849138446</v>
      </c>
      <c r="E14" s="5">
        <f t="shared" si="11"/>
        <v>12746.903606089872</v>
      </c>
      <c r="F14" s="5">
        <f t="shared" si="11"/>
        <v>13015.897796635563</v>
      </c>
      <c r="G14" s="5">
        <f t="shared" si="11"/>
        <v>13311.68012195584</v>
      </c>
      <c r="H14" s="5">
        <f t="shared" si="11"/>
        <v>13616.081951830536</v>
      </c>
      <c r="I14" s="5">
        <f t="shared" si="11"/>
        <v>13961.504663727401</v>
      </c>
      <c r="J14" s="5">
        <f t="shared" si="11"/>
        <v>14350.752592667022</v>
      </c>
      <c r="K14" s="5">
        <f t="shared" si="11"/>
        <v>14728.175109168104</v>
      </c>
      <c r="L14" s="5">
        <f t="shared" si="11"/>
        <v>15112.38180985476</v>
      </c>
      <c r="M14" s="5">
        <f t="shared" si="11"/>
        <v>15512.971816015019</v>
      </c>
      <c r="N14" s="5">
        <f t="shared" si="11"/>
        <v>16014.808659086579</v>
      </c>
      <c r="O14" s="5">
        <f t="shared" si="11"/>
        <v>16543.051263258214</v>
      </c>
      <c r="P14" s="5">
        <f t="shared" si="11"/>
        <v>17099.364587239827</v>
      </c>
      <c r="Q14" s="5">
        <f t="shared" si="11"/>
        <v>17685.526441072172</v>
      </c>
      <c r="R14" s="5">
        <f t="shared" si="11"/>
        <v>18303.435373162618</v>
      </c>
      <c r="S14" s="5">
        <f t="shared" si="11"/>
        <v>18955.119117701652</v>
      </c>
      <c r="T14" s="5">
        <f t="shared" si="11"/>
        <v>19642.743642652513</v>
      </c>
      <c r="U14" s="5">
        <f t="shared" si="11"/>
        <v>20368.622841405751</v>
      </c>
      <c r="V14" s="5">
        <f t="shared" si="11"/>
        <v>21135.228914299805</v>
      </c>
      <c r="W14" s="5"/>
    </row>
    <row r="15" spans="2:28">
      <c r="B15" s="394" t="s">
        <v>327</v>
      </c>
      <c r="C15" s="5">
        <f>C14*0.85</f>
        <v>10423.125000000004</v>
      </c>
      <c r="D15" s="5">
        <f t="shared" ref="D15:V15" si="12">D14*0.85</f>
        <v>10619.258121767678</v>
      </c>
      <c r="E15" s="5">
        <f t="shared" si="12"/>
        <v>10834.868065176392</v>
      </c>
      <c r="F15" s="5">
        <f t="shared" si="12"/>
        <v>11063.513127140228</v>
      </c>
      <c r="G15" s="5">
        <f t="shared" si="12"/>
        <v>11314.928103662463</v>
      </c>
      <c r="H15" s="5">
        <f t="shared" si="12"/>
        <v>11573.669659055955</v>
      </c>
      <c r="I15" s="5">
        <f t="shared" si="12"/>
        <v>11867.27896416829</v>
      </c>
      <c r="J15" s="5">
        <f t="shared" si="12"/>
        <v>12198.139703766969</v>
      </c>
      <c r="K15" s="5">
        <f t="shared" si="12"/>
        <v>12518.948842792888</v>
      </c>
      <c r="L15" s="5">
        <f t="shared" si="12"/>
        <v>12845.524538376545</v>
      </c>
      <c r="M15" s="5">
        <f t="shared" si="12"/>
        <v>13186.026043612766</v>
      </c>
      <c r="N15" s="5">
        <f t="shared" si="12"/>
        <v>13612.587360223592</v>
      </c>
      <c r="O15" s="5">
        <f t="shared" si="12"/>
        <v>14061.593573769482</v>
      </c>
      <c r="P15" s="5">
        <f t="shared" si="12"/>
        <v>14534.459899153851</v>
      </c>
      <c r="Q15" s="5">
        <f t="shared" si="12"/>
        <v>15032.697474911345</v>
      </c>
      <c r="R15" s="5">
        <f t="shared" si="12"/>
        <v>15557.920067188224</v>
      </c>
      <c r="S15" s="5">
        <f t="shared" si="12"/>
        <v>16111.851250046404</v>
      </c>
      <c r="T15" s="5">
        <f t="shared" si="12"/>
        <v>16696.332096254635</v>
      </c>
      <c r="U15" s="5">
        <f t="shared" si="12"/>
        <v>17313.329415194887</v>
      </c>
      <c r="V15" s="5">
        <f t="shared" si="12"/>
        <v>17964.944577154834</v>
      </c>
      <c r="W15" s="5"/>
    </row>
    <row r="16" spans="2:28">
      <c r="B16" s="395" t="s">
        <v>106</v>
      </c>
      <c r="C16" s="5">
        <f>C15*0.5</f>
        <v>5211.5625000000018</v>
      </c>
      <c r="D16" s="5">
        <f t="shared" ref="D16:V16" si="13">D15*0.5</f>
        <v>5309.629060883839</v>
      </c>
      <c r="E16" s="5">
        <f t="shared" si="13"/>
        <v>5417.4340325881958</v>
      </c>
      <c r="F16" s="5">
        <f t="shared" si="13"/>
        <v>5531.7565635701139</v>
      </c>
      <c r="G16" s="5">
        <f t="shared" si="13"/>
        <v>5657.4640518312317</v>
      </c>
      <c r="H16" s="5">
        <f t="shared" si="13"/>
        <v>5786.8348295279775</v>
      </c>
      <c r="I16" s="5">
        <f t="shared" si="13"/>
        <v>5933.6394820841451</v>
      </c>
      <c r="J16" s="5">
        <f t="shared" si="13"/>
        <v>6099.0698518834843</v>
      </c>
      <c r="K16" s="5">
        <f t="shared" si="13"/>
        <v>6259.4744213964441</v>
      </c>
      <c r="L16" s="5">
        <f t="shared" si="13"/>
        <v>6422.7622691882725</v>
      </c>
      <c r="M16" s="5">
        <f t="shared" si="13"/>
        <v>6593.0130218063832</v>
      </c>
      <c r="N16" s="5">
        <f t="shared" si="13"/>
        <v>6806.2936801117958</v>
      </c>
      <c r="O16" s="5">
        <f t="shared" si="13"/>
        <v>7030.7967868847409</v>
      </c>
      <c r="P16" s="5">
        <f t="shared" si="13"/>
        <v>7267.2299495769257</v>
      </c>
      <c r="Q16" s="5">
        <f t="shared" si="13"/>
        <v>7516.3487374556726</v>
      </c>
      <c r="R16" s="5">
        <f t="shared" si="13"/>
        <v>7778.9600335941122</v>
      </c>
      <c r="S16" s="5">
        <f t="shared" si="13"/>
        <v>8055.925625023202</v>
      </c>
      <c r="T16" s="5">
        <f t="shared" si="13"/>
        <v>8348.1660481273175</v>
      </c>
      <c r="U16" s="5">
        <f t="shared" si="13"/>
        <v>8656.6647075974433</v>
      </c>
      <c r="V16" s="5">
        <f t="shared" si="13"/>
        <v>8982.4722885774172</v>
      </c>
      <c r="W16" s="5"/>
    </row>
    <row r="17" spans="2:23">
      <c r="B17" s="395" t="s">
        <v>107</v>
      </c>
      <c r="C17" s="5">
        <f>C15*0.5</f>
        <v>5211.5625000000018</v>
      </c>
      <c r="D17" s="5">
        <f t="shared" ref="D17:V17" si="14">D15*0.5</f>
        <v>5309.629060883839</v>
      </c>
      <c r="E17" s="5">
        <f t="shared" si="14"/>
        <v>5417.4340325881958</v>
      </c>
      <c r="F17" s="5">
        <f t="shared" si="14"/>
        <v>5531.7565635701139</v>
      </c>
      <c r="G17" s="5">
        <f t="shared" si="14"/>
        <v>5657.4640518312317</v>
      </c>
      <c r="H17" s="5">
        <f t="shared" si="14"/>
        <v>5786.8348295279775</v>
      </c>
      <c r="I17" s="5">
        <f t="shared" si="14"/>
        <v>5933.6394820841451</v>
      </c>
      <c r="J17" s="5">
        <f t="shared" si="14"/>
        <v>6099.0698518834843</v>
      </c>
      <c r="K17" s="5">
        <f t="shared" si="14"/>
        <v>6259.4744213964441</v>
      </c>
      <c r="L17" s="5">
        <f t="shared" si="14"/>
        <v>6422.7622691882725</v>
      </c>
      <c r="M17" s="5">
        <f t="shared" si="14"/>
        <v>6593.0130218063832</v>
      </c>
      <c r="N17" s="5">
        <f t="shared" si="14"/>
        <v>6806.2936801117958</v>
      </c>
      <c r="O17" s="5">
        <f t="shared" si="14"/>
        <v>7030.7967868847409</v>
      </c>
      <c r="P17" s="5">
        <f t="shared" si="14"/>
        <v>7267.2299495769257</v>
      </c>
      <c r="Q17" s="5">
        <f t="shared" si="14"/>
        <v>7516.3487374556726</v>
      </c>
      <c r="R17" s="5">
        <f t="shared" si="14"/>
        <v>7778.9600335941122</v>
      </c>
      <c r="S17" s="5">
        <f t="shared" si="14"/>
        <v>8055.925625023202</v>
      </c>
      <c r="T17" s="5">
        <f t="shared" si="14"/>
        <v>8348.1660481273175</v>
      </c>
      <c r="U17" s="5">
        <f t="shared" si="14"/>
        <v>8656.6647075974433</v>
      </c>
      <c r="V17" s="5">
        <f t="shared" si="14"/>
        <v>8982.4722885774172</v>
      </c>
    </row>
    <row r="18" spans="2:23">
      <c r="B18" s="81" t="s">
        <v>108</v>
      </c>
      <c r="C18" s="81"/>
      <c r="D18" s="81"/>
      <c r="E18" s="81"/>
      <c r="F18" s="81"/>
      <c r="G18" s="81"/>
      <c r="H18" s="81"/>
      <c r="I18" s="81"/>
      <c r="J18" s="408"/>
      <c r="K18" s="408">
        <v>0.02</v>
      </c>
      <c r="L18" s="408">
        <v>0.08</v>
      </c>
      <c r="M18" s="408">
        <v>0.16</v>
      </c>
      <c r="N18" s="408">
        <v>0.22</v>
      </c>
      <c r="O18" s="408">
        <v>0.28000000000000003</v>
      </c>
      <c r="P18" s="408">
        <v>0.32</v>
      </c>
      <c r="Q18" s="408">
        <v>0.35</v>
      </c>
      <c r="R18" s="408">
        <v>0.38</v>
      </c>
      <c r="S18" s="408">
        <v>0.41</v>
      </c>
      <c r="T18" s="408">
        <v>0.44</v>
      </c>
      <c r="U18" s="408">
        <v>0.47</v>
      </c>
      <c r="V18" s="408">
        <v>0.48</v>
      </c>
    </row>
    <row r="19" spans="2:23">
      <c r="B19" s="81" t="s">
        <v>109</v>
      </c>
      <c r="C19" s="81"/>
      <c r="D19" s="81"/>
      <c r="E19" s="81"/>
      <c r="F19" s="81"/>
      <c r="G19" s="81"/>
      <c r="H19" s="81"/>
      <c r="I19" s="81"/>
      <c r="J19" s="408"/>
      <c r="K19" s="408">
        <v>0.04</v>
      </c>
      <c r="L19" s="408">
        <v>0.1</v>
      </c>
      <c r="M19" s="408">
        <v>0.25</v>
      </c>
      <c r="N19" s="408">
        <v>0.35</v>
      </c>
      <c r="O19" s="408">
        <v>0.45</v>
      </c>
      <c r="P19" s="408">
        <v>0.55000000000000004</v>
      </c>
      <c r="Q19" s="408">
        <v>0.6</v>
      </c>
      <c r="R19" s="408">
        <v>0.63</v>
      </c>
      <c r="S19" s="408">
        <v>0.65</v>
      </c>
      <c r="T19" s="408">
        <v>0.66</v>
      </c>
      <c r="U19" s="408">
        <v>0.67</v>
      </c>
      <c r="V19" s="408">
        <v>0.68</v>
      </c>
    </row>
    <row r="20" spans="2:23">
      <c r="B20" s="165" t="s">
        <v>110</v>
      </c>
      <c r="C20" s="5">
        <f t="shared" ref="C20:V20" si="15">C18*C16</f>
        <v>0</v>
      </c>
      <c r="D20" s="5">
        <f t="shared" si="15"/>
        <v>0</v>
      </c>
      <c r="E20" s="5">
        <f t="shared" si="15"/>
        <v>0</v>
      </c>
      <c r="F20" s="5">
        <f t="shared" si="15"/>
        <v>0</v>
      </c>
      <c r="G20" s="5">
        <f t="shared" si="15"/>
        <v>0</v>
      </c>
      <c r="H20" s="5">
        <f t="shared" si="15"/>
        <v>0</v>
      </c>
      <c r="I20" s="5">
        <f t="shared" si="15"/>
        <v>0</v>
      </c>
      <c r="J20" s="5">
        <f t="shared" si="15"/>
        <v>0</v>
      </c>
      <c r="K20" s="5">
        <f t="shared" si="15"/>
        <v>125.18948842792888</v>
      </c>
      <c r="L20" s="5">
        <f t="shared" si="15"/>
        <v>513.82098153506183</v>
      </c>
      <c r="M20" s="5">
        <f t="shared" si="15"/>
        <v>1054.8820834890214</v>
      </c>
      <c r="N20" s="5">
        <f t="shared" si="15"/>
        <v>1497.384609624595</v>
      </c>
      <c r="O20" s="5">
        <f t="shared" si="15"/>
        <v>1968.6231003277276</v>
      </c>
      <c r="P20" s="5">
        <f t="shared" si="15"/>
        <v>2325.5135838646161</v>
      </c>
      <c r="Q20" s="5">
        <f t="shared" si="15"/>
        <v>2630.7220581094853</v>
      </c>
      <c r="R20" s="5">
        <f t="shared" si="15"/>
        <v>2956.0048127657628</v>
      </c>
      <c r="S20" s="5">
        <f t="shared" si="15"/>
        <v>3302.9295062595124</v>
      </c>
      <c r="T20" s="5">
        <f t="shared" si="15"/>
        <v>3673.1930611760199</v>
      </c>
      <c r="U20" s="5">
        <f t="shared" si="15"/>
        <v>4068.6324125707984</v>
      </c>
      <c r="V20" s="5">
        <f t="shared" si="15"/>
        <v>4311.5866985171597</v>
      </c>
    </row>
    <row r="21" spans="2:23">
      <c r="B21" s="165" t="s">
        <v>111</v>
      </c>
      <c r="C21" s="5">
        <f t="shared" ref="C21:V21" si="16">C19*C17</f>
        <v>0</v>
      </c>
      <c r="D21" s="5">
        <f t="shared" si="16"/>
        <v>0</v>
      </c>
      <c r="E21" s="5">
        <f t="shared" si="16"/>
        <v>0</v>
      </c>
      <c r="F21" s="5">
        <f t="shared" si="16"/>
        <v>0</v>
      </c>
      <c r="G21" s="5">
        <f t="shared" si="16"/>
        <v>0</v>
      </c>
      <c r="H21" s="5">
        <f t="shared" si="16"/>
        <v>0</v>
      </c>
      <c r="I21" s="5">
        <f t="shared" si="16"/>
        <v>0</v>
      </c>
      <c r="J21" s="5">
        <f t="shared" si="16"/>
        <v>0</v>
      </c>
      <c r="K21" s="5">
        <f t="shared" si="16"/>
        <v>250.37897685585776</v>
      </c>
      <c r="L21" s="5">
        <f t="shared" si="16"/>
        <v>642.27622691882732</v>
      </c>
      <c r="M21" s="5">
        <f t="shared" si="16"/>
        <v>1648.2532554515958</v>
      </c>
      <c r="N21" s="5">
        <f t="shared" si="16"/>
        <v>2382.2027880391283</v>
      </c>
      <c r="O21" s="5">
        <f t="shared" si="16"/>
        <v>3163.8585540981335</v>
      </c>
      <c r="P21" s="5">
        <f t="shared" si="16"/>
        <v>3996.9764722673094</v>
      </c>
      <c r="Q21" s="5">
        <f t="shared" si="16"/>
        <v>4509.8092424734032</v>
      </c>
      <c r="R21" s="5">
        <f t="shared" si="16"/>
        <v>4900.7448211642904</v>
      </c>
      <c r="S21" s="5">
        <f t="shared" si="16"/>
        <v>5236.3516562650811</v>
      </c>
      <c r="T21" s="5">
        <f t="shared" si="16"/>
        <v>5509.7895917640299</v>
      </c>
      <c r="U21" s="5">
        <f t="shared" si="16"/>
        <v>5799.9653540902873</v>
      </c>
      <c r="V21" s="5">
        <f t="shared" si="16"/>
        <v>6108.0811562326444</v>
      </c>
    </row>
    <row r="23" spans="2:23">
      <c r="B23" s="165" t="s">
        <v>37</v>
      </c>
      <c r="J23" s="396"/>
      <c r="K23" s="396">
        <v>115000</v>
      </c>
      <c r="L23" s="53">
        <f t="shared" ref="L23:V23" si="17">K23*(1+L24)</f>
        <v>117874.99999999999</v>
      </c>
      <c r="M23" s="53">
        <f t="shared" si="17"/>
        <v>120821.87499999997</v>
      </c>
      <c r="N23" s="53">
        <f t="shared" si="17"/>
        <v>123842.42187499996</v>
      </c>
      <c r="O23" s="53">
        <f t="shared" si="17"/>
        <v>126938.48242187494</v>
      </c>
      <c r="P23" s="53">
        <f t="shared" si="17"/>
        <v>130111.94448242181</v>
      </c>
      <c r="Q23" s="53">
        <f t="shared" si="17"/>
        <v>133364.74309448234</v>
      </c>
      <c r="R23" s="53">
        <f t="shared" si="17"/>
        <v>136698.86167184438</v>
      </c>
      <c r="S23" s="53">
        <f t="shared" si="17"/>
        <v>140116.33321364046</v>
      </c>
      <c r="T23" s="53">
        <f t="shared" si="17"/>
        <v>143619.24154398145</v>
      </c>
      <c r="U23" s="53">
        <f t="shared" si="17"/>
        <v>147209.72258258099</v>
      </c>
      <c r="V23" s="53">
        <f t="shared" si="17"/>
        <v>150889.96564714549</v>
      </c>
    </row>
    <row r="24" spans="2:23">
      <c r="B24" s="165" t="s">
        <v>213</v>
      </c>
      <c r="J24" s="52"/>
      <c r="K24" s="405">
        <v>2.5000000000000001E-2</v>
      </c>
      <c r="L24" s="406">
        <f>K24</f>
        <v>2.5000000000000001E-2</v>
      </c>
      <c r="M24" s="406">
        <f t="shared" ref="M24:V24" si="18">L24</f>
        <v>2.5000000000000001E-2</v>
      </c>
      <c r="N24" s="406">
        <f t="shared" si="18"/>
        <v>2.5000000000000001E-2</v>
      </c>
      <c r="O24" s="406">
        <f t="shared" si="18"/>
        <v>2.5000000000000001E-2</v>
      </c>
      <c r="P24" s="406">
        <f t="shared" si="18"/>
        <v>2.5000000000000001E-2</v>
      </c>
      <c r="Q24" s="406">
        <f t="shared" si="18"/>
        <v>2.5000000000000001E-2</v>
      </c>
      <c r="R24" s="406">
        <f t="shared" si="18"/>
        <v>2.5000000000000001E-2</v>
      </c>
      <c r="S24" s="406">
        <f t="shared" si="18"/>
        <v>2.5000000000000001E-2</v>
      </c>
      <c r="T24" s="406">
        <f t="shared" si="18"/>
        <v>2.5000000000000001E-2</v>
      </c>
      <c r="U24" s="406">
        <f t="shared" si="18"/>
        <v>2.5000000000000001E-2</v>
      </c>
      <c r="V24" s="406">
        <f t="shared" si="18"/>
        <v>2.5000000000000001E-2</v>
      </c>
      <c r="W24" s="406"/>
    </row>
    <row r="26" spans="2:23">
      <c r="B26" s="165" t="s">
        <v>112</v>
      </c>
      <c r="C26" s="82">
        <f t="shared" ref="C26:V26" si="19">C23*C20</f>
        <v>0</v>
      </c>
      <c r="D26" s="82">
        <f t="shared" si="19"/>
        <v>0</v>
      </c>
      <c r="E26" s="82">
        <f t="shared" si="19"/>
        <v>0</v>
      </c>
      <c r="F26" s="82">
        <f t="shared" si="19"/>
        <v>0</v>
      </c>
      <c r="G26" s="82">
        <f t="shared" si="19"/>
        <v>0</v>
      </c>
      <c r="H26" s="82">
        <f t="shared" si="19"/>
        <v>0</v>
      </c>
      <c r="I26" s="82">
        <f t="shared" si="19"/>
        <v>0</v>
      </c>
      <c r="J26" s="82">
        <f t="shared" si="19"/>
        <v>0</v>
      </c>
      <c r="K26" s="82">
        <f t="shared" si="19"/>
        <v>14396791.169211822</v>
      </c>
      <c r="L26" s="82">
        <f t="shared" si="19"/>
        <v>60566648.19844541</v>
      </c>
      <c r="M26" s="82">
        <f t="shared" si="19"/>
        <v>127452831.23105007</v>
      </c>
      <c r="N26" s="82">
        <f t="shared" si="19"/>
        <v>185439736.53426123</v>
      </c>
      <c r="O26" s="82">
        <f t="shared" si="19"/>
        <v>249894028.81624821</v>
      </c>
      <c r="P26" s="82">
        <f t="shared" si="19"/>
        <v>302577094.31691068</v>
      </c>
      <c r="Q26" s="82">
        <f t="shared" si="19"/>
        <v>350845571.43275934</v>
      </c>
      <c r="R26" s="82">
        <f t="shared" si="19"/>
        <v>404082493.00157326</v>
      </c>
      <c r="S26" s="82">
        <f t="shared" si="19"/>
        <v>462794371.28022283</v>
      </c>
      <c r="T26" s="82">
        <f t="shared" si="19"/>
        <v>527541201.49071544</v>
      </c>
      <c r="U26" s="82">
        <f t="shared" si="19"/>
        <v>598942248.74504447</v>
      </c>
      <c r="V26" s="82">
        <f t="shared" si="19"/>
        <v>650575168.82394373</v>
      </c>
    </row>
    <row r="27" spans="2:23">
      <c r="B27" s="165" t="s">
        <v>113</v>
      </c>
      <c r="C27" s="82">
        <f t="shared" ref="C27:V27" si="20">C23*C21</f>
        <v>0</v>
      </c>
      <c r="D27" s="82">
        <f t="shared" si="20"/>
        <v>0</v>
      </c>
      <c r="E27" s="82">
        <f t="shared" si="20"/>
        <v>0</v>
      </c>
      <c r="F27" s="82">
        <f t="shared" si="20"/>
        <v>0</v>
      </c>
      <c r="G27" s="82">
        <f t="shared" si="20"/>
        <v>0</v>
      </c>
      <c r="H27" s="82">
        <f t="shared" si="20"/>
        <v>0</v>
      </c>
      <c r="I27" s="82">
        <f t="shared" si="20"/>
        <v>0</v>
      </c>
      <c r="J27" s="82">
        <f t="shared" si="20"/>
        <v>0</v>
      </c>
      <c r="K27" s="82">
        <f t="shared" si="20"/>
        <v>28793582.338423643</v>
      </c>
      <c r="L27" s="82">
        <f t="shared" si="20"/>
        <v>75708310.248056754</v>
      </c>
      <c r="M27" s="82">
        <f t="shared" si="20"/>
        <v>199145048.79851574</v>
      </c>
      <c r="N27" s="82">
        <f t="shared" si="20"/>
        <v>295017762.66814286</v>
      </c>
      <c r="O27" s="82">
        <f t="shared" si="20"/>
        <v>401615403.45468462</v>
      </c>
      <c r="P27" s="82">
        <f t="shared" si="20"/>
        <v>520054380.85719031</v>
      </c>
      <c r="Q27" s="82">
        <f t="shared" si="20"/>
        <v>601449551.02758741</v>
      </c>
      <c r="R27" s="82">
        <f t="shared" si="20"/>
        <v>669926238.39734507</v>
      </c>
      <c r="S27" s="82">
        <f t="shared" si="20"/>
        <v>733698393.49303627</v>
      </c>
      <c r="T27" s="82">
        <f t="shared" si="20"/>
        <v>791311802.23607314</v>
      </c>
      <c r="U27" s="82">
        <f t="shared" si="20"/>
        <v>853811290.76421225</v>
      </c>
      <c r="V27" s="82">
        <f t="shared" si="20"/>
        <v>921648155.83392048</v>
      </c>
    </row>
    <row r="29" spans="2:23">
      <c r="B29" s="334" t="s">
        <v>114</v>
      </c>
      <c r="C29" s="335">
        <f>C26+C27</f>
        <v>0</v>
      </c>
      <c r="D29" s="335">
        <f t="shared" ref="D29:V29" si="21">D26+D27</f>
        <v>0</v>
      </c>
      <c r="E29" s="335">
        <f t="shared" si="21"/>
        <v>0</v>
      </c>
      <c r="F29" s="335">
        <f t="shared" si="21"/>
        <v>0</v>
      </c>
      <c r="G29" s="335">
        <f t="shared" si="21"/>
        <v>0</v>
      </c>
      <c r="H29" s="335">
        <f t="shared" si="21"/>
        <v>0</v>
      </c>
      <c r="I29" s="335">
        <f t="shared" si="21"/>
        <v>0</v>
      </c>
      <c r="J29" s="335">
        <f t="shared" si="21"/>
        <v>0</v>
      </c>
      <c r="K29" s="335">
        <f t="shared" si="21"/>
        <v>43190373.507635467</v>
      </c>
      <c r="L29" s="335">
        <f t="shared" si="21"/>
        <v>136274958.44650215</v>
      </c>
      <c r="M29" s="335">
        <f t="shared" si="21"/>
        <v>326597880.02956581</v>
      </c>
      <c r="N29" s="335">
        <f t="shared" si="21"/>
        <v>480457499.20240408</v>
      </c>
      <c r="O29" s="335">
        <f t="shared" si="21"/>
        <v>651509432.27093279</v>
      </c>
      <c r="P29" s="335">
        <f t="shared" si="21"/>
        <v>822631475.174101</v>
      </c>
      <c r="Q29" s="335">
        <f t="shared" si="21"/>
        <v>952295122.4603467</v>
      </c>
      <c r="R29" s="335">
        <f t="shared" si="21"/>
        <v>1074008731.3989184</v>
      </c>
      <c r="S29" s="335">
        <f t="shared" si="21"/>
        <v>1196492764.7732592</v>
      </c>
      <c r="T29" s="335">
        <f t="shared" si="21"/>
        <v>1318853003.7267885</v>
      </c>
      <c r="U29" s="335">
        <f t="shared" si="21"/>
        <v>1452753539.5092568</v>
      </c>
      <c r="V29" s="336">
        <f t="shared" si="21"/>
        <v>1572223324.6578641</v>
      </c>
    </row>
    <row r="30" spans="2:23"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</row>
    <row r="31" spans="2:23" ht="5.25" customHeight="1">
      <c r="B31" s="113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</row>
    <row r="33" spans="2:22">
      <c r="B33" s="79" t="s">
        <v>95</v>
      </c>
      <c r="C33" s="80">
        <f>'MDS Epi'!C5</f>
        <v>17591.039999999994</v>
      </c>
      <c r="D33" s="80">
        <f>'MDS Epi'!D5</f>
        <v>17955.491922340283</v>
      </c>
      <c r="E33" s="80">
        <f>'MDS Epi'!E5</f>
        <v>18320.116186090905</v>
      </c>
      <c r="F33" s="80">
        <f>'MDS Epi'!F5</f>
        <v>18684.465727152507</v>
      </c>
      <c r="G33" s="80">
        <f>'MDS Epi'!G5</f>
        <v>19049.232716206243</v>
      </c>
      <c r="H33" s="80">
        <f>'MDS Epi'!H5</f>
        <v>19339.270615558034</v>
      </c>
      <c r="I33" s="80">
        <f>'MDS Epi'!I5</f>
        <v>19627.672075536793</v>
      </c>
      <c r="J33" s="80">
        <f>'MDS Epi'!J5</f>
        <v>19916.087674420975</v>
      </c>
      <c r="K33" s="80">
        <f>'MDS Epi'!K5</f>
        <v>20204.517502596857</v>
      </c>
      <c r="L33" s="80">
        <f>'MDS Epi'!L5</f>
        <v>20493.217963827097</v>
      </c>
      <c r="M33" s="80">
        <f>'MDS Epi'!M5</f>
        <v>20804.00090127176</v>
      </c>
      <c r="N33" s="80">
        <f>'MDS Epi'!N5</f>
        <v>21137.667931712189</v>
      </c>
      <c r="O33" s="80">
        <f>'MDS Epi'!O5</f>
        <v>21494.153357146246</v>
      </c>
      <c r="P33" s="80">
        <f>'MDS Epi'!P5</f>
        <v>21874.318696552906</v>
      </c>
      <c r="Q33" s="80">
        <f>'MDS Epi'!Q5</f>
        <v>22279.078783682431</v>
      </c>
      <c r="R33" s="80">
        <f>'MDS Epi'!R5</f>
        <v>22709.404316537235</v>
      </c>
      <c r="S33" s="80">
        <f>'MDS Epi'!S5</f>
        <v>23166.324557900196</v>
      </c>
      <c r="T33" s="80">
        <f>'MDS Epi'!T5</f>
        <v>23650.930194819572</v>
      </c>
      <c r="U33" s="80">
        <f>'MDS Epi'!U5</f>
        <v>24164.376365415294</v>
      </c>
      <c r="V33" s="80">
        <f>'MDS Epi'!V5</f>
        <v>24707.885861852032</v>
      </c>
    </row>
    <row r="34" spans="2:22">
      <c r="B34" s="401" t="s">
        <v>325</v>
      </c>
      <c r="C34" s="80">
        <f>C33*0.327</f>
        <v>5752.2700799999984</v>
      </c>
      <c r="D34" s="80">
        <f t="shared" ref="D34:V34" si="22">D33*0.327</f>
        <v>5871.4458586052724</v>
      </c>
      <c r="E34" s="80">
        <f t="shared" si="22"/>
        <v>5990.6779928517262</v>
      </c>
      <c r="F34" s="80">
        <f t="shared" si="22"/>
        <v>6109.8202927788698</v>
      </c>
      <c r="G34" s="80">
        <f t="shared" si="22"/>
        <v>6229.0990981994419</v>
      </c>
      <c r="H34" s="80">
        <f t="shared" si="22"/>
        <v>6323.9414912874772</v>
      </c>
      <c r="I34" s="80">
        <f t="shared" si="22"/>
        <v>6418.2487687005314</v>
      </c>
      <c r="J34" s="80">
        <f t="shared" si="22"/>
        <v>6512.5606695356591</v>
      </c>
      <c r="K34" s="80">
        <f t="shared" si="22"/>
        <v>6606.8772233491727</v>
      </c>
      <c r="L34" s="80">
        <f t="shared" si="22"/>
        <v>6701.2822741714608</v>
      </c>
      <c r="M34" s="80">
        <f t="shared" si="22"/>
        <v>6802.9082947158658</v>
      </c>
      <c r="N34" s="80">
        <f t="shared" si="22"/>
        <v>6912.0174136698861</v>
      </c>
      <c r="O34" s="80">
        <f t="shared" si="22"/>
        <v>7028.5881477868224</v>
      </c>
      <c r="P34" s="80">
        <f t="shared" si="22"/>
        <v>7152.9022137728007</v>
      </c>
      <c r="Q34" s="80">
        <f t="shared" si="22"/>
        <v>7285.2587622641549</v>
      </c>
      <c r="R34" s="80">
        <f t="shared" si="22"/>
        <v>7425.9752115076762</v>
      </c>
      <c r="S34" s="80">
        <f t="shared" si="22"/>
        <v>7575.3881304333645</v>
      </c>
      <c r="T34" s="80">
        <f t="shared" si="22"/>
        <v>7733.8541737060004</v>
      </c>
      <c r="U34" s="80">
        <f t="shared" si="22"/>
        <v>7901.7510714908012</v>
      </c>
      <c r="V34" s="80">
        <f t="shared" si="22"/>
        <v>8079.4786768256145</v>
      </c>
    </row>
    <row r="35" spans="2:22">
      <c r="B35" s="393" t="s">
        <v>328</v>
      </c>
      <c r="C35" s="5">
        <f>C34*0.75</f>
        <v>4314.2025599999988</v>
      </c>
      <c r="D35" s="5">
        <f t="shared" ref="D35:V35" si="23">D34*0.75</f>
        <v>4403.5843939539545</v>
      </c>
      <c r="E35" s="5">
        <f t="shared" si="23"/>
        <v>4493.0084946387942</v>
      </c>
      <c r="F35" s="5">
        <f t="shared" si="23"/>
        <v>4582.3652195841523</v>
      </c>
      <c r="G35" s="5">
        <f t="shared" si="23"/>
        <v>4671.8243236495819</v>
      </c>
      <c r="H35" s="5">
        <f t="shared" si="23"/>
        <v>4742.9561184656077</v>
      </c>
      <c r="I35" s="5">
        <f t="shared" si="23"/>
        <v>4813.6865765253988</v>
      </c>
      <c r="J35" s="5">
        <f t="shared" si="23"/>
        <v>4884.4205021517446</v>
      </c>
      <c r="K35" s="5">
        <f t="shared" si="23"/>
        <v>4955.1579175118795</v>
      </c>
      <c r="L35" s="5">
        <f t="shared" si="23"/>
        <v>5025.9617056285952</v>
      </c>
      <c r="M35" s="5">
        <f t="shared" si="23"/>
        <v>5102.1812210368989</v>
      </c>
      <c r="N35" s="5">
        <f t="shared" si="23"/>
        <v>5184.013060252415</v>
      </c>
      <c r="O35" s="5">
        <f t="shared" si="23"/>
        <v>5271.4411108401164</v>
      </c>
      <c r="P35" s="5">
        <f t="shared" si="23"/>
        <v>5364.6766603296001</v>
      </c>
      <c r="Q35" s="5">
        <f t="shared" si="23"/>
        <v>5463.9440716981162</v>
      </c>
      <c r="R35" s="5">
        <f t="shared" si="23"/>
        <v>5569.481408630757</v>
      </c>
      <c r="S35" s="5">
        <f t="shared" si="23"/>
        <v>5681.5410978250238</v>
      </c>
      <c r="T35" s="5">
        <f t="shared" si="23"/>
        <v>5800.3906302795003</v>
      </c>
      <c r="U35" s="5">
        <f t="shared" si="23"/>
        <v>5926.3133036181007</v>
      </c>
      <c r="V35" s="5">
        <f t="shared" si="23"/>
        <v>6059.6090076192104</v>
      </c>
    </row>
    <row r="36" spans="2:22">
      <c r="B36" s="394" t="s">
        <v>327</v>
      </c>
      <c r="C36" s="5">
        <f>C35*0.85</f>
        <v>3667.0721759999988</v>
      </c>
      <c r="D36" s="5">
        <f t="shared" ref="D36:V36" si="24">D35*0.85</f>
        <v>3743.0467348608613</v>
      </c>
      <c r="E36" s="5">
        <f t="shared" si="24"/>
        <v>3819.057220442975</v>
      </c>
      <c r="F36" s="5">
        <f t="shared" si="24"/>
        <v>3895.0104366465293</v>
      </c>
      <c r="G36" s="5">
        <f t="shared" si="24"/>
        <v>3971.0506751021444</v>
      </c>
      <c r="H36" s="5">
        <f t="shared" si="24"/>
        <v>4031.5127006957664</v>
      </c>
      <c r="I36" s="5">
        <f t="shared" si="24"/>
        <v>4091.6335900465888</v>
      </c>
      <c r="J36" s="5">
        <f t="shared" si="24"/>
        <v>4151.7574268289827</v>
      </c>
      <c r="K36" s="5">
        <f t="shared" si="24"/>
        <v>4211.8842298850977</v>
      </c>
      <c r="L36" s="5">
        <f t="shared" si="24"/>
        <v>4272.0674497843056</v>
      </c>
      <c r="M36" s="5">
        <f t="shared" si="24"/>
        <v>4336.8540378813641</v>
      </c>
      <c r="N36" s="5">
        <f t="shared" si="24"/>
        <v>4406.4111012145522</v>
      </c>
      <c r="O36" s="5">
        <f t="shared" si="24"/>
        <v>4480.7249442140992</v>
      </c>
      <c r="P36" s="5">
        <f t="shared" si="24"/>
        <v>4559.9751612801601</v>
      </c>
      <c r="Q36" s="5">
        <f t="shared" si="24"/>
        <v>4644.3524609433989</v>
      </c>
      <c r="R36" s="5">
        <f t="shared" si="24"/>
        <v>4734.0591973361434</v>
      </c>
      <c r="S36" s="5">
        <f t="shared" si="24"/>
        <v>4829.3099331512703</v>
      </c>
      <c r="T36" s="5">
        <f t="shared" si="24"/>
        <v>4930.3320357375751</v>
      </c>
      <c r="U36" s="5">
        <f t="shared" si="24"/>
        <v>5037.3663080753859</v>
      </c>
      <c r="V36" s="5">
        <f t="shared" si="24"/>
        <v>5150.6676564763284</v>
      </c>
    </row>
    <row r="37" spans="2:22">
      <c r="B37" s="395" t="s">
        <v>106</v>
      </c>
      <c r="C37" s="5">
        <f t="shared" ref="C37:V37" si="25">C36*0.5</f>
        <v>1833.5360879999994</v>
      </c>
      <c r="D37" s="5">
        <f t="shared" si="25"/>
        <v>1871.5233674304307</v>
      </c>
      <c r="E37" s="5">
        <f t="shared" si="25"/>
        <v>1909.5286102214875</v>
      </c>
      <c r="F37" s="5">
        <f t="shared" si="25"/>
        <v>1947.5052183232647</v>
      </c>
      <c r="G37" s="5">
        <f t="shared" si="25"/>
        <v>1985.5253375510722</v>
      </c>
      <c r="H37" s="5">
        <f t="shared" si="25"/>
        <v>2015.7563503478832</v>
      </c>
      <c r="I37" s="5">
        <f t="shared" si="25"/>
        <v>2045.8167950232944</v>
      </c>
      <c r="J37" s="5">
        <f t="shared" si="25"/>
        <v>2075.8787134144914</v>
      </c>
      <c r="K37" s="5">
        <f t="shared" si="25"/>
        <v>2105.9421149425489</v>
      </c>
      <c r="L37" s="5">
        <f t="shared" si="25"/>
        <v>2136.0337248921528</v>
      </c>
      <c r="M37" s="5">
        <f t="shared" si="25"/>
        <v>2168.427018940682</v>
      </c>
      <c r="N37" s="5">
        <f t="shared" si="25"/>
        <v>2203.2055506072761</v>
      </c>
      <c r="O37" s="5">
        <f t="shared" si="25"/>
        <v>2240.3624721070496</v>
      </c>
      <c r="P37" s="5">
        <f t="shared" si="25"/>
        <v>2279.9875806400801</v>
      </c>
      <c r="Q37" s="5">
        <f t="shared" si="25"/>
        <v>2322.1762304716995</v>
      </c>
      <c r="R37" s="5">
        <f t="shared" si="25"/>
        <v>2367.0295986680717</v>
      </c>
      <c r="S37" s="5">
        <f t="shared" si="25"/>
        <v>2414.6549665756352</v>
      </c>
      <c r="T37" s="5">
        <f t="shared" si="25"/>
        <v>2465.1660178687875</v>
      </c>
      <c r="U37" s="5">
        <f t="shared" si="25"/>
        <v>2518.6831540376929</v>
      </c>
      <c r="V37" s="5">
        <f t="shared" si="25"/>
        <v>2575.3338282381642</v>
      </c>
    </row>
    <row r="38" spans="2:22">
      <c r="B38" s="395" t="s">
        <v>107</v>
      </c>
      <c r="C38" s="5">
        <f>C36*0.5</f>
        <v>1833.5360879999994</v>
      </c>
      <c r="D38" s="5">
        <f t="shared" ref="D38:V38" si="26">D36*0.5</f>
        <v>1871.5233674304307</v>
      </c>
      <c r="E38" s="5">
        <f t="shared" si="26"/>
        <v>1909.5286102214875</v>
      </c>
      <c r="F38" s="5">
        <f t="shared" si="26"/>
        <v>1947.5052183232647</v>
      </c>
      <c r="G38" s="5">
        <f t="shared" si="26"/>
        <v>1985.5253375510722</v>
      </c>
      <c r="H38" s="5">
        <f t="shared" si="26"/>
        <v>2015.7563503478832</v>
      </c>
      <c r="I38" s="5">
        <f t="shared" si="26"/>
        <v>2045.8167950232944</v>
      </c>
      <c r="J38" s="5">
        <f t="shared" si="26"/>
        <v>2075.8787134144914</v>
      </c>
      <c r="K38" s="5">
        <f t="shared" si="26"/>
        <v>2105.9421149425489</v>
      </c>
      <c r="L38" s="5">
        <f t="shared" si="26"/>
        <v>2136.0337248921528</v>
      </c>
      <c r="M38" s="5">
        <f t="shared" si="26"/>
        <v>2168.427018940682</v>
      </c>
      <c r="N38" s="5">
        <f t="shared" si="26"/>
        <v>2203.2055506072761</v>
      </c>
      <c r="O38" s="5">
        <f t="shared" si="26"/>
        <v>2240.3624721070496</v>
      </c>
      <c r="P38" s="5">
        <f t="shared" si="26"/>
        <v>2279.9875806400801</v>
      </c>
      <c r="Q38" s="5">
        <f t="shared" si="26"/>
        <v>2322.1762304716995</v>
      </c>
      <c r="R38" s="5">
        <f t="shared" si="26"/>
        <v>2367.0295986680717</v>
      </c>
      <c r="S38" s="5">
        <f t="shared" si="26"/>
        <v>2414.6549665756352</v>
      </c>
      <c r="T38" s="5">
        <f t="shared" si="26"/>
        <v>2465.1660178687875</v>
      </c>
      <c r="U38" s="5">
        <f t="shared" si="26"/>
        <v>2518.6831540376929</v>
      </c>
      <c r="V38" s="5">
        <f t="shared" si="26"/>
        <v>2575.3338282381642</v>
      </c>
    </row>
    <row r="39" spans="2:22">
      <c r="B39" s="81" t="s">
        <v>108</v>
      </c>
      <c r="C39" s="81"/>
      <c r="D39" s="81"/>
      <c r="E39" s="81"/>
      <c r="F39" s="81"/>
      <c r="G39" s="81"/>
      <c r="H39" s="81"/>
      <c r="I39" s="81"/>
      <c r="J39" s="408"/>
      <c r="K39" s="408">
        <v>0.02</v>
      </c>
      <c r="L39" s="408">
        <v>0.08</v>
      </c>
      <c r="M39" s="408">
        <v>0.16</v>
      </c>
      <c r="N39" s="408">
        <v>0.22</v>
      </c>
      <c r="O39" s="408">
        <v>0.28000000000000003</v>
      </c>
      <c r="P39" s="408">
        <v>0.32</v>
      </c>
      <c r="Q39" s="408">
        <v>0.35</v>
      </c>
      <c r="R39" s="408">
        <v>0.38</v>
      </c>
      <c r="S39" s="408">
        <v>0.41</v>
      </c>
      <c r="T39" s="408">
        <v>0.44</v>
      </c>
      <c r="U39" s="408">
        <v>0.47</v>
      </c>
      <c r="V39" s="408">
        <v>0.48</v>
      </c>
    </row>
    <row r="40" spans="2:22">
      <c r="B40" s="81" t="s">
        <v>109</v>
      </c>
      <c r="C40" s="81"/>
      <c r="D40" s="81"/>
      <c r="E40" s="81"/>
      <c r="F40" s="81"/>
      <c r="G40" s="81"/>
      <c r="H40" s="81"/>
      <c r="I40" s="81"/>
      <c r="J40" s="408"/>
      <c r="K40" s="408">
        <v>0.04</v>
      </c>
      <c r="L40" s="408">
        <v>0.1</v>
      </c>
      <c r="M40" s="408">
        <v>0.25</v>
      </c>
      <c r="N40" s="408">
        <v>0.35</v>
      </c>
      <c r="O40" s="408">
        <v>0.45</v>
      </c>
      <c r="P40" s="408">
        <v>0.55000000000000004</v>
      </c>
      <c r="Q40" s="408">
        <v>0.6</v>
      </c>
      <c r="R40" s="408">
        <v>0.63</v>
      </c>
      <c r="S40" s="408">
        <v>0.65</v>
      </c>
      <c r="T40" s="408">
        <v>0.66</v>
      </c>
      <c r="U40" s="408">
        <v>0.67</v>
      </c>
      <c r="V40" s="408">
        <v>0.68</v>
      </c>
    </row>
    <row r="41" spans="2:22">
      <c r="B41" s="165" t="s">
        <v>110</v>
      </c>
      <c r="C41" s="5">
        <f t="shared" ref="C41:V41" si="27">C39*C37</f>
        <v>0</v>
      </c>
      <c r="D41" s="5">
        <f t="shared" si="27"/>
        <v>0</v>
      </c>
      <c r="E41" s="5">
        <f t="shared" si="27"/>
        <v>0</v>
      </c>
      <c r="F41" s="5">
        <f t="shared" si="27"/>
        <v>0</v>
      </c>
      <c r="G41" s="5">
        <f t="shared" si="27"/>
        <v>0</v>
      </c>
      <c r="H41" s="5">
        <f t="shared" si="27"/>
        <v>0</v>
      </c>
      <c r="I41" s="5">
        <f t="shared" si="27"/>
        <v>0</v>
      </c>
      <c r="J41" s="5">
        <f t="shared" si="27"/>
        <v>0</v>
      </c>
      <c r="K41" s="5">
        <f t="shared" si="27"/>
        <v>42.118842298850979</v>
      </c>
      <c r="L41" s="5">
        <f t="shared" si="27"/>
        <v>170.88269799137223</v>
      </c>
      <c r="M41" s="5">
        <f t="shared" si="27"/>
        <v>346.94832303050913</v>
      </c>
      <c r="N41" s="5">
        <f t="shared" si="27"/>
        <v>484.70522113360073</v>
      </c>
      <c r="O41" s="5">
        <f t="shared" si="27"/>
        <v>627.30149218997394</v>
      </c>
      <c r="P41" s="5">
        <f t="shared" si="27"/>
        <v>729.59602580482567</v>
      </c>
      <c r="Q41" s="5">
        <f t="shared" si="27"/>
        <v>812.76168066509479</v>
      </c>
      <c r="R41" s="5">
        <f t="shared" si="27"/>
        <v>899.47124749386728</v>
      </c>
      <c r="S41" s="5">
        <f t="shared" si="27"/>
        <v>990.00853629601033</v>
      </c>
      <c r="T41" s="5">
        <f t="shared" si="27"/>
        <v>1084.6730478622665</v>
      </c>
      <c r="U41" s="5">
        <f t="shared" si="27"/>
        <v>1183.7810823977156</v>
      </c>
      <c r="V41" s="5">
        <f t="shared" si="27"/>
        <v>1236.1602375543187</v>
      </c>
    </row>
    <row r="42" spans="2:22">
      <c r="B42" s="165" t="s">
        <v>111</v>
      </c>
      <c r="C42" s="5">
        <f t="shared" ref="C42:V42" si="28">C40*C38</f>
        <v>0</v>
      </c>
      <c r="D42" s="5">
        <f t="shared" si="28"/>
        <v>0</v>
      </c>
      <c r="E42" s="5">
        <f t="shared" si="28"/>
        <v>0</v>
      </c>
      <c r="F42" s="5">
        <f t="shared" si="28"/>
        <v>0</v>
      </c>
      <c r="G42" s="5">
        <f t="shared" si="28"/>
        <v>0</v>
      </c>
      <c r="H42" s="5">
        <f t="shared" si="28"/>
        <v>0</v>
      </c>
      <c r="I42" s="5">
        <f t="shared" si="28"/>
        <v>0</v>
      </c>
      <c r="J42" s="5">
        <f t="shared" si="28"/>
        <v>0</v>
      </c>
      <c r="K42" s="5">
        <f t="shared" si="28"/>
        <v>84.237684597701957</v>
      </c>
      <c r="L42" s="5">
        <f t="shared" si="28"/>
        <v>213.6033724892153</v>
      </c>
      <c r="M42" s="5">
        <f t="shared" si="28"/>
        <v>542.10675473517051</v>
      </c>
      <c r="N42" s="5">
        <f t="shared" si="28"/>
        <v>771.12194271254657</v>
      </c>
      <c r="O42" s="5">
        <f t="shared" si="28"/>
        <v>1008.1631124481723</v>
      </c>
      <c r="P42" s="5">
        <f t="shared" si="28"/>
        <v>1253.9931693520441</v>
      </c>
      <c r="Q42" s="5">
        <f t="shared" si="28"/>
        <v>1393.3057382830195</v>
      </c>
      <c r="R42" s="5">
        <f t="shared" si="28"/>
        <v>1491.2286471608852</v>
      </c>
      <c r="S42" s="5">
        <f t="shared" si="28"/>
        <v>1569.5257282741629</v>
      </c>
      <c r="T42" s="5">
        <f t="shared" si="28"/>
        <v>1627.0095717933998</v>
      </c>
      <c r="U42" s="5">
        <f t="shared" si="28"/>
        <v>1687.5177132052543</v>
      </c>
      <c r="V42" s="5">
        <f t="shared" si="28"/>
        <v>1751.2270032019517</v>
      </c>
    </row>
    <row r="44" spans="2:22">
      <c r="B44" s="165" t="s">
        <v>37</v>
      </c>
      <c r="J44" s="396"/>
      <c r="K44" s="396">
        <v>105000</v>
      </c>
      <c r="L44" s="53">
        <f t="shared" ref="L44:V44" si="29">K44*(1+L45)</f>
        <v>105000</v>
      </c>
      <c r="M44" s="53">
        <f t="shared" si="29"/>
        <v>105000</v>
      </c>
      <c r="N44" s="53">
        <f t="shared" si="29"/>
        <v>105000</v>
      </c>
      <c r="O44" s="53">
        <f t="shared" si="29"/>
        <v>105000</v>
      </c>
      <c r="P44" s="53">
        <f t="shared" si="29"/>
        <v>105000</v>
      </c>
      <c r="Q44" s="53">
        <f t="shared" si="29"/>
        <v>105000</v>
      </c>
      <c r="R44" s="53">
        <f t="shared" si="29"/>
        <v>105000</v>
      </c>
      <c r="S44" s="53">
        <f t="shared" si="29"/>
        <v>105000</v>
      </c>
      <c r="T44" s="53">
        <f t="shared" si="29"/>
        <v>105000</v>
      </c>
      <c r="U44" s="53">
        <f t="shared" si="29"/>
        <v>105000</v>
      </c>
      <c r="V44" s="53">
        <f t="shared" si="29"/>
        <v>105000</v>
      </c>
    </row>
    <row r="45" spans="2:22">
      <c r="B45" s="165" t="s">
        <v>213</v>
      </c>
      <c r="J45" s="52"/>
      <c r="K45" s="397">
        <v>0</v>
      </c>
      <c r="L45" s="56">
        <f>K45</f>
        <v>0</v>
      </c>
      <c r="M45" s="56">
        <f>L45</f>
        <v>0</v>
      </c>
      <c r="N45" s="56">
        <f t="shared" ref="N45:V45" si="30">M45</f>
        <v>0</v>
      </c>
      <c r="O45" s="56">
        <f t="shared" si="30"/>
        <v>0</v>
      </c>
      <c r="P45" s="56">
        <f t="shared" si="30"/>
        <v>0</v>
      </c>
      <c r="Q45" s="56">
        <f t="shared" si="30"/>
        <v>0</v>
      </c>
      <c r="R45" s="56">
        <f t="shared" si="30"/>
        <v>0</v>
      </c>
      <c r="S45" s="56">
        <f t="shared" si="30"/>
        <v>0</v>
      </c>
      <c r="T45" s="56">
        <f t="shared" si="30"/>
        <v>0</v>
      </c>
      <c r="U45" s="56">
        <f t="shared" si="30"/>
        <v>0</v>
      </c>
      <c r="V45" s="56">
        <f t="shared" si="30"/>
        <v>0</v>
      </c>
    </row>
    <row r="47" spans="2:22">
      <c r="B47" s="165" t="s">
        <v>112</v>
      </c>
      <c r="C47" s="82">
        <f t="shared" ref="C47:V47" si="31">C44*C41</f>
        <v>0</v>
      </c>
      <c r="D47" s="82">
        <f t="shared" si="31"/>
        <v>0</v>
      </c>
      <c r="E47" s="82">
        <f t="shared" si="31"/>
        <v>0</v>
      </c>
      <c r="F47" s="82">
        <f t="shared" si="31"/>
        <v>0</v>
      </c>
      <c r="G47" s="82">
        <f t="shared" si="31"/>
        <v>0</v>
      </c>
      <c r="H47" s="82">
        <f t="shared" si="31"/>
        <v>0</v>
      </c>
      <c r="I47" s="82">
        <f t="shared" si="31"/>
        <v>0</v>
      </c>
      <c r="J47" s="82">
        <f t="shared" si="31"/>
        <v>0</v>
      </c>
      <c r="K47" s="82">
        <f t="shared" si="31"/>
        <v>4422478.4413793525</v>
      </c>
      <c r="L47" s="82">
        <f t="shared" si="31"/>
        <v>17942683.289094083</v>
      </c>
      <c r="M47" s="82">
        <f t="shared" si="31"/>
        <v>36429573.918203458</v>
      </c>
      <c r="N47" s="82">
        <f t="shared" si="31"/>
        <v>50894048.219028078</v>
      </c>
      <c r="O47" s="82">
        <f t="shared" si="31"/>
        <v>65866656.679947264</v>
      </c>
      <c r="P47" s="82">
        <f t="shared" si="31"/>
        <v>76607582.709506691</v>
      </c>
      <c r="Q47" s="82">
        <f t="shared" si="31"/>
        <v>85339976.469834954</v>
      </c>
      <c r="R47" s="82">
        <f t="shared" si="31"/>
        <v>94444480.986856058</v>
      </c>
      <c r="S47" s="82">
        <f t="shared" si="31"/>
        <v>103950896.31108108</v>
      </c>
      <c r="T47" s="82">
        <f t="shared" si="31"/>
        <v>113890670.02553798</v>
      </c>
      <c r="U47" s="82">
        <f t="shared" si="31"/>
        <v>124297013.65176015</v>
      </c>
      <c r="V47" s="82">
        <f t="shared" si="31"/>
        <v>129796824.94320346</v>
      </c>
    </row>
    <row r="48" spans="2:22">
      <c r="B48" s="165" t="s">
        <v>113</v>
      </c>
      <c r="C48" s="82">
        <f t="shared" ref="C48:V48" si="32">C44*C42</f>
        <v>0</v>
      </c>
      <c r="D48" s="82">
        <f t="shared" si="32"/>
        <v>0</v>
      </c>
      <c r="E48" s="82">
        <f t="shared" si="32"/>
        <v>0</v>
      </c>
      <c r="F48" s="82">
        <f t="shared" si="32"/>
        <v>0</v>
      </c>
      <c r="G48" s="82">
        <f t="shared" si="32"/>
        <v>0</v>
      </c>
      <c r="H48" s="82">
        <f t="shared" si="32"/>
        <v>0</v>
      </c>
      <c r="I48" s="82">
        <f t="shared" si="32"/>
        <v>0</v>
      </c>
      <c r="J48" s="82">
        <f t="shared" si="32"/>
        <v>0</v>
      </c>
      <c r="K48" s="82">
        <f t="shared" si="32"/>
        <v>8844956.8827587049</v>
      </c>
      <c r="L48" s="82">
        <f t="shared" si="32"/>
        <v>22428354.111367606</v>
      </c>
      <c r="M48" s="82">
        <f t="shared" si="32"/>
        <v>56921209.247192904</v>
      </c>
      <c r="N48" s="82">
        <f t="shared" si="32"/>
        <v>80967803.984817386</v>
      </c>
      <c r="O48" s="82">
        <f t="shared" si="32"/>
        <v>105857126.8070581</v>
      </c>
      <c r="P48" s="82">
        <f t="shared" si="32"/>
        <v>131669282.78196463</v>
      </c>
      <c r="Q48" s="82">
        <f t="shared" si="32"/>
        <v>146297102.51971704</v>
      </c>
      <c r="R48" s="82">
        <f t="shared" si="32"/>
        <v>156579007.95189294</v>
      </c>
      <c r="S48" s="82">
        <f t="shared" si="32"/>
        <v>164800201.4687871</v>
      </c>
      <c r="T48" s="82">
        <f t="shared" si="32"/>
        <v>170836005.03830698</v>
      </c>
      <c r="U48" s="82">
        <f t="shared" si="32"/>
        <v>177189359.88655171</v>
      </c>
      <c r="V48" s="82">
        <f t="shared" si="32"/>
        <v>183878835.33620492</v>
      </c>
    </row>
    <row r="50" spans="2:22">
      <c r="B50" s="334" t="s">
        <v>115</v>
      </c>
      <c r="C50" s="335">
        <f>C47+C48</f>
        <v>0</v>
      </c>
      <c r="D50" s="335">
        <f t="shared" ref="D50:V50" si="33">D47+D48</f>
        <v>0</v>
      </c>
      <c r="E50" s="335">
        <f t="shared" si="33"/>
        <v>0</v>
      </c>
      <c r="F50" s="335">
        <f t="shared" si="33"/>
        <v>0</v>
      </c>
      <c r="G50" s="335">
        <f t="shared" si="33"/>
        <v>0</v>
      </c>
      <c r="H50" s="335">
        <f t="shared" si="33"/>
        <v>0</v>
      </c>
      <c r="I50" s="335">
        <f t="shared" si="33"/>
        <v>0</v>
      </c>
      <c r="J50" s="335">
        <f t="shared" si="33"/>
        <v>0</v>
      </c>
      <c r="K50" s="335">
        <f t="shared" si="33"/>
        <v>13267435.324138056</v>
      </c>
      <c r="L50" s="335">
        <f t="shared" si="33"/>
        <v>40371037.400461689</v>
      </c>
      <c r="M50" s="335">
        <f t="shared" si="33"/>
        <v>93350783.165396363</v>
      </c>
      <c r="N50" s="335">
        <f t="shared" si="33"/>
        <v>131861852.20384547</v>
      </c>
      <c r="O50" s="335">
        <f t="shared" si="33"/>
        <v>171723783.48700535</v>
      </c>
      <c r="P50" s="335">
        <f t="shared" si="33"/>
        <v>208276865.49147132</v>
      </c>
      <c r="Q50" s="335">
        <f t="shared" si="33"/>
        <v>231637078.98955199</v>
      </c>
      <c r="R50" s="335">
        <f t="shared" si="33"/>
        <v>251023488.93874902</v>
      </c>
      <c r="S50" s="335">
        <f t="shared" si="33"/>
        <v>268751097.77986819</v>
      </c>
      <c r="T50" s="335">
        <f t="shared" si="33"/>
        <v>284726675.06384498</v>
      </c>
      <c r="U50" s="335">
        <f t="shared" si="33"/>
        <v>301486373.53831184</v>
      </c>
      <c r="V50" s="336">
        <f t="shared" si="33"/>
        <v>313675660.2794084</v>
      </c>
    </row>
    <row r="52" spans="2:22" ht="5.25" customHeight="1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</row>
    <row r="54" spans="2:22">
      <c r="B54" s="79" t="s">
        <v>93</v>
      </c>
      <c r="C54" s="80">
        <f>'MDS Epi'!C6</f>
        <v>13661.567999999999</v>
      </c>
      <c r="D54" s="80">
        <f>'MDS Epi'!D6</f>
        <v>13890.015061978396</v>
      </c>
      <c r="E54" s="80">
        <f>'MDS Epi'!E6</f>
        <v>14118.529781886875</v>
      </c>
      <c r="F54" s="80">
        <f>'MDS Epi'!F6</f>
        <v>14347.122126457367</v>
      </c>
      <c r="G54" s="80">
        <f>'MDS Epi'!G6</f>
        <v>14575.80186489076</v>
      </c>
      <c r="H54" s="80">
        <f>'MDS Epi'!H6</f>
        <v>14761.577854644322</v>
      </c>
      <c r="I54" s="80">
        <f>'MDS Epi'!I6</f>
        <v>14944.864989643849</v>
      </c>
      <c r="J54" s="80">
        <f>'MDS Epi'!J6</f>
        <v>15128.384134167112</v>
      </c>
      <c r="K54" s="80">
        <f>'MDS Epi'!K6</f>
        <v>15312.374205114371</v>
      </c>
      <c r="L54" s="80">
        <f>'MDS Epi'!L6</f>
        <v>15496.375168208371</v>
      </c>
      <c r="M54" s="80">
        <f>'MDS Epi'!M6</f>
        <v>15689.551532527992</v>
      </c>
      <c r="N54" s="80">
        <f>'MDS Epi'!N6</f>
        <v>15892.383909727763</v>
      </c>
      <c r="O54" s="80">
        <f>'MDS Epi'!O6</f>
        <v>16105.061313249633</v>
      </c>
      <c r="P54" s="80">
        <f>'MDS Epi'!P6</f>
        <v>16328.122339933914</v>
      </c>
      <c r="Q54" s="80">
        <f>'MDS Epi'!Q6</f>
        <v>16562.138147255573</v>
      </c>
      <c r="R54" s="80">
        <f>'MDS Epi'!R6</f>
        <v>16807.714484185999</v>
      </c>
      <c r="S54" s="80">
        <f>'MDS Epi'!S6</f>
        <v>17065.493850339106</v>
      </c>
      <c r="T54" s="80">
        <f>'MDS Epi'!T6</f>
        <v>17336.15779154317</v>
      </c>
      <c r="U54" s="80">
        <f>'MDS Epi'!U6</f>
        <v>17620.42934049762</v>
      </c>
      <c r="V54" s="80">
        <f>'MDS Epi'!V6</f>
        <v>17919.075611724336</v>
      </c>
    </row>
    <row r="55" spans="2:22">
      <c r="B55" s="401" t="s">
        <v>325</v>
      </c>
      <c r="C55" s="80">
        <f>C54*0.327</f>
        <v>4467.3327360000003</v>
      </c>
      <c r="D55" s="80">
        <f t="shared" ref="D55:V55" si="34">D54*0.327</f>
        <v>4542.0349252669357</v>
      </c>
      <c r="E55" s="80">
        <f t="shared" si="34"/>
        <v>4616.7592386770084</v>
      </c>
      <c r="F55" s="80">
        <f t="shared" si="34"/>
        <v>4691.5089353515596</v>
      </c>
      <c r="G55" s="80">
        <f t="shared" si="34"/>
        <v>4766.2872098192784</v>
      </c>
      <c r="H55" s="80">
        <f t="shared" si="34"/>
        <v>4827.035958468693</v>
      </c>
      <c r="I55" s="80">
        <f t="shared" si="34"/>
        <v>4886.9708516135388</v>
      </c>
      <c r="J55" s="80">
        <f t="shared" si="34"/>
        <v>4946.9816118726458</v>
      </c>
      <c r="K55" s="80">
        <f t="shared" si="34"/>
        <v>5007.146365072399</v>
      </c>
      <c r="L55" s="80">
        <f t="shared" si="34"/>
        <v>5067.3146800041377</v>
      </c>
      <c r="M55" s="80">
        <f t="shared" si="34"/>
        <v>5130.4833511366533</v>
      </c>
      <c r="N55" s="80">
        <f t="shared" si="34"/>
        <v>5196.8095384809785</v>
      </c>
      <c r="O55" s="80">
        <f t="shared" si="34"/>
        <v>5266.35504943263</v>
      </c>
      <c r="P55" s="80">
        <f t="shared" si="34"/>
        <v>5339.2960051583905</v>
      </c>
      <c r="Q55" s="80">
        <f t="shared" si="34"/>
        <v>5415.8191741525725</v>
      </c>
      <c r="R55" s="80">
        <f t="shared" si="34"/>
        <v>5496.1226363288215</v>
      </c>
      <c r="S55" s="80">
        <f t="shared" si="34"/>
        <v>5580.4164890608881</v>
      </c>
      <c r="T55" s="80">
        <f t="shared" si="34"/>
        <v>5668.9235978346169</v>
      </c>
      <c r="U55" s="80">
        <f t="shared" si="34"/>
        <v>5761.880394342722</v>
      </c>
      <c r="V55" s="80">
        <f t="shared" si="34"/>
        <v>5859.5377250338579</v>
      </c>
    </row>
    <row r="56" spans="2:22">
      <c r="B56" s="393" t="s">
        <v>329</v>
      </c>
      <c r="C56" s="5">
        <f>C55*0.75</f>
        <v>3350.4995520000002</v>
      </c>
      <c r="D56" s="5">
        <f t="shared" ref="D56:V56" si="35">D55*0.75</f>
        <v>3406.5261939502016</v>
      </c>
      <c r="E56" s="5">
        <f t="shared" si="35"/>
        <v>3462.5694290077563</v>
      </c>
      <c r="F56" s="5">
        <f t="shared" si="35"/>
        <v>3518.6317015136697</v>
      </c>
      <c r="G56" s="5">
        <f t="shared" si="35"/>
        <v>3574.7154073644588</v>
      </c>
      <c r="H56" s="5">
        <f t="shared" si="35"/>
        <v>3620.27696885152</v>
      </c>
      <c r="I56" s="5">
        <f t="shared" si="35"/>
        <v>3665.2281387101539</v>
      </c>
      <c r="J56" s="5">
        <f t="shared" si="35"/>
        <v>3710.2362089044846</v>
      </c>
      <c r="K56" s="5">
        <f t="shared" si="35"/>
        <v>3755.359773804299</v>
      </c>
      <c r="L56" s="5">
        <f t="shared" si="35"/>
        <v>3800.4860100031033</v>
      </c>
      <c r="M56" s="5">
        <f t="shared" si="35"/>
        <v>3847.8625133524902</v>
      </c>
      <c r="N56" s="5">
        <f t="shared" si="35"/>
        <v>3897.6071538607339</v>
      </c>
      <c r="O56" s="5">
        <f t="shared" si="35"/>
        <v>3949.7662870744725</v>
      </c>
      <c r="P56" s="5">
        <f t="shared" si="35"/>
        <v>4004.4720038687929</v>
      </c>
      <c r="Q56" s="5">
        <f t="shared" si="35"/>
        <v>4061.8643806144291</v>
      </c>
      <c r="R56" s="5">
        <f t="shared" si="35"/>
        <v>4122.0919772466159</v>
      </c>
      <c r="S56" s="5">
        <f t="shared" si="35"/>
        <v>4185.3123667956661</v>
      </c>
      <c r="T56" s="5">
        <f t="shared" si="35"/>
        <v>4251.6926983759622</v>
      </c>
      <c r="U56" s="5">
        <f t="shared" si="35"/>
        <v>4321.4102957570412</v>
      </c>
      <c r="V56" s="5">
        <f t="shared" si="35"/>
        <v>4394.6532937753936</v>
      </c>
    </row>
    <row r="57" spans="2:22">
      <c r="B57" s="394" t="s">
        <v>327</v>
      </c>
      <c r="C57" s="5">
        <f>C56*0.85</f>
        <v>2847.9246192000001</v>
      </c>
      <c r="D57" s="5">
        <f t="shared" ref="D57:V57" si="36">D56*0.85</f>
        <v>2895.5472648576711</v>
      </c>
      <c r="E57" s="5">
        <f t="shared" si="36"/>
        <v>2943.1840146565928</v>
      </c>
      <c r="F57" s="5">
        <f t="shared" si="36"/>
        <v>2990.836946286619</v>
      </c>
      <c r="G57" s="5">
        <f t="shared" si="36"/>
        <v>3038.5080962597899</v>
      </c>
      <c r="H57" s="5">
        <f t="shared" si="36"/>
        <v>3077.2354235237917</v>
      </c>
      <c r="I57" s="5">
        <f t="shared" si="36"/>
        <v>3115.4439179036308</v>
      </c>
      <c r="J57" s="5">
        <f t="shared" si="36"/>
        <v>3153.7007775688116</v>
      </c>
      <c r="K57" s="5">
        <f t="shared" si="36"/>
        <v>3192.0558077336541</v>
      </c>
      <c r="L57" s="5">
        <f t="shared" si="36"/>
        <v>3230.4131085026379</v>
      </c>
      <c r="M57" s="5">
        <f t="shared" si="36"/>
        <v>3270.6831363496167</v>
      </c>
      <c r="N57" s="5">
        <f t="shared" si="36"/>
        <v>3312.9660807816235</v>
      </c>
      <c r="O57" s="5">
        <f t="shared" si="36"/>
        <v>3357.3013440133018</v>
      </c>
      <c r="P57" s="5">
        <f t="shared" si="36"/>
        <v>3403.801203288474</v>
      </c>
      <c r="Q57" s="5">
        <f t="shared" si="36"/>
        <v>3452.5847235222645</v>
      </c>
      <c r="R57" s="5">
        <f t="shared" si="36"/>
        <v>3503.7781806596236</v>
      </c>
      <c r="S57" s="5">
        <f t="shared" si="36"/>
        <v>3557.5155117763161</v>
      </c>
      <c r="T57" s="5">
        <f t="shared" si="36"/>
        <v>3613.9387936195676</v>
      </c>
      <c r="U57" s="5">
        <f t="shared" si="36"/>
        <v>3673.1987513934851</v>
      </c>
      <c r="V57" s="5">
        <f t="shared" si="36"/>
        <v>3735.4552997090846</v>
      </c>
    </row>
    <row r="58" spans="2:22">
      <c r="B58" s="395" t="s">
        <v>106</v>
      </c>
      <c r="C58" s="5">
        <f t="shared" ref="C58:V58" si="37">C57*0.5</f>
        <v>1423.9623096</v>
      </c>
      <c r="D58" s="5">
        <f t="shared" si="37"/>
        <v>1447.7736324288355</v>
      </c>
      <c r="E58" s="5">
        <f t="shared" si="37"/>
        <v>1471.5920073282964</v>
      </c>
      <c r="F58" s="5">
        <f t="shared" si="37"/>
        <v>1495.4184731433095</v>
      </c>
      <c r="G58" s="5">
        <f t="shared" si="37"/>
        <v>1519.254048129895</v>
      </c>
      <c r="H58" s="5">
        <f t="shared" si="37"/>
        <v>1538.6177117618959</v>
      </c>
      <c r="I58" s="5">
        <f t="shared" si="37"/>
        <v>1557.7219589518154</v>
      </c>
      <c r="J58" s="5">
        <f t="shared" si="37"/>
        <v>1576.8503887844058</v>
      </c>
      <c r="K58" s="5">
        <f t="shared" si="37"/>
        <v>1596.027903866827</v>
      </c>
      <c r="L58" s="5">
        <f t="shared" si="37"/>
        <v>1615.2065542513189</v>
      </c>
      <c r="M58" s="5">
        <f t="shared" si="37"/>
        <v>1635.3415681748083</v>
      </c>
      <c r="N58" s="5">
        <f t="shared" si="37"/>
        <v>1656.4830403908118</v>
      </c>
      <c r="O58" s="5">
        <f t="shared" si="37"/>
        <v>1678.6506720066509</v>
      </c>
      <c r="P58" s="5">
        <f t="shared" si="37"/>
        <v>1701.900601644237</v>
      </c>
      <c r="Q58" s="5">
        <f t="shared" si="37"/>
        <v>1726.2923617611323</v>
      </c>
      <c r="R58" s="5">
        <f t="shared" si="37"/>
        <v>1751.8890903298118</v>
      </c>
      <c r="S58" s="5">
        <f t="shared" si="37"/>
        <v>1778.757755888158</v>
      </c>
      <c r="T58" s="5">
        <f t="shared" si="37"/>
        <v>1806.9693968097838</v>
      </c>
      <c r="U58" s="5">
        <f t="shared" si="37"/>
        <v>1836.5993756967425</v>
      </c>
      <c r="V58" s="5">
        <f t="shared" si="37"/>
        <v>1867.7276498545423</v>
      </c>
    </row>
    <row r="59" spans="2:22">
      <c r="B59" s="395" t="s">
        <v>107</v>
      </c>
      <c r="C59" s="5">
        <f>C57*0.5</f>
        <v>1423.9623096</v>
      </c>
      <c r="D59" s="5">
        <f t="shared" ref="D59:V59" si="38">D57*0.5</f>
        <v>1447.7736324288355</v>
      </c>
      <c r="E59" s="5">
        <f t="shared" si="38"/>
        <v>1471.5920073282964</v>
      </c>
      <c r="F59" s="5">
        <f t="shared" si="38"/>
        <v>1495.4184731433095</v>
      </c>
      <c r="G59" s="5">
        <f t="shared" si="38"/>
        <v>1519.254048129895</v>
      </c>
      <c r="H59" s="5">
        <f t="shared" si="38"/>
        <v>1538.6177117618959</v>
      </c>
      <c r="I59" s="5">
        <f t="shared" si="38"/>
        <v>1557.7219589518154</v>
      </c>
      <c r="J59" s="5">
        <f t="shared" si="38"/>
        <v>1576.8503887844058</v>
      </c>
      <c r="K59" s="5">
        <f t="shared" si="38"/>
        <v>1596.027903866827</v>
      </c>
      <c r="L59" s="5">
        <f t="shared" si="38"/>
        <v>1615.2065542513189</v>
      </c>
      <c r="M59" s="5">
        <f t="shared" si="38"/>
        <v>1635.3415681748083</v>
      </c>
      <c r="N59" s="5">
        <f t="shared" si="38"/>
        <v>1656.4830403908118</v>
      </c>
      <c r="O59" s="5">
        <f t="shared" si="38"/>
        <v>1678.6506720066509</v>
      </c>
      <c r="P59" s="5">
        <f t="shared" si="38"/>
        <v>1701.900601644237</v>
      </c>
      <c r="Q59" s="5">
        <f t="shared" si="38"/>
        <v>1726.2923617611323</v>
      </c>
      <c r="R59" s="5">
        <f t="shared" si="38"/>
        <v>1751.8890903298118</v>
      </c>
      <c r="S59" s="5">
        <f t="shared" si="38"/>
        <v>1778.757755888158</v>
      </c>
      <c r="T59" s="5">
        <f t="shared" si="38"/>
        <v>1806.9693968097838</v>
      </c>
      <c r="U59" s="5">
        <f t="shared" si="38"/>
        <v>1836.5993756967425</v>
      </c>
      <c r="V59" s="5">
        <f t="shared" si="38"/>
        <v>1867.7276498545423</v>
      </c>
    </row>
    <row r="60" spans="2:22">
      <c r="B60" s="81" t="s">
        <v>108</v>
      </c>
      <c r="C60" s="81"/>
      <c r="D60" s="81"/>
      <c r="E60" s="81"/>
      <c r="F60" s="81"/>
      <c r="G60" s="81"/>
      <c r="H60" s="81"/>
      <c r="I60" s="81"/>
      <c r="J60" s="408"/>
      <c r="K60" s="408">
        <v>0.02</v>
      </c>
      <c r="L60" s="408">
        <v>0.08</v>
      </c>
      <c r="M60" s="408">
        <v>0.16</v>
      </c>
      <c r="N60" s="408">
        <v>0.22</v>
      </c>
      <c r="O60" s="408">
        <v>0.28000000000000003</v>
      </c>
      <c r="P60" s="408">
        <v>0.32</v>
      </c>
      <c r="Q60" s="408">
        <v>0.35</v>
      </c>
      <c r="R60" s="408">
        <v>0.38</v>
      </c>
      <c r="S60" s="408">
        <v>0.41</v>
      </c>
      <c r="T60" s="408">
        <v>0.44</v>
      </c>
      <c r="U60" s="408">
        <v>0.47</v>
      </c>
      <c r="V60" s="408">
        <v>0.48</v>
      </c>
    </row>
    <row r="61" spans="2:22">
      <c r="B61" s="81" t="s">
        <v>109</v>
      </c>
      <c r="C61" s="81"/>
      <c r="D61" s="81"/>
      <c r="E61" s="81"/>
      <c r="F61" s="81"/>
      <c r="G61" s="81"/>
      <c r="H61" s="81"/>
      <c r="I61" s="81"/>
      <c r="J61" s="408"/>
      <c r="K61" s="408">
        <v>0.04</v>
      </c>
      <c r="L61" s="408">
        <v>0.1</v>
      </c>
      <c r="M61" s="408">
        <v>0.25</v>
      </c>
      <c r="N61" s="408">
        <v>0.35</v>
      </c>
      <c r="O61" s="408">
        <v>0.45</v>
      </c>
      <c r="P61" s="408">
        <v>0.55000000000000004</v>
      </c>
      <c r="Q61" s="408">
        <v>0.6</v>
      </c>
      <c r="R61" s="408">
        <v>0.63</v>
      </c>
      <c r="S61" s="408">
        <v>0.65</v>
      </c>
      <c r="T61" s="408">
        <v>0.66</v>
      </c>
      <c r="U61" s="408">
        <v>0.67</v>
      </c>
      <c r="V61" s="408">
        <v>0.68</v>
      </c>
    </row>
    <row r="62" spans="2:22">
      <c r="B62" s="165" t="s">
        <v>110</v>
      </c>
      <c r="C62" s="5">
        <f t="shared" ref="C62:V62" si="39">C60*C58</f>
        <v>0</v>
      </c>
      <c r="D62" s="5">
        <f t="shared" si="39"/>
        <v>0</v>
      </c>
      <c r="E62" s="5">
        <f t="shared" si="39"/>
        <v>0</v>
      </c>
      <c r="F62" s="5">
        <f t="shared" si="39"/>
        <v>0</v>
      </c>
      <c r="G62" s="5">
        <f t="shared" si="39"/>
        <v>0</v>
      </c>
      <c r="H62" s="5">
        <f t="shared" si="39"/>
        <v>0</v>
      </c>
      <c r="I62" s="5">
        <f t="shared" si="39"/>
        <v>0</v>
      </c>
      <c r="J62" s="5">
        <f t="shared" si="39"/>
        <v>0</v>
      </c>
      <c r="K62" s="5">
        <f t="shared" si="39"/>
        <v>31.92055807733654</v>
      </c>
      <c r="L62" s="5">
        <f t="shared" si="39"/>
        <v>129.21652434010551</v>
      </c>
      <c r="M62" s="5">
        <f t="shared" si="39"/>
        <v>261.65465090796931</v>
      </c>
      <c r="N62" s="5">
        <f t="shared" si="39"/>
        <v>364.42626888597857</v>
      </c>
      <c r="O62" s="5">
        <f t="shared" si="39"/>
        <v>470.02218816186229</v>
      </c>
      <c r="P62" s="5">
        <f t="shared" si="39"/>
        <v>544.60819252615579</v>
      </c>
      <c r="Q62" s="5">
        <f t="shared" si="39"/>
        <v>604.20232661639625</v>
      </c>
      <c r="R62" s="5">
        <f t="shared" si="39"/>
        <v>665.71785432532852</v>
      </c>
      <c r="S62" s="5">
        <f t="shared" si="39"/>
        <v>729.29067991414479</v>
      </c>
      <c r="T62" s="5">
        <f t="shared" si="39"/>
        <v>795.0665345963049</v>
      </c>
      <c r="U62" s="5">
        <f t="shared" si="39"/>
        <v>863.20170657746894</v>
      </c>
      <c r="V62" s="5">
        <f t="shared" si="39"/>
        <v>896.50927193018026</v>
      </c>
    </row>
    <row r="63" spans="2:22">
      <c r="B63" s="165" t="s">
        <v>111</v>
      </c>
      <c r="C63" s="5">
        <f t="shared" ref="C63:V63" si="40">C61*C59</f>
        <v>0</v>
      </c>
      <c r="D63" s="5">
        <f t="shared" si="40"/>
        <v>0</v>
      </c>
      <c r="E63" s="5">
        <f t="shared" si="40"/>
        <v>0</v>
      </c>
      <c r="F63" s="5">
        <f t="shared" si="40"/>
        <v>0</v>
      </c>
      <c r="G63" s="5">
        <f t="shared" si="40"/>
        <v>0</v>
      </c>
      <c r="H63" s="5">
        <f t="shared" si="40"/>
        <v>0</v>
      </c>
      <c r="I63" s="5">
        <f t="shared" si="40"/>
        <v>0</v>
      </c>
      <c r="J63" s="5">
        <f t="shared" si="40"/>
        <v>0</v>
      </c>
      <c r="K63" s="5">
        <f t="shared" si="40"/>
        <v>63.841116154673081</v>
      </c>
      <c r="L63" s="5">
        <f t="shared" si="40"/>
        <v>161.52065542513191</v>
      </c>
      <c r="M63" s="5">
        <f t="shared" si="40"/>
        <v>408.83539204370209</v>
      </c>
      <c r="N63" s="5">
        <f t="shared" si="40"/>
        <v>579.7690641367841</v>
      </c>
      <c r="O63" s="5">
        <f t="shared" si="40"/>
        <v>755.39280240299297</v>
      </c>
      <c r="P63" s="5">
        <f t="shared" si="40"/>
        <v>936.0453309043304</v>
      </c>
      <c r="Q63" s="5">
        <f t="shared" si="40"/>
        <v>1035.7754170566793</v>
      </c>
      <c r="R63" s="5">
        <f t="shared" si="40"/>
        <v>1103.6901269077814</v>
      </c>
      <c r="S63" s="5">
        <f t="shared" si="40"/>
        <v>1156.1925413273027</v>
      </c>
      <c r="T63" s="5">
        <f t="shared" si="40"/>
        <v>1192.5998018944574</v>
      </c>
      <c r="U63" s="5">
        <f t="shared" si="40"/>
        <v>1230.5215817168175</v>
      </c>
      <c r="V63" s="5">
        <f t="shared" si="40"/>
        <v>1270.0548019010889</v>
      </c>
    </row>
    <row r="65" spans="2:22">
      <c r="B65" s="165" t="s">
        <v>37</v>
      </c>
      <c r="J65" s="396"/>
      <c r="K65" s="396">
        <f>K44</f>
        <v>105000</v>
      </c>
      <c r="L65" s="53">
        <f t="shared" ref="L65:V65" si="41">K65*(1+L66)</f>
        <v>105000</v>
      </c>
      <c r="M65" s="53">
        <f t="shared" si="41"/>
        <v>105000</v>
      </c>
      <c r="N65" s="53">
        <f t="shared" si="41"/>
        <v>105000</v>
      </c>
      <c r="O65" s="53">
        <f t="shared" si="41"/>
        <v>105000</v>
      </c>
      <c r="P65" s="53">
        <f t="shared" si="41"/>
        <v>105000</v>
      </c>
      <c r="Q65" s="53">
        <f t="shared" si="41"/>
        <v>105000</v>
      </c>
      <c r="R65" s="53">
        <f t="shared" si="41"/>
        <v>105000</v>
      </c>
      <c r="S65" s="53">
        <f t="shared" si="41"/>
        <v>105000</v>
      </c>
      <c r="T65" s="53">
        <f t="shared" si="41"/>
        <v>105000</v>
      </c>
      <c r="U65" s="53">
        <f t="shared" si="41"/>
        <v>105000</v>
      </c>
      <c r="V65" s="53">
        <f t="shared" si="41"/>
        <v>105000</v>
      </c>
    </row>
    <row r="66" spans="2:22">
      <c r="B66" s="165" t="s">
        <v>213</v>
      </c>
      <c r="J66" s="52"/>
      <c r="K66" s="397">
        <v>0</v>
      </c>
      <c r="L66" s="56">
        <f>K66</f>
        <v>0</v>
      </c>
      <c r="M66" s="56">
        <f t="shared" ref="M66:V66" si="42">L66</f>
        <v>0</v>
      </c>
      <c r="N66" s="56">
        <f t="shared" si="42"/>
        <v>0</v>
      </c>
      <c r="O66" s="56">
        <f t="shared" si="42"/>
        <v>0</v>
      </c>
      <c r="P66" s="56">
        <f t="shared" si="42"/>
        <v>0</v>
      </c>
      <c r="Q66" s="56">
        <f t="shared" si="42"/>
        <v>0</v>
      </c>
      <c r="R66" s="56">
        <f t="shared" si="42"/>
        <v>0</v>
      </c>
      <c r="S66" s="56">
        <f t="shared" si="42"/>
        <v>0</v>
      </c>
      <c r="T66" s="56">
        <f t="shared" si="42"/>
        <v>0</v>
      </c>
      <c r="U66" s="56">
        <f t="shared" si="42"/>
        <v>0</v>
      </c>
      <c r="V66" s="56">
        <f t="shared" si="42"/>
        <v>0</v>
      </c>
    </row>
    <row r="68" spans="2:22">
      <c r="B68" s="165" t="s">
        <v>112</v>
      </c>
      <c r="C68" s="82">
        <f t="shared" ref="C68:V68" si="43">C65*C62</f>
        <v>0</v>
      </c>
      <c r="D68" s="82">
        <f t="shared" si="43"/>
        <v>0</v>
      </c>
      <c r="E68" s="82">
        <f t="shared" si="43"/>
        <v>0</v>
      </c>
      <c r="F68" s="82">
        <f t="shared" si="43"/>
        <v>0</v>
      </c>
      <c r="G68" s="82">
        <f t="shared" si="43"/>
        <v>0</v>
      </c>
      <c r="H68" s="82">
        <f t="shared" si="43"/>
        <v>0</v>
      </c>
      <c r="I68" s="82">
        <f t="shared" si="43"/>
        <v>0</v>
      </c>
      <c r="J68" s="82">
        <f t="shared" si="43"/>
        <v>0</v>
      </c>
      <c r="K68" s="82">
        <f t="shared" si="43"/>
        <v>3351658.5981203369</v>
      </c>
      <c r="L68" s="82">
        <f t="shared" si="43"/>
        <v>13567735.055711078</v>
      </c>
      <c r="M68" s="82">
        <f t="shared" si="43"/>
        <v>27473738.345336776</v>
      </c>
      <c r="N68" s="82">
        <f t="shared" si="43"/>
        <v>38264758.233027749</v>
      </c>
      <c r="O68" s="82">
        <f t="shared" si="43"/>
        <v>49352329.756995544</v>
      </c>
      <c r="P68" s="82">
        <f t="shared" si="43"/>
        <v>57183860.215246357</v>
      </c>
      <c r="Q68" s="82">
        <f t="shared" si="43"/>
        <v>63441244.294721603</v>
      </c>
      <c r="R68" s="82">
        <f t="shared" si="43"/>
        <v>69900374.704159498</v>
      </c>
      <c r="S68" s="82">
        <f t="shared" si="43"/>
        <v>76575521.390985206</v>
      </c>
      <c r="T68" s="82">
        <f t="shared" si="43"/>
        <v>83481986.13261202</v>
      </c>
      <c r="U68" s="82">
        <f t="shared" si="43"/>
        <v>90636179.190634236</v>
      </c>
      <c r="V68" s="82">
        <f t="shared" si="43"/>
        <v>94133473.552668929</v>
      </c>
    </row>
    <row r="69" spans="2:22">
      <c r="B69" s="165" t="s">
        <v>113</v>
      </c>
      <c r="C69" s="82">
        <f t="shared" ref="C69:V69" si="44">C65*C63</f>
        <v>0</v>
      </c>
      <c r="D69" s="82">
        <f t="shared" si="44"/>
        <v>0</v>
      </c>
      <c r="E69" s="82">
        <f t="shared" si="44"/>
        <v>0</v>
      </c>
      <c r="F69" s="82">
        <f t="shared" si="44"/>
        <v>0</v>
      </c>
      <c r="G69" s="82">
        <f t="shared" si="44"/>
        <v>0</v>
      </c>
      <c r="H69" s="82">
        <f t="shared" si="44"/>
        <v>0</v>
      </c>
      <c r="I69" s="82">
        <f t="shared" si="44"/>
        <v>0</v>
      </c>
      <c r="J69" s="82">
        <f t="shared" si="44"/>
        <v>0</v>
      </c>
      <c r="K69" s="82">
        <f t="shared" si="44"/>
        <v>6703317.1962406738</v>
      </c>
      <c r="L69" s="82">
        <f t="shared" si="44"/>
        <v>16959668.819638848</v>
      </c>
      <c r="M69" s="82">
        <f t="shared" si="44"/>
        <v>42927716.16458872</v>
      </c>
      <c r="N69" s="82">
        <f t="shared" si="44"/>
        <v>60875751.734362327</v>
      </c>
      <c r="O69" s="82">
        <f t="shared" si="44"/>
        <v>79316244.252314255</v>
      </c>
      <c r="P69" s="82">
        <f t="shared" si="44"/>
        <v>98284759.74495469</v>
      </c>
      <c r="Q69" s="82">
        <f t="shared" si="44"/>
        <v>108756418.79095133</v>
      </c>
      <c r="R69" s="82">
        <f t="shared" si="44"/>
        <v>115887463.32531704</v>
      </c>
      <c r="S69" s="82">
        <f t="shared" si="44"/>
        <v>121400216.83936678</v>
      </c>
      <c r="T69" s="82">
        <f t="shared" si="44"/>
        <v>125222979.19891803</v>
      </c>
      <c r="U69" s="82">
        <f t="shared" si="44"/>
        <v>129204766.08026583</v>
      </c>
      <c r="V69" s="82">
        <f t="shared" si="44"/>
        <v>133355754.19961433</v>
      </c>
    </row>
    <row r="71" spans="2:22">
      <c r="B71" s="334" t="s">
        <v>116</v>
      </c>
      <c r="C71" s="335">
        <f>C68+C69</f>
        <v>0</v>
      </c>
      <c r="D71" s="335">
        <f t="shared" ref="D71:V71" si="45">D68+D69</f>
        <v>0</v>
      </c>
      <c r="E71" s="335">
        <f t="shared" si="45"/>
        <v>0</v>
      </c>
      <c r="F71" s="335">
        <f t="shared" si="45"/>
        <v>0</v>
      </c>
      <c r="G71" s="335">
        <f t="shared" si="45"/>
        <v>0</v>
      </c>
      <c r="H71" s="335">
        <f t="shared" si="45"/>
        <v>0</v>
      </c>
      <c r="I71" s="335">
        <f t="shared" si="45"/>
        <v>0</v>
      </c>
      <c r="J71" s="335">
        <f t="shared" si="45"/>
        <v>0</v>
      </c>
      <c r="K71" s="335">
        <f t="shared" si="45"/>
        <v>10054975.79436101</v>
      </c>
      <c r="L71" s="335">
        <f t="shared" si="45"/>
        <v>30527403.875349924</v>
      </c>
      <c r="M71" s="335">
        <f t="shared" si="45"/>
        <v>70401454.5099255</v>
      </c>
      <c r="N71" s="335">
        <f t="shared" si="45"/>
        <v>99140509.967390075</v>
      </c>
      <c r="O71" s="335">
        <f t="shared" si="45"/>
        <v>128668574.0093098</v>
      </c>
      <c r="P71" s="335">
        <f t="shared" si="45"/>
        <v>155468619.96020105</v>
      </c>
      <c r="Q71" s="335">
        <f t="shared" si="45"/>
        <v>172197663.08567291</v>
      </c>
      <c r="R71" s="335">
        <f t="shared" si="45"/>
        <v>185787838.02947652</v>
      </c>
      <c r="S71" s="335">
        <f t="shared" si="45"/>
        <v>197975738.23035198</v>
      </c>
      <c r="T71" s="335">
        <f t="shared" si="45"/>
        <v>208704965.33153003</v>
      </c>
      <c r="U71" s="335">
        <f t="shared" si="45"/>
        <v>219840945.27090007</v>
      </c>
      <c r="V71" s="336">
        <f t="shared" si="45"/>
        <v>227489227.75228328</v>
      </c>
    </row>
    <row r="73" spans="2:22" ht="6" customHeight="1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</row>
    <row r="75" spans="2:22">
      <c r="B75" s="79" t="s">
        <v>91</v>
      </c>
      <c r="C75" s="80">
        <f>'MDS Epi'!C7</f>
        <v>13093.704</v>
      </c>
      <c r="D75" s="80">
        <f>'MDS Epi'!D7</f>
        <v>13280.43933371242</v>
      </c>
      <c r="E75" s="80">
        <f>'MDS Epi'!E7</f>
        <v>13463.093986298889</v>
      </c>
      <c r="F75" s="80">
        <f>'MDS Epi'!F7</f>
        <v>13641.778683789364</v>
      </c>
      <c r="G75" s="80">
        <f>'MDS Epi'!G7</f>
        <v>13816.390124972148</v>
      </c>
      <c r="H75" s="80">
        <f>'MDS Epi'!H7</f>
        <v>13973.622974837832</v>
      </c>
      <c r="I75" s="80">
        <f>'MDS Epi'!I7</f>
        <v>14136.238682215571</v>
      </c>
      <c r="J75" s="80">
        <f>'MDS Epi'!J7</f>
        <v>14299.080888407454</v>
      </c>
      <c r="K75" s="80">
        <f>'MDS Epi'!K7</f>
        <v>14462.155059023502</v>
      </c>
      <c r="L75" s="80">
        <f>'MDS Epi'!L7</f>
        <v>14625.233039820963</v>
      </c>
      <c r="M75" s="80">
        <f>'MDS Epi'!M7</f>
        <v>14792.728942540105</v>
      </c>
      <c r="N75" s="80">
        <f>'MDS Epi'!N7</f>
        <v>14964.748648016677</v>
      </c>
      <c r="O75" s="80">
        <f>'MDS Epi'!O7</f>
        <v>15141.144263598697</v>
      </c>
      <c r="P75" s="80">
        <f>'MDS Epi'!P7</f>
        <v>15322.015061061091</v>
      </c>
      <c r="Q75" s="80">
        <f>'MDS Epi'!Q7</f>
        <v>15507.462777567151</v>
      </c>
      <c r="R75" s="80">
        <f>'MDS Epi'!R7</f>
        <v>15697.591677450859</v>
      </c>
      <c r="S75" s="80">
        <f>'MDS Epi'!S7</f>
        <v>15892.508615598788</v>
      </c>
      <c r="T75" s="80">
        <f>'MDS Epi'!T7</f>
        <v>16092.323102473363</v>
      </c>
      <c r="U75" s="80">
        <f>'MDS Epi'!U7</f>
        <v>16297.147370820496</v>
      </c>
      <c r="V75" s="80">
        <f>'MDS Epi'!V7</f>
        <v>16507.096444105595</v>
      </c>
    </row>
    <row r="76" spans="2:22">
      <c r="B76" s="401" t="s">
        <v>325</v>
      </c>
      <c r="C76" s="80">
        <f>C75*0.327</f>
        <v>4281.641208</v>
      </c>
      <c r="D76" s="80">
        <f t="shared" ref="D76:V76" si="46">D75*0.327</f>
        <v>4342.7036621239613</v>
      </c>
      <c r="E76" s="80">
        <f t="shared" si="46"/>
        <v>4402.4317335197366</v>
      </c>
      <c r="F76" s="80">
        <f t="shared" si="46"/>
        <v>4460.8616295991224</v>
      </c>
      <c r="G76" s="80">
        <f t="shared" si="46"/>
        <v>4517.9595708658926</v>
      </c>
      <c r="H76" s="80">
        <f t="shared" si="46"/>
        <v>4569.3747127719716</v>
      </c>
      <c r="I76" s="80">
        <f t="shared" si="46"/>
        <v>4622.5500490844915</v>
      </c>
      <c r="J76" s="80">
        <f t="shared" si="46"/>
        <v>4675.7994505092374</v>
      </c>
      <c r="K76" s="80">
        <f t="shared" si="46"/>
        <v>4729.1247043006852</v>
      </c>
      <c r="L76" s="80">
        <f t="shared" si="46"/>
        <v>4782.4512040214549</v>
      </c>
      <c r="M76" s="80">
        <f t="shared" si="46"/>
        <v>4837.2223642106146</v>
      </c>
      <c r="N76" s="80">
        <f t="shared" si="46"/>
        <v>4893.472807901454</v>
      </c>
      <c r="O76" s="80">
        <f t="shared" si="46"/>
        <v>4951.154174196774</v>
      </c>
      <c r="P76" s="80">
        <f t="shared" si="46"/>
        <v>5010.2989249669772</v>
      </c>
      <c r="Q76" s="80">
        <f t="shared" si="46"/>
        <v>5070.940328264458</v>
      </c>
      <c r="R76" s="80">
        <f t="shared" si="46"/>
        <v>5133.112478526431</v>
      </c>
      <c r="S76" s="80">
        <f t="shared" si="46"/>
        <v>5196.8503173008039</v>
      </c>
      <c r="T76" s="80">
        <f t="shared" si="46"/>
        <v>5262.1896545087902</v>
      </c>
      <c r="U76" s="80">
        <f t="shared" si="46"/>
        <v>5329.1671902583021</v>
      </c>
      <c r="V76" s="80">
        <f t="shared" si="46"/>
        <v>5397.8205372225293</v>
      </c>
    </row>
    <row r="77" spans="2:22">
      <c r="B77" s="393" t="s">
        <v>330</v>
      </c>
      <c r="C77" s="5">
        <f>C76*0.75</f>
        <v>3211.2309059999998</v>
      </c>
      <c r="D77" s="5">
        <f t="shared" ref="D77:V77" si="47">D76*0.75</f>
        <v>3257.0277465929712</v>
      </c>
      <c r="E77" s="5">
        <f t="shared" si="47"/>
        <v>3301.8238001398022</v>
      </c>
      <c r="F77" s="5">
        <f t="shared" si="47"/>
        <v>3345.6462221993415</v>
      </c>
      <c r="G77" s="5">
        <f t="shared" si="47"/>
        <v>3388.4696781494195</v>
      </c>
      <c r="H77" s="5">
        <f t="shared" si="47"/>
        <v>3427.0310345789785</v>
      </c>
      <c r="I77" s="5">
        <f t="shared" si="47"/>
        <v>3466.9125368133687</v>
      </c>
      <c r="J77" s="5">
        <f t="shared" si="47"/>
        <v>3506.8495878819281</v>
      </c>
      <c r="K77" s="5">
        <f t="shared" si="47"/>
        <v>3546.8435282255141</v>
      </c>
      <c r="L77" s="5">
        <f t="shared" si="47"/>
        <v>3586.8384030160914</v>
      </c>
      <c r="M77" s="5">
        <f t="shared" si="47"/>
        <v>3627.916773157961</v>
      </c>
      <c r="N77" s="5">
        <f t="shared" si="47"/>
        <v>3670.1046059260907</v>
      </c>
      <c r="O77" s="5">
        <f t="shared" si="47"/>
        <v>3713.3656306475805</v>
      </c>
      <c r="P77" s="5">
        <f t="shared" si="47"/>
        <v>3757.7241937252329</v>
      </c>
      <c r="Q77" s="5">
        <f t="shared" si="47"/>
        <v>3803.2052461983435</v>
      </c>
      <c r="R77" s="5">
        <f t="shared" si="47"/>
        <v>3849.8343588948233</v>
      </c>
      <c r="S77" s="5">
        <f t="shared" si="47"/>
        <v>3897.6377379756032</v>
      </c>
      <c r="T77" s="5">
        <f t="shared" si="47"/>
        <v>3946.6422408815924</v>
      </c>
      <c r="U77" s="5">
        <f t="shared" si="47"/>
        <v>3996.8753926937266</v>
      </c>
      <c r="V77" s="5">
        <f t="shared" si="47"/>
        <v>4048.365402916897</v>
      </c>
    </row>
    <row r="78" spans="2:22">
      <c r="B78" s="394" t="s">
        <v>327</v>
      </c>
      <c r="C78" s="5">
        <f>C77*0.85</f>
        <v>2729.5462700999997</v>
      </c>
      <c r="D78" s="5">
        <f t="shared" ref="D78:V78" si="48">D77*0.85</f>
        <v>2768.4735846040253</v>
      </c>
      <c r="E78" s="5">
        <f t="shared" si="48"/>
        <v>2806.5502301188317</v>
      </c>
      <c r="F78" s="5">
        <f t="shared" si="48"/>
        <v>2843.7992888694403</v>
      </c>
      <c r="G78" s="5">
        <f t="shared" si="48"/>
        <v>2880.1992264270066</v>
      </c>
      <c r="H78" s="5">
        <f t="shared" si="48"/>
        <v>2912.9763793921315</v>
      </c>
      <c r="I78" s="5">
        <f t="shared" si="48"/>
        <v>2946.8756562913632</v>
      </c>
      <c r="J78" s="5">
        <f t="shared" si="48"/>
        <v>2980.8221496996389</v>
      </c>
      <c r="K78" s="5">
        <f t="shared" si="48"/>
        <v>3014.8169989916869</v>
      </c>
      <c r="L78" s="5">
        <f t="shared" si="48"/>
        <v>3048.8126425636779</v>
      </c>
      <c r="M78" s="5">
        <f t="shared" si="48"/>
        <v>3083.7292571842668</v>
      </c>
      <c r="N78" s="5">
        <f t="shared" si="48"/>
        <v>3119.5889150371772</v>
      </c>
      <c r="O78" s="5">
        <f t="shared" si="48"/>
        <v>3156.3607860504435</v>
      </c>
      <c r="P78" s="5">
        <f t="shared" si="48"/>
        <v>3194.0655646664477</v>
      </c>
      <c r="Q78" s="5">
        <f t="shared" si="48"/>
        <v>3232.724459268592</v>
      </c>
      <c r="R78" s="5">
        <f t="shared" si="48"/>
        <v>3272.3592050605998</v>
      </c>
      <c r="S78" s="5">
        <f t="shared" si="48"/>
        <v>3312.9920772792625</v>
      </c>
      <c r="T78" s="5">
        <f t="shared" si="48"/>
        <v>3354.6459047493536</v>
      </c>
      <c r="U78" s="5">
        <f t="shared" si="48"/>
        <v>3397.3440837896674</v>
      </c>
      <c r="V78" s="5">
        <f t="shared" si="48"/>
        <v>3441.1105924793624</v>
      </c>
    </row>
    <row r="79" spans="2:22">
      <c r="B79" s="395" t="s">
        <v>106</v>
      </c>
      <c r="C79" s="5">
        <f t="shared" ref="C79:V79" si="49">C78*0.5</f>
        <v>1364.7731350499998</v>
      </c>
      <c r="D79" s="5">
        <f t="shared" si="49"/>
        <v>1384.2367923020126</v>
      </c>
      <c r="E79" s="5">
        <f t="shared" si="49"/>
        <v>1403.2751150594158</v>
      </c>
      <c r="F79" s="5">
        <f t="shared" si="49"/>
        <v>1421.8996444347201</v>
      </c>
      <c r="G79" s="5">
        <f t="shared" si="49"/>
        <v>1440.0996132135033</v>
      </c>
      <c r="H79" s="5">
        <f t="shared" si="49"/>
        <v>1456.4881896960658</v>
      </c>
      <c r="I79" s="5">
        <f t="shared" si="49"/>
        <v>1473.4378281456816</v>
      </c>
      <c r="J79" s="5">
        <f t="shared" si="49"/>
        <v>1490.4110748498194</v>
      </c>
      <c r="K79" s="5">
        <f t="shared" si="49"/>
        <v>1507.4084994958434</v>
      </c>
      <c r="L79" s="5">
        <f t="shared" si="49"/>
        <v>1524.4063212818389</v>
      </c>
      <c r="M79" s="5">
        <f t="shared" si="49"/>
        <v>1541.8646285921334</v>
      </c>
      <c r="N79" s="5">
        <f t="shared" si="49"/>
        <v>1559.7944575185886</v>
      </c>
      <c r="O79" s="5">
        <f t="shared" si="49"/>
        <v>1578.1803930252217</v>
      </c>
      <c r="P79" s="5">
        <f t="shared" si="49"/>
        <v>1597.0327823332238</v>
      </c>
      <c r="Q79" s="5">
        <f t="shared" si="49"/>
        <v>1616.362229634296</v>
      </c>
      <c r="R79" s="5">
        <f t="shared" si="49"/>
        <v>1636.1796025302999</v>
      </c>
      <c r="S79" s="5">
        <f t="shared" si="49"/>
        <v>1656.4960386396313</v>
      </c>
      <c r="T79" s="5">
        <f t="shared" si="49"/>
        <v>1677.3229523746768</v>
      </c>
      <c r="U79" s="5">
        <f t="shared" si="49"/>
        <v>1698.6720418948337</v>
      </c>
      <c r="V79" s="5">
        <f t="shared" si="49"/>
        <v>1720.5552962396812</v>
      </c>
    </row>
    <row r="80" spans="2:22">
      <c r="B80" s="395" t="s">
        <v>107</v>
      </c>
      <c r="C80" s="5">
        <f>C78*0.5</f>
        <v>1364.7731350499998</v>
      </c>
      <c r="D80" s="5">
        <f t="shared" ref="D80:V80" si="50">D78*0.5</f>
        <v>1384.2367923020126</v>
      </c>
      <c r="E80" s="5">
        <f t="shared" si="50"/>
        <v>1403.2751150594158</v>
      </c>
      <c r="F80" s="5">
        <f t="shared" si="50"/>
        <v>1421.8996444347201</v>
      </c>
      <c r="G80" s="5">
        <f t="shared" si="50"/>
        <v>1440.0996132135033</v>
      </c>
      <c r="H80" s="5">
        <f t="shared" si="50"/>
        <v>1456.4881896960658</v>
      </c>
      <c r="I80" s="5">
        <f t="shared" si="50"/>
        <v>1473.4378281456816</v>
      </c>
      <c r="J80" s="5">
        <f t="shared" si="50"/>
        <v>1490.4110748498194</v>
      </c>
      <c r="K80" s="5">
        <f t="shared" si="50"/>
        <v>1507.4084994958434</v>
      </c>
      <c r="L80" s="5">
        <f t="shared" si="50"/>
        <v>1524.4063212818389</v>
      </c>
      <c r="M80" s="5">
        <f t="shared" si="50"/>
        <v>1541.8646285921334</v>
      </c>
      <c r="N80" s="5">
        <f t="shared" si="50"/>
        <v>1559.7944575185886</v>
      </c>
      <c r="O80" s="5">
        <f t="shared" si="50"/>
        <v>1578.1803930252217</v>
      </c>
      <c r="P80" s="5">
        <f t="shared" si="50"/>
        <v>1597.0327823332238</v>
      </c>
      <c r="Q80" s="5">
        <f t="shared" si="50"/>
        <v>1616.362229634296</v>
      </c>
      <c r="R80" s="5">
        <f t="shared" si="50"/>
        <v>1636.1796025302999</v>
      </c>
      <c r="S80" s="5">
        <f t="shared" si="50"/>
        <v>1656.4960386396313</v>
      </c>
      <c r="T80" s="5">
        <f t="shared" si="50"/>
        <v>1677.3229523746768</v>
      </c>
      <c r="U80" s="5">
        <f t="shared" si="50"/>
        <v>1698.6720418948337</v>
      </c>
      <c r="V80" s="5">
        <f t="shared" si="50"/>
        <v>1720.5552962396812</v>
      </c>
    </row>
    <row r="81" spans="2:22">
      <c r="B81" s="81" t="s">
        <v>108</v>
      </c>
      <c r="C81" s="81"/>
      <c r="D81" s="81"/>
      <c r="E81" s="81"/>
      <c r="F81" s="81"/>
      <c r="G81" s="81"/>
      <c r="H81" s="81"/>
      <c r="I81" s="81"/>
      <c r="J81" s="408"/>
      <c r="K81" s="408">
        <v>0.02</v>
      </c>
      <c r="L81" s="408">
        <v>0.08</v>
      </c>
      <c r="M81" s="408">
        <v>0.16</v>
      </c>
      <c r="N81" s="408">
        <v>0.22</v>
      </c>
      <c r="O81" s="408">
        <v>0.28000000000000003</v>
      </c>
      <c r="P81" s="408">
        <v>0.32</v>
      </c>
      <c r="Q81" s="408">
        <v>0.35</v>
      </c>
      <c r="R81" s="408">
        <v>0.38</v>
      </c>
      <c r="S81" s="408">
        <v>0.41</v>
      </c>
      <c r="T81" s="408">
        <v>0.44</v>
      </c>
      <c r="U81" s="408">
        <v>0.47</v>
      </c>
      <c r="V81" s="408">
        <v>0.48</v>
      </c>
    </row>
    <row r="82" spans="2:22">
      <c r="B82" s="81" t="s">
        <v>109</v>
      </c>
      <c r="C82" s="81"/>
      <c r="D82" s="81"/>
      <c r="E82" s="81"/>
      <c r="F82" s="81"/>
      <c r="G82" s="81"/>
      <c r="H82" s="81"/>
      <c r="I82" s="81"/>
      <c r="J82" s="408"/>
      <c r="K82" s="408">
        <v>0.04</v>
      </c>
      <c r="L82" s="408">
        <v>0.1</v>
      </c>
      <c r="M82" s="408">
        <v>0.25</v>
      </c>
      <c r="N82" s="408">
        <v>0.35</v>
      </c>
      <c r="O82" s="408">
        <v>0.45</v>
      </c>
      <c r="P82" s="408">
        <v>0.55000000000000004</v>
      </c>
      <c r="Q82" s="408">
        <v>0.6</v>
      </c>
      <c r="R82" s="408">
        <v>0.63</v>
      </c>
      <c r="S82" s="408">
        <v>0.65</v>
      </c>
      <c r="T82" s="408">
        <v>0.66</v>
      </c>
      <c r="U82" s="408">
        <v>0.67</v>
      </c>
      <c r="V82" s="408">
        <v>0.68</v>
      </c>
    </row>
    <row r="83" spans="2:22">
      <c r="B83" s="165" t="s">
        <v>110</v>
      </c>
      <c r="C83" s="5">
        <f t="shared" ref="C83:V83" si="51">C81*C79</f>
        <v>0</v>
      </c>
      <c r="D83" s="5">
        <f t="shared" si="51"/>
        <v>0</v>
      </c>
      <c r="E83" s="5">
        <f t="shared" si="51"/>
        <v>0</v>
      </c>
      <c r="F83" s="5">
        <f t="shared" si="51"/>
        <v>0</v>
      </c>
      <c r="G83" s="5">
        <f t="shared" si="51"/>
        <v>0</v>
      </c>
      <c r="H83" s="5">
        <f t="shared" si="51"/>
        <v>0</v>
      </c>
      <c r="I83" s="5">
        <f t="shared" si="51"/>
        <v>0</v>
      </c>
      <c r="J83" s="5">
        <f t="shared" si="51"/>
        <v>0</v>
      </c>
      <c r="K83" s="5">
        <f t="shared" si="51"/>
        <v>30.14816998991687</v>
      </c>
      <c r="L83" s="5">
        <f t="shared" si="51"/>
        <v>121.95250570254711</v>
      </c>
      <c r="M83" s="5">
        <f t="shared" si="51"/>
        <v>246.69834057474134</v>
      </c>
      <c r="N83" s="5">
        <f t="shared" si="51"/>
        <v>343.15478065408951</v>
      </c>
      <c r="O83" s="5">
        <f t="shared" si="51"/>
        <v>441.89051004706215</v>
      </c>
      <c r="P83" s="5">
        <f t="shared" si="51"/>
        <v>511.05049034663165</v>
      </c>
      <c r="Q83" s="5">
        <f t="shared" si="51"/>
        <v>565.72678037200353</v>
      </c>
      <c r="R83" s="5">
        <f t="shared" si="51"/>
        <v>621.74824896151392</v>
      </c>
      <c r="S83" s="5">
        <f t="shared" si="51"/>
        <v>679.1633758422488</v>
      </c>
      <c r="T83" s="5">
        <f t="shared" si="51"/>
        <v>738.02209904485778</v>
      </c>
      <c r="U83" s="5">
        <f t="shared" si="51"/>
        <v>798.37585969057182</v>
      </c>
      <c r="V83" s="5">
        <f t="shared" si="51"/>
        <v>825.86654219504692</v>
      </c>
    </row>
    <row r="84" spans="2:22">
      <c r="B84" s="165" t="s">
        <v>111</v>
      </c>
      <c r="C84" s="5">
        <f t="shared" ref="C84:V84" si="52">C82*C80</f>
        <v>0</v>
      </c>
      <c r="D84" s="5">
        <f t="shared" si="52"/>
        <v>0</v>
      </c>
      <c r="E84" s="5">
        <f t="shared" si="52"/>
        <v>0</v>
      </c>
      <c r="F84" s="5">
        <f t="shared" si="52"/>
        <v>0</v>
      </c>
      <c r="G84" s="5">
        <f t="shared" si="52"/>
        <v>0</v>
      </c>
      <c r="H84" s="5">
        <f t="shared" si="52"/>
        <v>0</v>
      </c>
      <c r="I84" s="5">
        <f t="shared" si="52"/>
        <v>0</v>
      </c>
      <c r="J84" s="5">
        <f t="shared" si="52"/>
        <v>0</v>
      </c>
      <c r="K84" s="5">
        <f t="shared" si="52"/>
        <v>60.296339979833739</v>
      </c>
      <c r="L84" s="5">
        <f t="shared" si="52"/>
        <v>152.44063212818389</v>
      </c>
      <c r="M84" s="5">
        <f t="shared" si="52"/>
        <v>385.46615714803335</v>
      </c>
      <c r="N84" s="5">
        <f t="shared" si="52"/>
        <v>545.92806013150596</v>
      </c>
      <c r="O84" s="5">
        <f t="shared" si="52"/>
        <v>710.18117686134985</v>
      </c>
      <c r="P84" s="5">
        <f t="shared" si="52"/>
        <v>878.36803028327324</v>
      </c>
      <c r="Q84" s="5">
        <f t="shared" si="52"/>
        <v>969.81733778057753</v>
      </c>
      <c r="R84" s="5">
        <f t="shared" si="52"/>
        <v>1030.7931495940888</v>
      </c>
      <c r="S84" s="5">
        <f t="shared" si="52"/>
        <v>1076.7224251157604</v>
      </c>
      <c r="T84" s="5">
        <f t="shared" si="52"/>
        <v>1107.0331485672868</v>
      </c>
      <c r="U84" s="5">
        <f t="shared" si="52"/>
        <v>1138.1102680695387</v>
      </c>
      <c r="V84" s="5">
        <f t="shared" si="52"/>
        <v>1169.9776014429833</v>
      </c>
    </row>
    <row r="86" spans="2:22">
      <c r="B86" s="165" t="s">
        <v>37</v>
      </c>
      <c r="J86" s="396"/>
      <c r="K86" s="396">
        <f>K65</f>
        <v>105000</v>
      </c>
      <c r="L86" s="53">
        <f t="shared" ref="L86:V86" si="53">K86*(1+L87)</f>
        <v>105000</v>
      </c>
      <c r="M86" s="53">
        <f t="shared" si="53"/>
        <v>105000</v>
      </c>
      <c r="N86" s="53">
        <f t="shared" si="53"/>
        <v>105000</v>
      </c>
      <c r="O86" s="53">
        <f t="shared" si="53"/>
        <v>105000</v>
      </c>
      <c r="P86" s="53">
        <f t="shared" si="53"/>
        <v>105000</v>
      </c>
      <c r="Q86" s="53">
        <f t="shared" si="53"/>
        <v>105000</v>
      </c>
      <c r="R86" s="53">
        <f t="shared" si="53"/>
        <v>105000</v>
      </c>
      <c r="S86" s="53">
        <f t="shared" si="53"/>
        <v>105000</v>
      </c>
      <c r="T86" s="53">
        <f t="shared" si="53"/>
        <v>105000</v>
      </c>
      <c r="U86" s="53">
        <f t="shared" si="53"/>
        <v>105000</v>
      </c>
      <c r="V86" s="53">
        <f t="shared" si="53"/>
        <v>105000</v>
      </c>
    </row>
    <row r="87" spans="2:22">
      <c r="B87" s="165" t="s">
        <v>213</v>
      </c>
      <c r="J87" s="52"/>
      <c r="K87" s="397">
        <v>0</v>
      </c>
      <c r="L87" s="56">
        <f>K87</f>
        <v>0</v>
      </c>
      <c r="M87" s="56">
        <f>L87</f>
        <v>0</v>
      </c>
      <c r="N87" s="56">
        <f t="shared" ref="N87:V87" si="54">M87</f>
        <v>0</v>
      </c>
      <c r="O87" s="56">
        <f t="shared" si="54"/>
        <v>0</v>
      </c>
      <c r="P87" s="56">
        <f t="shared" si="54"/>
        <v>0</v>
      </c>
      <c r="Q87" s="56">
        <f t="shared" si="54"/>
        <v>0</v>
      </c>
      <c r="R87" s="56">
        <f t="shared" si="54"/>
        <v>0</v>
      </c>
      <c r="S87" s="56">
        <f t="shared" si="54"/>
        <v>0</v>
      </c>
      <c r="T87" s="56">
        <f t="shared" si="54"/>
        <v>0</v>
      </c>
      <c r="U87" s="56">
        <f t="shared" si="54"/>
        <v>0</v>
      </c>
      <c r="V87" s="56">
        <f t="shared" si="54"/>
        <v>0</v>
      </c>
    </row>
    <row r="89" spans="2:22">
      <c r="B89" s="165" t="s">
        <v>112</v>
      </c>
      <c r="C89" s="82">
        <f t="shared" ref="C89:V89" si="55">C86*C83</f>
        <v>0</v>
      </c>
      <c r="D89" s="82">
        <f t="shared" si="55"/>
        <v>0</v>
      </c>
      <c r="E89" s="82">
        <f t="shared" si="55"/>
        <v>0</v>
      </c>
      <c r="F89" s="82">
        <f t="shared" si="55"/>
        <v>0</v>
      </c>
      <c r="G89" s="82">
        <f t="shared" si="55"/>
        <v>0</v>
      </c>
      <c r="H89" s="82">
        <f t="shared" si="55"/>
        <v>0</v>
      </c>
      <c r="I89" s="82">
        <f t="shared" si="55"/>
        <v>0</v>
      </c>
      <c r="J89" s="82">
        <f t="shared" si="55"/>
        <v>0</v>
      </c>
      <c r="K89" s="82">
        <f t="shared" si="55"/>
        <v>3165557.8489412712</v>
      </c>
      <c r="L89" s="82">
        <f t="shared" si="55"/>
        <v>12805013.098767446</v>
      </c>
      <c r="M89" s="82">
        <f t="shared" si="55"/>
        <v>25903325.760347839</v>
      </c>
      <c r="N89" s="82">
        <f t="shared" si="55"/>
        <v>36031251.968679398</v>
      </c>
      <c r="O89" s="82">
        <f t="shared" si="55"/>
        <v>46398503.554941528</v>
      </c>
      <c r="P89" s="82">
        <f t="shared" si="55"/>
        <v>53660301.48639632</v>
      </c>
      <c r="Q89" s="82">
        <f t="shared" si="55"/>
        <v>59401311.939060368</v>
      </c>
      <c r="R89" s="82">
        <f t="shared" si="55"/>
        <v>65283566.140958965</v>
      </c>
      <c r="S89" s="82">
        <f t="shared" si="55"/>
        <v>71312154.463436127</v>
      </c>
      <c r="T89" s="82">
        <f t="shared" si="55"/>
        <v>77492320.399710074</v>
      </c>
      <c r="U89" s="82">
        <f t="shared" si="55"/>
        <v>83829465.267510042</v>
      </c>
      <c r="V89" s="82">
        <f t="shared" si="55"/>
        <v>86715986.930479929</v>
      </c>
    </row>
    <row r="90" spans="2:22">
      <c r="B90" s="165" t="s">
        <v>113</v>
      </c>
      <c r="C90" s="82">
        <f t="shared" ref="C90:V90" si="56">C86*C84</f>
        <v>0</v>
      </c>
      <c r="D90" s="82">
        <f t="shared" si="56"/>
        <v>0</v>
      </c>
      <c r="E90" s="82">
        <f t="shared" si="56"/>
        <v>0</v>
      </c>
      <c r="F90" s="82">
        <f t="shared" si="56"/>
        <v>0</v>
      </c>
      <c r="G90" s="82">
        <f t="shared" si="56"/>
        <v>0</v>
      </c>
      <c r="H90" s="82">
        <f t="shared" si="56"/>
        <v>0</v>
      </c>
      <c r="I90" s="82">
        <f t="shared" si="56"/>
        <v>0</v>
      </c>
      <c r="J90" s="82">
        <f t="shared" si="56"/>
        <v>0</v>
      </c>
      <c r="K90" s="82">
        <f t="shared" si="56"/>
        <v>6331115.6978825424</v>
      </c>
      <c r="L90" s="82">
        <f t="shared" si="56"/>
        <v>16006266.373459309</v>
      </c>
      <c r="M90" s="82">
        <f t="shared" si="56"/>
        <v>40473946.500543505</v>
      </c>
      <c r="N90" s="82">
        <f t="shared" si="56"/>
        <v>57322446.313808128</v>
      </c>
      <c r="O90" s="82">
        <f t="shared" si="56"/>
        <v>74569023.570441738</v>
      </c>
      <c r="P90" s="82">
        <f t="shared" si="56"/>
        <v>92228643.179743692</v>
      </c>
      <c r="Q90" s="82">
        <f t="shared" si="56"/>
        <v>101830820.46696064</v>
      </c>
      <c r="R90" s="82">
        <f t="shared" si="56"/>
        <v>108233280.70737933</v>
      </c>
      <c r="S90" s="82">
        <f t="shared" si="56"/>
        <v>113055854.63715485</v>
      </c>
      <c r="T90" s="82">
        <f t="shared" si="56"/>
        <v>116238480.59956512</v>
      </c>
      <c r="U90" s="82">
        <f t="shared" si="56"/>
        <v>119501578.14730157</v>
      </c>
      <c r="V90" s="82">
        <f t="shared" si="56"/>
        <v>122847648.15151325</v>
      </c>
    </row>
    <row r="92" spans="2:22">
      <c r="B92" s="334" t="s">
        <v>117</v>
      </c>
      <c r="C92" s="335">
        <f>C89+C90</f>
        <v>0</v>
      </c>
      <c r="D92" s="335">
        <f t="shared" ref="D92:V92" si="57">D89+D90</f>
        <v>0</v>
      </c>
      <c r="E92" s="335">
        <f t="shared" si="57"/>
        <v>0</v>
      </c>
      <c r="F92" s="335">
        <f t="shared" si="57"/>
        <v>0</v>
      </c>
      <c r="G92" s="335">
        <f t="shared" si="57"/>
        <v>0</v>
      </c>
      <c r="H92" s="335">
        <f t="shared" si="57"/>
        <v>0</v>
      </c>
      <c r="I92" s="335">
        <f t="shared" si="57"/>
        <v>0</v>
      </c>
      <c r="J92" s="335">
        <f t="shared" si="57"/>
        <v>0</v>
      </c>
      <c r="K92" s="335">
        <f t="shared" si="57"/>
        <v>9496673.5468238145</v>
      </c>
      <c r="L92" s="335">
        <f t="shared" si="57"/>
        <v>28811279.472226754</v>
      </c>
      <c r="M92" s="335">
        <f t="shared" si="57"/>
        <v>66377272.260891348</v>
      </c>
      <c r="N92" s="335">
        <f t="shared" si="57"/>
        <v>93353698.282487527</v>
      </c>
      <c r="O92" s="335">
        <f t="shared" si="57"/>
        <v>120967527.12538326</v>
      </c>
      <c r="P92" s="335">
        <f t="shared" si="57"/>
        <v>145888944.66614002</v>
      </c>
      <c r="Q92" s="335">
        <f t="shared" si="57"/>
        <v>161232132.406021</v>
      </c>
      <c r="R92" s="335">
        <f t="shared" si="57"/>
        <v>173516846.84833831</v>
      </c>
      <c r="S92" s="335">
        <f t="shared" si="57"/>
        <v>184368009.10059097</v>
      </c>
      <c r="T92" s="335">
        <f t="shared" si="57"/>
        <v>193730800.99927521</v>
      </c>
      <c r="U92" s="335">
        <f t="shared" si="57"/>
        <v>203331043.41481161</v>
      </c>
      <c r="V92" s="336">
        <f t="shared" si="57"/>
        <v>209563635.08199316</v>
      </c>
    </row>
    <row r="94" spans="2:22" ht="6" customHeight="1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</row>
    <row r="96" spans="2:22">
      <c r="B96" s="79" t="s">
        <v>89</v>
      </c>
      <c r="C96" s="80">
        <f>'MDS Epi'!C8</f>
        <v>9967.1040000000012</v>
      </c>
      <c r="D96" s="80">
        <f>'MDS Epi'!D8</f>
        <v>10091.022544885334</v>
      </c>
      <c r="E96" s="80">
        <f>'MDS Epi'!E8</f>
        <v>10211.327470115852</v>
      </c>
      <c r="F96" s="80">
        <f>'MDS Epi'!F8</f>
        <v>10332.597584484585</v>
      </c>
      <c r="G96" s="80">
        <f>'MDS Epi'!G8</f>
        <v>10453.528113456916</v>
      </c>
      <c r="H96" s="80">
        <f>'MDS Epi'!H8</f>
        <v>10594.480170373474</v>
      </c>
      <c r="I96" s="80">
        <f>'MDS Epi'!I8</f>
        <v>10758.551133786879</v>
      </c>
      <c r="J96" s="80">
        <f>'MDS Epi'!J8</f>
        <v>10923.083242632641</v>
      </c>
      <c r="K96" s="80">
        <f>'MDS Epi'!K8</f>
        <v>11087.622377611664</v>
      </c>
      <c r="L96" s="80">
        <f>'MDS Epi'!L8</f>
        <v>11252.405360176366</v>
      </c>
      <c r="M96" s="80">
        <f>'MDS Epi'!M8</f>
        <v>11422.619038899171</v>
      </c>
      <c r="N96" s="80">
        <f>'MDS Epi'!N8</f>
        <v>11598.395463542896</v>
      </c>
      <c r="O96" s="80">
        <f>'MDS Epi'!O8</f>
        <v>11779.73570717244</v>
      </c>
      <c r="P96" s="80">
        <f>'MDS Epi'!P8</f>
        <v>11966.777832492042</v>
      </c>
      <c r="Q96" s="80">
        <f>'MDS Epi'!Q8</f>
        <v>12159.664494130317</v>
      </c>
      <c r="R96" s="80">
        <f>'MDS Epi'!R8</f>
        <v>12358.543066658709</v>
      </c>
      <c r="S96" s="80">
        <f>'MDS Epi'!S8</f>
        <v>12563.565777044527</v>
      </c>
      <c r="T96" s="80">
        <f>'MDS Epi'!T8</f>
        <v>12774.889841665878</v>
      </c>
      <c r="U96" s="80">
        <f>'MDS Epi'!U8</f>
        <v>12992.677608020465</v>
      </c>
      <c r="V96" s="80">
        <f>'MDS Epi'!V8</f>
        <v>13217.096701264791</v>
      </c>
    </row>
    <row r="97" spans="2:22">
      <c r="B97" s="401" t="s">
        <v>325</v>
      </c>
      <c r="C97" s="80">
        <f>C96*0.327</f>
        <v>3259.2430080000004</v>
      </c>
      <c r="D97" s="80">
        <f t="shared" ref="D97:V97" si="58">D96*0.327</f>
        <v>3299.7643721775044</v>
      </c>
      <c r="E97" s="80">
        <f t="shared" si="58"/>
        <v>3339.1040827278835</v>
      </c>
      <c r="F97" s="80">
        <f t="shared" si="58"/>
        <v>3378.7594101264594</v>
      </c>
      <c r="G97" s="80">
        <f t="shared" si="58"/>
        <v>3418.3036931004117</v>
      </c>
      <c r="H97" s="80">
        <f t="shared" si="58"/>
        <v>3464.3950157121262</v>
      </c>
      <c r="I97" s="80">
        <f t="shared" si="58"/>
        <v>3518.0462207483097</v>
      </c>
      <c r="J97" s="80">
        <f t="shared" si="58"/>
        <v>3571.8482203408739</v>
      </c>
      <c r="K97" s="80">
        <f t="shared" si="58"/>
        <v>3625.6525174790145</v>
      </c>
      <c r="L97" s="80">
        <f t="shared" si="58"/>
        <v>3679.5365527776721</v>
      </c>
      <c r="M97" s="80">
        <f t="shared" si="58"/>
        <v>3735.1964257200289</v>
      </c>
      <c r="N97" s="80">
        <f t="shared" si="58"/>
        <v>3792.6753165785271</v>
      </c>
      <c r="O97" s="80">
        <f t="shared" si="58"/>
        <v>3851.9735762453879</v>
      </c>
      <c r="P97" s="80">
        <f t="shared" si="58"/>
        <v>3913.1363512248977</v>
      </c>
      <c r="Q97" s="80">
        <f t="shared" si="58"/>
        <v>3976.2102895806138</v>
      </c>
      <c r="R97" s="80">
        <f t="shared" si="58"/>
        <v>4041.2435827973982</v>
      </c>
      <c r="S97" s="80">
        <f t="shared" si="58"/>
        <v>4108.2860090935601</v>
      </c>
      <c r="T97" s="80">
        <f t="shared" si="58"/>
        <v>4177.3889782247425</v>
      </c>
      <c r="U97" s="80">
        <f t="shared" si="58"/>
        <v>4248.6055778226928</v>
      </c>
      <c r="V97" s="80">
        <f t="shared" si="58"/>
        <v>4321.9906213135864</v>
      </c>
    </row>
    <row r="98" spans="2:22">
      <c r="B98" s="393" t="s">
        <v>331</v>
      </c>
      <c r="C98" s="5">
        <f>C97*0.75</f>
        <v>2444.4322560000001</v>
      </c>
      <c r="D98" s="5">
        <f t="shared" ref="D98:V98" si="59">D97*0.75</f>
        <v>2474.8232791331284</v>
      </c>
      <c r="E98" s="5">
        <f t="shared" si="59"/>
        <v>2504.3280620459127</v>
      </c>
      <c r="F98" s="5">
        <f t="shared" si="59"/>
        <v>2534.0695575948448</v>
      </c>
      <c r="G98" s="5">
        <f t="shared" si="59"/>
        <v>2563.7277698253088</v>
      </c>
      <c r="H98" s="5">
        <f t="shared" si="59"/>
        <v>2598.2962617840949</v>
      </c>
      <c r="I98" s="5">
        <f t="shared" si="59"/>
        <v>2638.534665561232</v>
      </c>
      <c r="J98" s="5">
        <f t="shared" si="59"/>
        <v>2678.8861652556552</v>
      </c>
      <c r="K98" s="5">
        <f t="shared" si="59"/>
        <v>2719.2393881092607</v>
      </c>
      <c r="L98" s="5">
        <f t="shared" si="59"/>
        <v>2759.6524145832541</v>
      </c>
      <c r="M98" s="5">
        <f t="shared" si="59"/>
        <v>2801.3973192900216</v>
      </c>
      <c r="N98" s="5">
        <f t="shared" si="59"/>
        <v>2844.5064874338955</v>
      </c>
      <c r="O98" s="5">
        <f t="shared" si="59"/>
        <v>2888.980182184041</v>
      </c>
      <c r="P98" s="5">
        <f t="shared" si="59"/>
        <v>2934.8522634186734</v>
      </c>
      <c r="Q98" s="5">
        <f t="shared" si="59"/>
        <v>2982.1577171854606</v>
      </c>
      <c r="R98" s="5">
        <f t="shared" si="59"/>
        <v>3030.9326870980485</v>
      </c>
      <c r="S98" s="5">
        <f t="shared" si="59"/>
        <v>3081.2145068201698</v>
      </c>
      <c r="T98" s="5">
        <f t="shared" si="59"/>
        <v>3133.0417336685568</v>
      </c>
      <c r="U98" s="5">
        <f t="shared" si="59"/>
        <v>3186.4541833670196</v>
      </c>
      <c r="V98" s="5">
        <f t="shared" si="59"/>
        <v>3241.4929659851896</v>
      </c>
    </row>
    <row r="99" spans="2:22">
      <c r="B99" s="394" t="s">
        <v>327</v>
      </c>
      <c r="C99" s="5">
        <f>C98*0.85</f>
        <v>2077.7674176</v>
      </c>
      <c r="D99" s="5">
        <f t="shared" ref="D99:V99" si="60">D98*0.85</f>
        <v>2103.5997872631592</v>
      </c>
      <c r="E99" s="5">
        <f t="shared" si="60"/>
        <v>2128.6788527390258</v>
      </c>
      <c r="F99" s="5">
        <f t="shared" si="60"/>
        <v>2153.959123955618</v>
      </c>
      <c r="G99" s="5">
        <f t="shared" si="60"/>
        <v>2179.1686043515124</v>
      </c>
      <c r="H99" s="5">
        <f t="shared" si="60"/>
        <v>2208.5518225164806</v>
      </c>
      <c r="I99" s="5">
        <f t="shared" si="60"/>
        <v>2242.7544657270473</v>
      </c>
      <c r="J99" s="5">
        <f t="shared" si="60"/>
        <v>2277.0532404673068</v>
      </c>
      <c r="K99" s="5">
        <f t="shared" si="60"/>
        <v>2311.3534798928717</v>
      </c>
      <c r="L99" s="5">
        <f t="shared" si="60"/>
        <v>2345.7045523957659</v>
      </c>
      <c r="M99" s="5">
        <f t="shared" si="60"/>
        <v>2381.1877213965186</v>
      </c>
      <c r="N99" s="5">
        <f t="shared" si="60"/>
        <v>2417.8305143188113</v>
      </c>
      <c r="O99" s="5">
        <f t="shared" si="60"/>
        <v>2455.6331548564349</v>
      </c>
      <c r="P99" s="5">
        <f t="shared" si="60"/>
        <v>2494.6244239058724</v>
      </c>
      <c r="Q99" s="5">
        <f t="shared" si="60"/>
        <v>2534.8340596076414</v>
      </c>
      <c r="R99" s="5">
        <f t="shared" si="60"/>
        <v>2576.2927840333414</v>
      </c>
      <c r="S99" s="5">
        <f t="shared" si="60"/>
        <v>2619.0323307971444</v>
      </c>
      <c r="T99" s="5">
        <f t="shared" si="60"/>
        <v>2663.0854736182732</v>
      </c>
      <c r="U99" s="5">
        <f t="shared" si="60"/>
        <v>2708.4860558619666</v>
      </c>
      <c r="V99" s="5">
        <f t="shared" si="60"/>
        <v>2755.2690210874111</v>
      </c>
    </row>
    <row r="100" spans="2:22">
      <c r="B100" s="395" t="s">
        <v>106</v>
      </c>
      <c r="C100" s="5">
        <f t="shared" ref="C100:V100" si="61">C99*0.5</f>
        <v>1038.8837088</v>
      </c>
      <c r="D100" s="5">
        <f t="shared" si="61"/>
        <v>1051.7998936315796</v>
      </c>
      <c r="E100" s="5">
        <f t="shared" si="61"/>
        <v>1064.3394263695129</v>
      </c>
      <c r="F100" s="5">
        <f t="shared" si="61"/>
        <v>1076.979561977809</v>
      </c>
      <c r="G100" s="5">
        <f t="shared" si="61"/>
        <v>1089.5843021757562</v>
      </c>
      <c r="H100" s="5">
        <f t="shared" si="61"/>
        <v>1104.2759112582403</v>
      </c>
      <c r="I100" s="5">
        <f t="shared" si="61"/>
        <v>1121.3772328635237</v>
      </c>
      <c r="J100" s="5">
        <f t="shared" si="61"/>
        <v>1138.5266202336534</v>
      </c>
      <c r="K100" s="5">
        <f t="shared" si="61"/>
        <v>1155.6767399464359</v>
      </c>
      <c r="L100" s="5">
        <f t="shared" si="61"/>
        <v>1172.8522761978829</v>
      </c>
      <c r="M100" s="5">
        <f t="shared" si="61"/>
        <v>1190.5938606982593</v>
      </c>
      <c r="N100" s="5">
        <f t="shared" si="61"/>
        <v>1208.9152571594057</v>
      </c>
      <c r="O100" s="5">
        <f t="shared" si="61"/>
        <v>1227.8165774282174</v>
      </c>
      <c r="P100" s="5">
        <f t="shared" si="61"/>
        <v>1247.3122119529362</v>
      </c>
      <c r="Q100" s="5">
        <f t="shared" si="61"/>
        <v>1267.4170298038207</v>
      </c>
      <c r="R100" s="5">
        <f t="shared" si="61"/>
        <v>1288.1463920166707</v>
      </c>
      <c r="S100" s="5">
        <f t="shared" si="61"/>
        <v>1309.5161653985722</v>
      </c>
      <c r="T100" s="5">
        <f t="shared" si="61"/>
        <v>1331.5427368091366</v>
      </c>
      <c r="U100" s="5">
        <f t="shared" si="61"/>
        <v>1354.2430279309833</v>
      </c>
      <c r="V100" s="5">
        <f t="shared" si="61"/>
        <v>1377.6345105437056</v>
      </c>
    </row>
    <row r="101" spans="2:22">
      <c r="B101" s="395" t="s">
        <v>107</v>
      </c>
      <c r="C101" s="5">
        <f>C99*0.5</f>
        <v>1038.8837088</v>
      </c>
      <c r="D101" s="5">
        <f t="shared" ref="D101:V101" si="62">D99*0.5</f>
        <v>1051.7998936315796</v>
      </c>
      <c r="E101" s="5">
        <f t="shared" si="62"/>
        <v>1064.3394263695129</v>
      </c>
      <c r="F101" s="5">
        <f t="shared" si="62"/>
        <v>1076.979561977809</v>
      </c>
      <c r="G101" s="5">
        <f t="shared" si="62"/>
        <v>1089.5843021757562</v>
      </c>
      <c r="H101" s="5">
        <f t="shared" si="62"/>
        <v>1104.2759112582403</v>
      </c>
      <c r="I101" s="5">
        <f t="shared" si="62"/>
        <v>1121.3772328635237</v>
      </c>
      <c r="J101" s="5">
        <f t="shared" si="62"/>
        <v>1138.5266202336534</v>
      </c>
      <c r="K101" s="5">
        <f t="shared" si="62"/>
        <v>1155.6767399464359</v>
      </c>
      <c r="L101" s="5">
        <f t="shared" si="62"/>
        <v>1172.8522761978829</v>
      </c>
      <c r="M101" s="5">
        <f t="shared" si="62"/>
        <v>1190.5938606982593</v>
      </c>
      <c r="N101" s="5">
        <f t="shared" si="62"/>
        <v>1208.9152571594057</v>
      </c>
      <c r="O101" s="5">
        <f t="shared" si="62"/>
        <v>1227.8165774282174</v>
      </c>
      <c r="P101" s="5">
        <f t="shared" si="62"/>
        <v>1247.3122119529362</v>
      </c>
      <c r="Q101" s="5">
        <f t="shared" si="62"/>
        <v>1267.4170298038207</v>
      </c>
      <c r="R101" s="5">
        <f t="shared" si="62"/>
        <v>1288.1463920166707</v>
      </c>
      <c r="S101" s="5">
        <f t="shared" si="62"/>
        <v>1309.5161653985722</v>
      </c>
      <c r="T101" s="5">
        <f t="shared" si="62"/>
        <v>1331.5427368091366</v>
      </c>
      <c r="U101" s="5">
        <f t="shared" si="62"/>
        <v>1354.2430279309833</v>
      </c>
      <c r="V101" s="5">
        <f t="shared" si="62"/>
        <v>1377.6345105437056</v>
      </c>
    </row>
    <row r="102" spans="2:22">
      <c r="B102" s="81" t="s">
        <v>108</v>
      </c>
      <c r="C102" s="81"/>
      <c r="D102" s="81"/>
      <c r="E102" s="81"/>
      <c r="F102" s="81"/>
      <c r="G102" s="81"/>
      <c r="H102" s="81"/>
      <c r="I102" s="81"/>
      <c r="J102" s="408"/>
      <c r="K102" s="408">
        <v>0.02</v>
      </c>
      <c r="L102" s="408">
        <v>0.08</v>
      </c>
      <c r="M102" s="408">
        <v>0.16</v>
      </c>
      <c r="N102" s="408">
        <v>0.22</v>
      </c>
      <c r="O102" s="408">
        <v>0.28000000000000003</v>
      </c>
      <c r="P102" s="408">
        <v>0.32</v>
      </c>
      <c r="Q102" s="408">
        <v>0.35</v>
      </c>
      <c r="R102" s="408">
        <v>0.38</v>
      </c>
      <c r="S102" s="408">
        <v>0.41</v>
      </c>
      <c r="T102" s="408">
        <v>0.44</v>
      </c>
      <c r="U102" s="408">
        <v>0.47</v>
      </c>
      <c r="V102" s="408">
        <v>0.48</v>
      </c>
    </row>
    <row r="103" spans="2:22">
      <c r="B103" s="81" t="s">
        <v>109</v>
      </c>
      <c r="C103" s="81"/>
      <c r="D103" s="81"/>
      <c r="E103" s="81"/>
      <c r="F103" s="81"/>
      <c r="G103" s="81"/>
      <c r="H103" s="81"/>
      <c r="I103" s="81"/>
      <c r="J103" s="408"/>
      <c r="K103" s="408">
        <v>0.04</v>
      </c>
      <c r="L103" s="408">
        <v>0.1</v>
      </c>
      <c r="M103" s="408">
        <v>0.25</v>
      </c>
      <c r="N103" s="408">
        <v>0.35</v>
      </c>
      <c r="O103" s="408">
        <v>0.45</v>
      </c>
      <c r="P103" s="408">
        <v>0.55000000000000004</v>
      </c>
      <c r="Q103" s="408">
        <v>0.6</v>
      </c>
      <c r="R103" s="408">
        <v>0.63</v>
      </c>
      <c r="S103" s="408">
        <v>0.65</v>
      </c>
      <c r="T103" s="408">
        <v>0.66</v>
      </c>
      <c r="U103" s="408">
        <v>0.67</v>
      </c>
      <c r="V103" s="408">
        <v>0.68</v>
      </c>
    </row>
    <row r="104" spans="2:22">
      <c r="B104" s="165" t="s">
        <v>110</v>
      </c>
      <c r="C104" s="5">
        <f t="shared" ref="C104:V104" si="63">C102*C100</f>
        <v>0</v>
      </c>
      <c r="D104" s="5">
        <f t="shared" si="63"/>
        <v>0</v>
      </c>
      <c r="E104" s="5">
        <f t="shared" si="63"/>
        <v>0</v>
      </c>
      <c r="F104" s="5">
        <f t="shared" si="63"/>
        <v>0</v>
      </c>
      <c r="G104" s="5">
        <f t="shared" si="63"/>
        <v>0</v>
      </c>
      <c r="H104" s="5">
        <f t="shared" si="63"/>
        <v>0</v>
      </c>
      <c r="I104" s="5">
        <f t="shared" si="63"/>
        <v>0</v>
      </c>
      <c r="J104" s="5">
        <f t="shared" si="63"/>
        <v>0</v>
      </c>
      <c r="K104" s="5">
        <f t="shared" si="63"/>
        <v>23.113534798928718</v>
      </c>
      <c r="L104" s="5">
        <f t="shared" si="63"/>
        <v>93.828182095830641</v>
      </c>
      <c r="M104" s="5">
        <f t="shared" si="63"/>
        <v>190.49501771172149</v>
      </c>
      <c r="N104" s="5">
        <f t="shared" si="63"/>
        <v>265.96135657506926</v>
      </c>
      <c r="O104" s="5">
        <f t="shared" si="63"/>
        <v>343.78864167990093</v>
      </c>
      <c r="P104" s="5">
        <f t="shared" si="63"/>
        <v>399.1399078249396</v>
      </c>
      <c r="Q104" s="5">
        <f t="shared" si="63"/>
        <v>443.59596043133723</v>
      </c>
      <c r="R104" s="5">
        <f t="shared" si="63"/>
        <v>489.49562896633489</v>
      </c>
      <c r="S104" s="5">
        <f t="shared" si="63"/>
        <v>536.90162781341451</v>
      </c>
      <c r="T104" s="5">
        <f t="shared" si="63"/>
        <v>585.87880419602016</v>
      </c>
      <c r="U104" s="5">
        <f t="shared" si="63"/>
        <v>636.49422312756212</v>
      </c>
      <c r="V104" s="5">
        <f t="shared" si="63"/>
        <v>661.26456506097861</v>
      </c>
    </row>
    <row r="105" spans="2:22">
      <c r="B105" s="165" t="s">
        <v>111</v>
      </c>
      <c r="C105" s="5">
        <f t="shared" ref="C105:V105" si="64">C103*C101</f>
        <v>0</v>
      </c>
      <c r="D105" s="5">
        <f t="shared" si="64"/>
        <v>0</v>
      </c>
      <c r="E105" s="5">
        <f t="shared" si="64"/>
        <v>0</v>
      </c>
      <c r="F105" s="5">
        <f t="shared" si="64"/>
        <v>0</v>
      </c>
      <c r="G105" s="5">
        <f t="shared" si="64"/>
        <v>0</v>
      </c>
      <c r="H105" s="5">
        <f t="shared" si="64"/>
        <v>0</v>
      </c>
      <c r="I105" s="5">
        <f t="shared" si="64"/>
        <v>0</v>
      </c>
      <c r="J105" s="5">
        <f t="shared" si="64"/>
        <v>0</v>
      </c>
      <c r="K105" s="5">
        <f t="shared" si="64"/>
        <v>46.227069597857437</v>
      </c>
      <c r="L105" s="5">
        <f t="shared" si="64"/>
        <v>117.2852276197883</v>
      </c>
      <c r="M105" s="5">
        <f t="shared" si="64"/>
        <v>297.64846517456482</v>
      </c>
      <c r="N105" s="5">
        <f t="shared" si="64"/>
        <v>423.12034000579195</v>
      </c>
      <c r="O105" s="5">
        <f t="shared" si="64"/>
        <v>552.51745984269792</v>
      </c>
      <c r="P105" s="5">
        <f t="shared" si="64"/>
        <v>686.02171657411498</v>
      </c>
      <c r="Q105" s="5">
        <f t="shared" si="64"/>
        <v>760.45021788229235</v>
      </c>
      <c r="R105" s="5">
        <f t="shared" si="64"/>
        <v>811.53222697050251</v>
      </c>
      <c r="S105" s="5">
        <f t="shared" si="64"/>
        <v>851.18550750907195</v>
      </c>
      <c r="T105" s="5">
        <f t="shared" si="64"/>
        <v>878.81820629403023</v>
      </c>
      <c r="U105" s="5">
        <f t="shared" si="64"/>
        <v>907.34282871375888</v>
      </c>
      <c r="V105" s="5">
        <f t="shared" si="64"/>
        <v>936.79146716971991</v>
      </c>
    </row>
    <row r="107" spans="2:22">
      <c r="B107" s="165" t="s">
        <v>37</v>
      </c>
      <c r="J107" s="396"/>
      <c r="K107" s="396">
        <f>K86</f>
        <v>105000</v>
      </c>
      <c r="L107" s="53">
        <f>K107*(1+L108)</f>
        <v>105000</v>
      </c>
      <c r="M107" s="53">
        <f t="shared" ref="M107:V107" si="65">L107*(1+M108)</f>
        <v>105000</v>
      </c>
      <c r="N107" s="53">
        <f t="shared" si="65"/>
        <v>105000</v>
      </c>
      <c r="O107" s="53">
        <f t="shared" si="65"/>
        <v>105000</v>
      </c>
      <c r="P107" s="53">
        <f t="shared" si="65"/>
        <v>105000</v>
      </c>
      <c r="Q107" s="53">
        <f t="shared" si="65"/>
        <v>105000</v>
      </c>
      <c r="R107" s="53">
        <f t="shared" si="65"/>
        <v>105000</v>
      </c>
      <c r="S107" s="53">
        <f t="shared" si="65"/>
        <v>105000</v>
      </c>
      <c r="T107" s="53">
        <f t="shared" si="65"/>
        <v>105000</v>
      </c>
      <c r="U107" s="53">
        <f t="shared" si="65"/>
        <v>105000</v>
      </c>
      <c r="V107" s="53">
        <f t="shared" si="65"/>
        <v>105000</v>
      </c>
    </row>
    <row r="108" spans="2:22">
      <c r="B108" s="165" t="s">
        <v>213</v>
      </c>
      <c r="J108" s="52"/>
      <c r="K108" s="397">
        <v>0</v>
      </c>
      <c r="L108" s="56">
        <f>K108</f>
        <v>0</v>
      </c>
      <c r="M108" s="56">
        <f>L108</f>
        <v>0</v>
      </c>
      <c r="N108" s="56">
        <f t="shared" ref="N108:V108" si="66">M108</f>
        <v>0</v>
      </c>
      <c r="O108" s="56">
        <f t="shared" si="66"/>
        <v>0</v>
      </c>
      <c r="P108" s="56">
        <f t="shared" si="66"/>
        <v>0</v>
      </c>
      <c r="Q108" s="56">
        <f t="shared" si="66"/>
        <v>0</v>
      </c>
      <c r="R108" s="56">
        <f t="shared" si="66"/>
        <v>0</v>
      </c>
      <c r="S108" s="56">
        <f t="shared" si="66"/>
        <v>0</v>
      </c>
      <c r="T108" s="56">
        <f t="shared" si="66"/>
        <v>0</v>
      </c>
      <c r="U108" s="56">
        <f t="shared" si="66"/>
        <v>0</v>
      </c>
      <c r="V108" s="56">
        <f t="shared" si="66"/>
        <v>0</v>
      </c>
    </row>
    <row r="110" spans="2:22">
      <c r="B110" s="165" t="s">
        <v>112</v>
      </c>
      <c r="C110" s="82">
        <f t="shared" ref="C110:V110" si="67">C107*C104</f>
        <v>0</v>
      </c>
      <c r="D110" s="82">
        <f t="shared" si="67"/>
        <v>0</v>
      </c>
      <c r="E110" s="82">
        <f t="shared" si="67"/>
        <v>0</v>
      </c>
      <c r="F110" s="82">
        <f t="shared" si="67"/>
        <v>0</v>
      </c>
      <c r="G110" s="82">
        <f t="shared" si="67"/>
        <v>0</v>
      </c>
      <c r="H110" s="82">
        <f t="shared" si="67"/>
        <v>0</v>
      </c>
      <c r="I110" s="82">
        <f t="shared" si="67"/>
        <v>0</v>
      </c>
      <c r="J110" s="82">
        <f t="shared" si="67"/>
        <v>0</v>
      </c>
      <c r="K110" s="82">
        <f t="shared" si="67"/>
        <v>2426921.1538875154</v>
      </c>
      <c r="L110" s="82">
        <f t="shared" si="67"/>
        <v>9851959.1200622171</v>
      </c>
      <c r="M110" s="82">
        <f t="shared" si="67"/>
        <v>20001976.859730758</v>
      </c>
      <c r="N110" s="82">
        <f t="shared" si="67"/>
        <v>27925942.440382272</v>
      </c>
      <c r="O110" s="82">
        <f t="shared" si="67"/>
        <v>36097807.3763896</v>
      </c>
      <c r="P110" s="82">
        <f t="shared" si="67"/>
        <v>41909690.321618661</v>
      </c>
      <c r="Q110" s="82">
        <f t="shared" si="67"/>
        <v>46577575.845290408</v>
      </c>
      <c r="R110" s="82">
        <f t="shared" si="67"/>
        <v>51397041.041465163</v>
      </c>
      <c r="S110" s="82">
        <f t="shared" si="67"/>
        <v>56374670.920408525</v>
      </c>
      <c r="T110" s="82">
        <f t="shared" si="67"/>
        <v>61517274.440582119</v>
      </c>
      <c r="U110" s="82">
        <f t="shared" si="67"/>
        <v>66831893.42839402</v>
      </c>
      <c r="V110" s="82">
        <f t="shared" si="67"/>
        <v>69432779.331402749</v>
      </c>
    </row>
    <row r="111" spans="2:22">
      <c r="B111" s="165" t="s">
        <v>113</v>
      </c>
      <c r="C111" s="82">
        <f t="shared" ref="C111:V111" si="68">C107*C105</f>
        <v>0</v>
      </c>
      <c r="D111" s="82">
        <f t="shared" si="68"/>
        <v>0</v>
      </c>
      <c r="E111" s="82">
        <f t="shared" si="68"/>
        <v>0</v>
      </c>
      <c r="F111" s="82">
        <f t="shared" si="68"/>
        <v>0</v>
      </c>
      <c r="G111" s="82">
        <f t="shared" si="68"/>
        <v>0</v>
      </c>
      <c r="H111" s="82">
        <f t="shared" si="68"/>
        <v>0</v>
      </c>
      <c r="I111" s="82">
        <f t="shared" si="68"/>
        <v>0</v>
      </c>
      <c r="J111" s="82">
        <f t="shared" si="68"/>
        <v>0</v>
      </c>
      <c r="K111" s="82">
        <f t="shared" si="68"/>
        <v>4853842.3077750308</v>
      </c>
      <c r="L111" s="82">
        <f t="shared" si="68"/>
        <v>12314948.900077771</v>
      </c>
      <c r="M111" s="82">
        <f t="shared" si="68"/>
        <v>31253088.843329307</v>
      </c>
      <c r="N111" s="82">
        <f t="shared" si="68"/>
        <v>44427635.700608157</v>
      </c>
      <c r="O111" s="82">
        <f t="shared" si="68"/>
        <v>58014333.283483282</v>
      </c>
      <c r="P111" s="82">
        <f t="shared" si="68"/>
        <v>72032280.240282074</v>
      </c>
      <c r="Q111" s="82">
        <f t="shared" si="68"/>
        <v>79847272.877640694</v>
      </c>
      <c r="R111" s="82">
        <f t="shared" si="68"/>
        <v>85210883.831902757</v>
      </c>
      <c r="S111" s="82">
        <f t="shared" si="68"/>
        <v>89374478.288452551</v>
      </c>
      <c r="T111" s="82">
        <f t="shared" si="68"/>
        <v>92275911.660873175</v>
      </c>
      <c r="U111" s="82">
        <f t="shared" si="68"/>
        <v>95270997.014944687</v>
      </c>
      <c r="V111" s="82">
        <f t="shared" si="68"/>
        <v>98363104.052820593</v>
      </c>
    </row>
    <row r="113" spans="2:22">
      <c r="B113" s="334" t="s">
        <v>118</v>
      </c>
      <c r="C113" s="335">
        <f>C110+C111</f>
        <v>0</v>
      </c>
      <c r="D113" s="335">
        <f t="shared" ref="D113:V113" si="69">D110+D111</f>
        <v>0</v>
      </c>
      <c r="E113" s="335">
        <f t="shared" si="69"/>
        <v>0</v>
      </c>
      <c r="F113" s="335">
        <f t="shared" si="69"/>
        <v>0</v>
      </c>
      <c r="G113" s="335">
        <f t="shared" si="69"/>
        <v>0</v>
      </c>
      <c r="H113" s="335">
        <f t="shared" si="69"/>
        <v>0</v>
      </c>
      <c r="I113" s="335">
        <f t="shared" si="69"/>
        <v>0</v>
      </c>
      <c r="J113" s="335">
        <f t="shared" si="69"/>
        <v>0</v>
      </c>
      <c r="K113" s="335">
        <f t="shared" si="69"/>
        <v>7280763.4616625458</v>
      </c>
      <c r="L113" s="335">
        <f t="shared" si="69"/>
        <v>22166908.020139989</v>
      </c>
      <c r="M113" s="335">
        <f t="shared" si="69"/>
        <v>51255065.703060061</v>
      </c>
      <c r="N113" s="335">
        <f t="shared" si="69"/>
        <v>72353578.140990436</v>
      </c>
      <c r="O113" s="335">
        <f t="shared" si="69"/>
        <v>94112140.65987289</v>
      </c>
      <c r="P113" s="335">
        <f t="shared" si="69"/>
        <v>113941970.56190073</v>
      </c>
      <c r="Q113" s="335">
        <f t="shared" si="69"/>
        <v>126424848.7229311</v>
      </c>
      <c r="R113" s="335">
        <f t="shared" si="69"/>
        <v>136607924.87336791</v>
      </c>
      <c r="S113" s="335">
        <f t="shared" si="69"/>
        <v>145749149.20886108</v>
      </c>
      <c r="T113" s="335">
        <f t="shared" si="69"/>
        <v>153793186.1014553</v>
      </c>
      <c r="U113" s="335">
        <f t="shared" si="69"/>
        <v>162102890.44333869</v>
      </c>
      <c r="V113" s="336">
        <f t="shared" si="69"/>
        <v>167795883.38422334</v>
      </c>
    </row>
    <row r="115" spans="2:22" ht="7.5" customHeight="1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</row>
    <row r="117" spans="2:22">
      <c r="B117" s="79" t="s">
        <v>86</v>
      </c>
      <c r="C117" s="80">
        <f>'MDS Epi'!C9</f>
        <v>13531.104000000007</v>
      </c>
      <c r="D117" s="80">
        <f>'MDS Epi'!D9</f>
        <v>13724.612845620768</v>
      </c>
      <c r="E117" s="80">
        <f>'MDS Epi'!E9</f>
        <v>13918.094883880063</v>
      </c>
      <c r="F117" s="80">
        <f>'MDS Epi'!F9</f>
        <v>14111.329841026185</v>
      </c>
      <c r="G117" s="80">
        <f>'MDS Epi'!G9</f>
        <v>14305.870186883929</v>
      </c>
      <c r="H117" s="80">
        <f>'MDS Epi'!H9</f>
        <v>14535.282527692896</v>
      </c>
      <c r="I117" s="80">
        <f>'MDS Epi'!I9</f>
        <v>14763.792445152645</v>
      </c>
      <c r="J117" s="80">
        <f>'MDS Epi'!J9</f>
        <v>14993.203623102372</v>
      </c>
      <c r="K117" s="80">
        <f>'MDS Epi'!K9</f>
        <v>15223.079169041879</v>
      </c>
      <c r="L117" s="80">
        <f>'MDS Epi'!L9</f>
        <v>15453.663177328282</v>
      </c>
      <c r="M117" s="80">
        <f>'MDS Epi'!M9</f>
        <v>15691.01488160299</v>
      </c>
      <c r="N117" s="80">
        <f>'MDS Epi'!N9</f>
        <v>15935.309002439126</v>
      </c>
      <c r="O117" s="80">
        <f>'MDS Epi'!O9</f>
        <v>16186.482150245665</v>
      </c>
      <c r="P117" s="80">
        <f>'MDS Epi'!P9</f>
        <v>16444.709419794592</v>
      </c>
      <c r="Q117" s="80">
        <f>'MDS Epi'!Q9</f>
        <v>16710.171947728079</v>
      </c>
      <c r="R117" s="80">
        <f>'MDS Epi'!R9</f>
        <v>16983.05712694921</v>
      </c>
      <c r="S117" s="80">
        <f>'MDS Epi'!S9</f>
        <v>17263.558829352107</v>
      </c>
      <c r="T117" s="80">
        <f>'MDS Epi'!T9</f>
        <v>17551.877637220314</v>
      </c>
      <c r="U117" s="80">
        <f>'MDS Epi'!U9</f>
        <v>17848.221083635668</v>
      </c>
      <c r="V117" s="80">
        <f>'MDS Epi'!V9</f>
        <v>18152.803902253381</v>
      </c>
    </row>
    <row r="118" spans="2:22">
      <c r="B118" s="401" t="s">
        <v>325</v>
      </c>
      <c r="C118" s="80">
        <f>C117*0.327</f>
        <v>4424.6710080000021</v>
      </c>
      <c r="D118" s="80">
        <f t="shared" ref="D118:V118" si="70">D117*0.327</f>
        <v>4487.9484005179911</v>
      </c>
      <c r="E118" s="80">
        <f t="shared" si="70"/>
        <v>4551.2170270287806</v>
      </c>
      <c r="F118" s="80">
        <f t="shared" si="70"/>
        <v>4614.4048580155622</v>
      </c>
      <c r="G118" s="80">
        <f t="shared" si="70"/>
        <v>4678.0195511110451</v>
      </c>
      <c r="H118" s="80">
        <f t="shared" si="70"/>
        <v>4753.0373865555775</v>
      </c>
      <c r="I118" s="80">
        <f t="shared" si="70"/>
        <v>4827.7601295649156</v>
      </c>
      <c r="J118" s="80">
        <f t="shared" si="70"/>
        <v>4902.7775847544763</v>
      </c>
      <c r="K118" s="80">
        <f t="shared" si="70"/>
        <v>4977.9468882766951</v>
      </c>
      <c r="L118" s="80">
        <f t="shared" si="70"/>
        <v>5053.3478589863489</v>
      </c>
      <c r="M118" s="80">
        <f t="shared" si="70"/>
        <v>5130.9618662841785</v>
      </c>
      <c r="N118" s="80">
        <f t="shared" si="70"/>
        <v>5210.8460437975946</v>
      </c>
      <c r="O118" s="80">
        <f t="shared" si="70"/>
        <v>5292.9796631303325</v>
      </c>
      <c r="P118" s="80">
        <f t="shared" si="70"/>
        <v>5377.4199802728317</v>
      </c>
      <c r="Q118" s="80">
        <f t="shared" si="70"/>
        <v>5464.2262269070816</v>
      </c>
      <c r="R118" s="80">
        <f t="shared" si="70"/>
        <v>5553.459680512392</v>
      </c>
      <c r="S118" s="80">
        <f t="shared" si="70"/>
        <v>5645.1837371981392</v>
      </c>
      <c r="T118" s="80">
        <f t="shared" si="70"/>
        <v>5739.463987371043</v>
      </c>
      <c r="U118" s="80">
        <f t="shared" si="70"/>
        <v>5836.3682943488639</v>
      </c>
      <c r="V118" s="80">
        <f t="shared" si="70"/>
        <v>5935.9668760368559</v>
      </c>
    </row>
    <row r="119" spans="2:22">
      <c r="B119" s="393" t="s">
        <v>332</v>
      </c>
      <c r="C119" s="5">
        <f>C118*0.75</f>
        <v>3318.5032560000018</v>
      </c>
      <c r="D119" s="5">
        <f t="shared" ref="D119:V119" si="71">D118*0.75</f>
        <v>3365.9613003884933</v>
      </c>
      <c r="E119" s="5">
        <f t="shared" si="71"/>
        <v>3413.4127702715855</v>
      </c>
      <c r="F119" s="5">
        <f t="shared" si="71"/>
        <v>3460.8036435116719</v>
      </c>
      <c r="G119" s="5">
        <f t="shared" si="71"/>
        <v>3508.5146633332838</v>
      </c>
      <c r="H119" s="5">
        <f t="shared" si="71"/>
        <v>3564.7780399166832</v>
      </c>
      <c r="I119" s="5">
        <f t="shared" si="71"/>
        <v>3620.8200971736869</v>
      </c>
      <c r="J119" s="5">
        <f t="shared" si="71"/>
        <v>3677.0831885658572</v>
      </c>
      <c r="K119" s="5">
        <f t="shared" si="71"/>
        <v>3733.4601662075211</v>
      </c>
      <c r="L119" s="5">
        <f t="shared" si="71"/>
        <v>3790.0108942397619</v>
      </c>
      <c r="M119" s="5">
        <f t="shared" si="71"/>
        <v>3848.2213997131339</v>
      </c>
      <c r="N119" s="5">
        <f t="shared" si="71"/>
        <v>3908.1345328481957</v>
      </c>
      <c r="O119" s="5">
        <f t="shared" si="71"/>
        <v>3969.7347473477494</v>
      </c>
      <c r="P119" s="5">
        <f t="shared" si="71"/>
        <v>4033.0649852046236</v>
      </c>
      <c r="Q119" s="5">
        <f t="shared" si="71"/>
        <v>4098.1696701803112</v>
      </c>
      <c r="R119" s="5">
        <f t="shared" si="71"/>
        <v>4165.0947603842942</v>
      </c>
      <c r="S119" s="5">
        <f t="shared" si="71"/>
        <v>4233.8878028986046</v>
      </c>
      <c r="T119" s="5">
        <f t="shared" si="71"/>
        <v>4304.597990528282</v>
      </c>
      <c r="U119" s="5">
        <f t="shared" si="71"/>
        <v>4377.2762207616479</v>
      </c>
      <c r="V119" s="5">
        <f t="shared" si="71"/>
        <v>4451.9751570276421</v>
      </c>
    </row>
    <row r="120" spans="2:22">
      <c r="B120" s="394" t="s">
        <v>327</v>
      </c>
      <c r="C120" s="5">
        <f>C119*0.85</f>
        <v>2820.7277676000012</v>
      </c>
      <c r="D120" s="5">
        <f t="shared" ref="D120:V120" si="72">D119*0.85</f>
        <v>2861.0671053302194</v>
      </c>
      <c r="E120" s="5">
        <f t="shared" si="72"/>
        <v>2901.4008547308476</v>
      </c>
      <c r="F120" s="5">
        <f t="shared" si="72"/>
        <v>2941.6830969849211</v>
      </c>
      <c r="G120" s="5">
        <f t="shared" si="72"/>
        <v>2982.2374638332913</v>
      </c>
      <c r="H120" s="5">
        <f t="shared" si="72"/>
        <v>3030.0613339291808</v>
      </c>
      <c r="I120" s="5">
        <f t="shared" si="72"/>
        <v>3077.6970825976337</v>
      </c>
      <c r="J120" s="5">
        <f t="shared" si="72"/>
        <v>3125.5207102809786</v>
      </c>
      <c r="K120" s="5">
        <f t="shared" si="72"/>
        <v>3173.441141276393</v>
      </c>
      <c r="L120" s="5">
        <f t="shared" si="72"/>
        <v>3221.5092601037977</v>
      </c>
      <c r="M120" s="5">
        <f t="shared" si="72"/>
        <v>3270.9881897561636</v>
      </c>
      <c r="N120" s="5">
        <f t="shared" si="72"/>
        <v>3321.9143529209664</v>
      </c>
      <c r="O120" s="5">
        <f t="shared" si="72"/>
        <v>3374.2745352455868</v>
      </c>
      <c r="P120" s="5">
        <f t="shared" si="72"/>
        <v>3428.1052374239298</v>
      </c>
      <c r="Q120" s="5">
        <f t="shared" si="72"/>
        <v>3483.4442196532646</v>
      </c>
      <c r="R120" s="5">
        <f t="shared" si="72"/>
        <v>3540.3305463266502</v>
      </c>
      <c r="S120" s="5">
        <f t="shared" si="72"/>
        <v>3598.804632463814</v>
      </c>
      <c r="T120" s="5">
        <f t="shared" si="72"/>
        <v>3658.9082919490397</v>
      </c>
      <c r="U120" s="5">
        <f t="shared" si="72"/>
        <v>3720.6847876474008</v>
      </c>
      <c r="V120" s="5">
        <f t="shared" si="72"/>
        <v>3784.1788834734957</v>
      </c>
    </row>
    <row r="121" spans="2:22">
      <c r="B121" s="395" t="s">
        <v>106</v>
      </c>
      <c r="C121" s="5">
        <f t="shared" ref="C121:V121" si="73">C120*0.5</f>
        <v>1410.3638838000006</v>
      </c>
      <c r="D121" s="5">
        <f t="shared" si="73"/>
        <v>1430.5335526651097</v>
      </c>
      <c r="E121" s="5">
        <f t="shared" si="73"/>
        <v>1450.7004273654238</v>
      </c>
      <c r="F121" s="5">
        <f t="shared" si="73"/>
        <v>1470.8415484924606</v>
      </c>
      <c r="G121" s="5">
        <f t="shared" si="73"/>
        <v>1491.1187319166456</v>
      </c>
      <c r="H121" s="5">
        <f t="shared" si="73"/>
        <v>1515.0306669645904</v>
      </c>
      <c r="I121" s="5">
        <f t="shared" si="73"/>
        <v>1538.8485412988168</v>
      </c>
      <c r="J121" s="5">
        <f t="shared" si="73"/>
        <v>1562.7603551404893</v>
      </c>
      <c r="K121" s="5">
        <f t="shared" si="73"/>
        <v>1586.7205706381965</v>
      </c>
      <c r="L121" s="5">
        <f t="shared" si="73"/>
        <v>1610.7546300518989</v>
      </c>
      <c r="M121" s="5">
        <f t="shared" si="73"/>
        <v>1635.4940948780818</v>
      </c>
      <c r="N121" s="5">
        <f t="shared" si="73"/>
        <v>1660.9571764604832</v>
      </c>
      <c r="O121" s="5">
        <f t="shared" si="73"/>
        <v>1687.1372676227934</v>
      </c>
      <c r="P121" s="5">
        <f t="shared" si="73"/>
        <v>1714.0526187119649</v>
      </c>
      <c r="Q121" s="5">
        <f t="shared" si="73"/>
        <v>1741.7221098266323</v>
      </c>
      <c r="R121" s="5">
        <f t="shared" si="73"/>
        <v>1770.1652731633251</v>
      </c>
      <c r="S121" s="5">
        <f t="shared" si="73"/>
        <v>1799.402316231907</v>
      </c>
      <c r="T121" s="5">
        <f t="shared" si="73"/>
        <v>1829.4541459745199</v>
      </c>
      <c r="U121" s="5">
        <f t="shared" si="73"/>
        <v>1860.3423938237004</v>
      </c>
      <c r="V121" s="5">
        <f t="shared" si="73"/>
        <v>1892.0894417367479</v>
      </c>
    </row>
    <row r="122" spans="2:22">
      <c r="B122" s="395" t="s">
        <v>107</v>
      </c>
      <c r="C122" s="5">
        <f>C120*0.5</f>
        <v>1410.3638838000006</v>
      </c>
      <c r="D122" s="5">
        <f t="shared" ref="D122:V122" si="74">D120*0.5</f>
        <v>1430.5335526651097</v>
      </c>
      <c r="E122" s="5">
        <f t="shared" si="74"/>
        <v>1450.7004273654238</v>
      </c>
      <c r="F122" s="5">
        <f t="shared" si="74"/>
        <v>1470.8415484924606</v>
      </c>
      <c r="G122" s="5">
        <f t="shared" si="74"/>
        <v>1491.1187319166456</v>
      </c>
      <c r="H122" s="5">
        <f t="shared" si="74"/>
        <v>1515.0306669645904</v>
      </c>
      <c r="I122" s="5">
        <f t="shared" si="74"/>
        <v>1538.8485412988168</v>
      </c>
      <c r="J122" s="5">
        <f t="shared" si="74"/>
        <v>1562.7603551404893</v>
      </c>
      <c r="K122" s="5">
        <f t="shared" si="74"/>
        <v>1586.7205706381965</v>
      </c>
      <c r="L122" s="5">
        <f t="shared" si="74"/>
        <v>1610.7546300518989</v>
      </c>
      <c r="M122" s="5">
        <f t="shared" si="74"/>
        <v>1635.4940948780818</v>
      </c>
      <c r="N122" s="5">
        <f t="shared" si="74"/>
        <v>1660.9571764604832</v>
      </c>
      <c r="O122" s="5">
        <f t="shared" si="74"/>
        <v>1687.1372676227934</v>
      </c>
      <c r="P122" s="5">
        <f t="shared" si="74"/>
        <v>1714.0526187119649</v>
      </c>
      <c r="Q122" s="5">
        <f t="shared" si="74"/>
        <v>1741.7221098266323</v>
      </c>
      <c r="R122" s="5">
        <f t="shared" si="74"/>
        <v>1770.1652731633251</v>
      </c>
      <c r="S122" s="5">
        <f t="shared" si="74"/>
        <v>1799.402316231907</v>
      </c>
      <c r="T122" s="5">
        <f t="shared" si="74"/>
        <v>1829.4541459745199</v>
      </c>
      <c r="U122" s="5">
        <f t="shared" si="74"/>
        <v>1860.3423938237004</v>
      </c>
      <c r="V122" s="5">
        <f t="shared" si="74"/>
        <v>1892.0894417367479</v>
      </c>
    </row>
    <row r="123" spans="2:22">
      <c r="B123" s="81" t="s">
        <v>108</v>
      </c>
      <c r="C123" s="81"/>
      <c r="D123" s="81"/>
      <c r="E123" s="81"/>
      <c r="F123" s="81"/>
      <c r="G123" s="81"/>
      <c r="H123" s="81"/>
      <c r="I123" s="81"/>
      <c r="J123" s="408"/>
      <c r="K123" s="408">
        <v>0.02</v>
      </c>
      <c r="L123" s="408">
        <v>0.08</v>
      </c>
      <c r="M123" s="408">
        <v>0.16</v>
      </c>
      <c r="N123" s="408">
        <v>0.22</v>
      </c>
      <c r="O123" s="408">
        <v>0.28000000000000003</v>
      </c>
      <c r="P123" s="408">
        <v>0.32</v>
      </c>
      <c r="Q123" s="408">
        <v>0.35</v>
      </c>
      <c r="R123" s="408">
        <v>0.38</v>
      </c>
      <c r="S123" s="408">
        <v>0.41</v>
      </c>
      <c r="T123" s="408">
        <v>0.44</v>
      </c>
      <c r="U123" s="408">
        <v>0.47</v>
      </c>
      <c r="V123" s="408">
        <v>0.48</v>
      </c>
    </row>
    <row r="124" spans="2:22">
      <c r="B124" s="81" t="s">
        <v>109</v>
      </c>
      <c r="C124" s="81"/>
      <c r="D124" s="81"/>
      <c r="E124" s="81"/>
      <c r="F124" s="81"/>
      <c r="G124" s="81"/>
      <c r="H124" s="81"/>
      <c r="I124" s="81"/>
      <c r="J124" s="408"/>
      <c r="K124" s="408">
        <v>0.04</v>
      </c>
      <c r="L124" s="408">
        <v>0.1</v>
      </c>
      <c r="M124" s="408">
        <v>0.25</v>
      </c>
      <c r="N124" s="408">
        <v>0.35</v>
      </c>
      <c r="O124" s="408">
        <v>0.45</v>
      </c>
      <c r="P124" s="408">
        <v>0.55000000000000004</v>
      </c>
      <c r="Q124" s="408">
        <v>0.6</v>
      </c>
      <c r="R124" s="408">
        <v>0.63</v>
      </c>
      <c r="S124" s="408">
        <v>0.65</v>
      </c>
      <c r="T124" s="408">
        <v>0.66</v>
      </c>
      <c r="U124" s="408">
        <v>0.67</v>
      </c>
      <c r="V124" s="408">
        <v>0.68</v>
      </c>
    </row>
    <row r="125" spans="2:22">
      <c r="B125" s="165" t="s">
        <v>110</v>
      </c>
      <c r="C125" s="5">
        <f t="shared" ref="C125:V125" si="75">C123*C121</f>
        <v>0</v>
      </c>
      <c r="D125" s="5">
        <f t="shared" si="75"/>
        <v>0</v>
      </c>
      <c r="E125" s="5">
        <f t="shared" si="75"/>
        <v>0</v>
      </c>
      <c r="F125" s="5">
        <f t="shared" si="75"/>
        <v>0</v>
      </c>
      <c r="G125" s="5">
        <f t="shared" si="75"/>
        <v>0</v>
      </c>
      <c r="H125" s="5">
        <f t="shared" si="75"/>
        <v>0</v>
      </c>
      <c r="I125" s="5">
        <f t="shared" si="75"/>
        <v>0</v>
      </c>
      <c r="J125" s="5">
        <f t="shared" si="75"/>
        <v>0</v>
      </c>
      <c r="K125" s="5">
        <f t="shared" si="75"/>
        <v>31.734411412763929</v>
      </c>
      <c r="L125" s="5">
        <f t="shared" si="75"/>
        <v>128.86037040415192</v>
      </c>
      <c r="M125" s="5">
        <f t="shared" si="75"/>
        <v>261.67905518049309</v>
      </c>
      <c r="N125" s="5">
        <f t="shared" si="75"/>
        <v>365.41057882130633</v>
      </c>
      <c r="O125" s="5">
        <f t="shared" si="75"/>
        <v>472.39843493438218</v>
      </c>
      <c r="P125" s="5">
        <f t="shared" si="75"/>
        <v>548.49683798782883</v>
      </c>
      <c r="Q125" s="5">
        <f t="shared" si="75"/>
        <v>609.60273843932123</v>
      </c>
      <c r="R125" s="5">
        <f t="shared" si="75"/>
        <v>672.66280380206354</v>
      </c>
      <c r="S125" s="5">
        <f t="shared" si="75"/>
        <v>737.75494965508187</v>
      </c>
      <c r="T125" s="5">
        <f t="shared" si="75"/>
        <v>804.95982422878876</v>
      </c>
      <c r="U125" s="5">
        <f t="shared" si="75"/>
        <v>874.3609250971391</v>
      </c>
      <c r="V125" s="5">
        <f t="shared" si="75"/>
        <v>908.20293203363894</v>
      </c>
    </row>
    <row r="126" spans="2:22">
      <c r="B126" s="165" t="s">
        <v>111</v>
      </c>
      <c r="C126" s="5">
        <f t="shared" ref="C126:V126" si="76">C124*C122</f>
        <v>0</v>
      </c>
      <c r="D126" s="5">
        <f t="shared" si="76"/>
        <v>0</v>
      </c>
      <c r="E126" s="5">
        <f t="shared" si="76"/>
        <v>0</v>
      </c>
      <c r="F126" s="5">
        <f t="shared" si="76"/>
        <v>0</v>
      </c>
      <c r="G126" s="5">
        <f t="shared" si="76"/>
        <v>0</v>
      </c>
      <c r="H126" s="5">
        <f t="shared" si="76"/>
        <v>0</v>
      </c>
      <c r="I126" s="5">
        <f t="shared" si="76"/>
        <v>0</v>
      </c>
      <c r="J126" s="5">
        <f t="shared" si="76"/>
        <v>0</v>
      </c>
      <c r="K126" s="5">
        <f t="shared" si="76"/>
        <v>63.468822825527859</v>
      </c>
      <c r="L126" s="5">
        <f t="shared" si="76"/>
        <v>161.0754630051899</v>
      </c>
      <c r="M126" s="5">
        <f t="shared" si="76"/>
        <v>408.87352371952045</v>
      </c>
      <c r="N126" s="5">
        <f t="shared" si="76"/>
        <v>581.33501176116908</v>
      </c>
      <c r="O126" s="5">
        <f t="shared" si="76"/>
        <v>759.21177043025705</v>
      </c>
      <c r="P126" s="5">
        <f t="shared" si="76"/>
        <v>942.72894029158078</v>
      </c>
      <c r="Q126" s="5">
        <f t="shared" si="76"/>
        <v>1045.0332658959794</v>
      </c>
      <c r="R126" s="5">
        <f t="shared" si="76"/>
        <v>1115.2041220928947</v>
      </c>
      <c r="S126" s="5">
        <f t="shared" si="76"/>
        <v>1169.6115055507396</v>
      </c>
      <c r="T126" s="5">
        <f t="shared" si="76"/>
        <v>1207.4397363431831</v>
      </c>
      <c r="U126" s="5">
        <f t="shared" si="76"/>
        <v>1246.4294038618793</v>
      </c>
      <c r="V126" s="5">
        <f t="shared" si="76"/>
        <v>1286.6208203809886</v>
      </c>
    </row>
    <row r="128" spans="2:22">
      <c r="B128" s="165" t="s">
        <v>37</v>
      </c>
      <c r="J128" s="396"/>
      <c r="K128" s="396">
        <f>K107</f>
        <v>105000</v>
      </c>
      <c r="L128" s="53">
        <f t="shared" ref="L128:V128" si="77">K128*(1+L129)</f>
        <v>105000</v>
      </c>
      <c r="M128" s="53">
        <f t="shared" si="77"/>
        <v>105000</v>
      </c>
      <c r="N128" s="53">
        <f t="shared" si="77"/>
        <v>105000</v>
      </c>
      <c r="O128" s="53">
        <f t="shared" si="77"/>
        <v>105000</v>
      </c>
      <c r="P128" s="53">
        <f t="shared" si="77"/>
        <v>105000</v>
      </c>
      <c r="Q128" s="53">
        <f t="shared" si="77"/>
        <v>105000</v>
      </c>
      <c r="R128" s="53">
        <f t="shared" si="77"/>
        <v>105000</v>
      </c>
      <c r="S128" s="53">
        <f t="shared" si="77"/>
        <v>105000</v>
      </c>
      <c r="T128" s="53">
        <f t="shared" si="77"/>
        <v>105000</v>
      </c>
      <c r="U128" s="53">
        <f t="shared" si="77"/>
        <v>105000</v>
      </c>
      <c r="V128" s="53">
        <f t="shared" si="77"/>
        <v>105000</v>
      </c>
    </row>
    <row r="129" spans="2:22">
      <c r="B129" s="165" t="s">
        <v>213</v>
      </c>
      <c r="J129" s="52"/>
      <c r="K129" s="397">
        <v>0</v>
      </c>
      <c r="L129" s="397">
        <v>0</v>
      </c>
      <c r="M129" s="397">
        <v>0</v>
      </c>
      <c r="N129" s="397">
        <v>0</v>
      </c>
      <c r="O129" s="397">
        <v>0</v>
      </c>
      <c r="P129" s="397">
        <v>0</v>
      </c>
      <c r="Q129" s="397">
        <v>0</v>
      </c>
      <c r="R129" s="397">
        <v>0</v>
      </c>
      <c r="S129" s="397">
        <v>0</v>
      </c>
      <c r="T129" s="397">
        <v>0</v>
      </c>
      <c r="U129" s="397">
        <v>0</v>
      </c>
      <c r="V129" s="397">
        <v>0</v>
      </c>
    </row>
    <row r="131" spans="2:22">
      <c r="B131" s="165" t="s">
        <v>112</v>
      </c>
      <c r="C131" s="82">
        <f t="shared" ref="C131:V131" si="78">C128*C125</f>
        <v>0</v>
      </c>
      <c r="D131" s="82">
        <f t="shared" si="78"/>
        <v>0</v>
      </c>
      <c r="E131" s="82">
        <f t="shared" si="78"/>
        <v>0</v>
      </c>
      <c r="F131" s="82">
        <f t="shared" si="78"/>
        <v>0</v>
      </c>
      <c r="G131" s="82">
        <f t="shared" si="78"/>
        <v>0</v>
      </c>
      <c r="H131" s="82">
        <f t="shared" si="78"/>
        <v>0</v>
      </c>
      <c r="I131" s="82">
        <f t="shared" si="78"/>
        <v>0</v>
      </c>
      <c r="J131" s="82">
        <f t="shared" si="78"/>
        <v>0</v>
      </c>
      <c r="K131" s="82">
        <f t="shared" si="78"/>
        <v>3332113.1983402125</v>
      </c>
      <c r="L131" s="82">
        <f t="shared" si="78"/>
        <v>13530338.892435951</v>
      </c>
      <c r="M131" s="82">
        <f t="shared" si="78"/>
        <v>27476300.793951776</v>
      </c>
      <c r="N131" s="82">
        <f t="shared" si="78"/>
        <v>38368110.776237167</v>
      </c>
      <c r="O131" s="82">
        <f t="shared" si="78"/>
        <v>49601835.668110132</v>
      </c>
      <c r="P131" s="82">
        <f t="shared" si="78"/>
        <v>57592167.988722026</v>
      </c>
      <c r="Q131" s="82">
        <f t="shared" si="78"/>
        <v>64008287.53612873</v>
      </c>
      <c r="R131" s="82">
        <f t="shared" si="78"/>
        <v>70629594.399216667</v>
      </c>
      <c r="S131" s="82">
        <f t="shared" si="78"/>
        <v>77464269.713783592</v>
      </c>
      <c r="T131" s="82">
        <f t="shared" si="78"/>
        <v>84520781.544022813</v>
      </c>
      <c r="U131" s="82">
        <f t="shared" si="78"/>
        <v>91807897.135199606</v>
      </c>
      <c r="V131" s="82">
        <f t="shared" si="78"/>
        <v>95361307.863532096</v>
      </c>
    </row>
    <row r="132" spans="2:22">
      <c r="B132" s="165" t="s">
        <v>113</v>
      </c>
      <c r="C132" s="82">
        <f t="shared" ref="C132:V132" si="79">C128*C126</f>
        <v>0</v>
      </c>
      <c r="D132" s="82">
        <f t="shared" si="79"/>
        <v>0</v>
      </c>
      <c r="E132" s="82">
        <f t="shared" si="79"/>
        <v>0</v>
      </c>
      <c r="F132" s="82">
        <f t="shared" si="79"/>
        <v>0</v>
      </c>
      <c r="G132" s="82">
        <f t="shared" si="79"/>
        <v>0</v>
      </c>
      <c r="H132" s="82">
        <f t="shared" si="79"/>
        <v>0</v>
      </c>
      <c r="I132" s="82">
        <f t="shared" si="79"/>
        <v>0</v>
      </c>
      <c r="J132" s="82">
        <f t="shared" si="79"/>
        <v>0</v>
      </c>
      <c r="K132" s="82">
        <f t="shared" si="79"/>
        <v>6664226.3966804249</v>
      </c>
      <c r="L132" s="82">
        <f t="shared" si="79"/>
        <v>16912923.615544941</v>
      </c>
      <c r="M132" s="82">
        <f t="shared" si="79"/>
        <v>42931719.990549646</v>
      </c>
      <c r="N132" s="82">
        <f t="shared" si="79"/>
        <v>61040176.234922752</v>
      </c>
      <c r="O132" s="82">
        <f t="shared" si="79"/>
        <v>79717235.895176992</v>
      </c>
      <c r="P132" s="82">
        <f t="shared" si="79"/>
        <v>98986538.730615988</v>
      </c>
      <c r="Q132" s="82">
        <f t="shared" si="79"/>
        <v>109728492.91907784</v>
      </c>
      <c r="R132" s="82">
        <f t="shared" si="79"/>
        <v>117096432.81975394</v>
      </c>
      <c r="S132" s="82">
        <f t="shared" si="79"/>
        <v>122809208.08282766</v>
      </c>
      <c r="T132" s="82">
        <f t="shared" si="79"/>
        <v>126781172.31603423</v>
      </c>
      <c r="U132" s="82">
        <f t="shared" si="79"/>
        <v>130875087.40549733</v>
      </c>
      <c r="V132" s="82">
        <f t="shared" si="79"/>
        <v>135095186.1400038</v>
      </c>
    </row>
    <row r="134" spans="2:22">
      <c r="B134" s="334" t="s">
        <v>119</v>
      </c>
      <c r="C134" s="335">
        <f>C131+C132</f>
        <v>0</v>
      </c>
      <c r="D134" s="335">
        <f t="shared" ref="D134:V134" si="80">D131+D132</f>
        <v>0</v>
      </c>
      <c r="E134" s="335">
        <f t="shared" si="80"/>
        <v>0</v>
      </c>
      <c r="F134" s="335">
        <f t="shared" si="80"/>
        <v>0</v>
      </c>
      <c r="G134" s="335">
        <f t="shared" si="80"/>
        <v>0</v>
      </c>
      <c r="H134" s="335">
        <f t="shared" si="80"/>
        <v>0</v>
      </c>
      <c r="I134" s="335">
        <f t="shared" si="80"/>
        <v>0</v>
      </c>
      <c r="J134" s="335">
        <f t="shared" si="80"/>
        <v>0</v>
      </c>
      <c r="K134" s="335">
        <f t="shared" si="80"/>
        <v>9996339.5950206369</v>
      </c>
      <c r="L134" s="335">
        <f t="shared" si="80"/>
        <v>30443262.507980891</v>
      </c>
      <c r="M134" s="335">
        <f t="shared" si="80"/>
        <v>70408020.784501418</v>
      </c>
      <c r="N134" s="335">
        <f t="shared" si="80"/>
        <v>99408287.011159927</v>
      </c>
      <c r="O134" s="335">
        <f t="shared" si="80"/>
        <v>129319071.56328712</v>
      </c>
      <c r="P134" s="335">
        <f t="shared" si="80"/>
        <v>156578706.719338</v>
      </c>
      <c r="Q134" s="335">
        <f t="shared" si="80"/>
        <v>173736780.45520657</v>
      </c>
      <c r="R134" s="335">
        <f t="shared" si="80"/>
        <v>187726027.2189706</v>
      </c>
      <c r="S134" s="335">
        <f t="shared" si="80"/>
        <v>200273477.79661125</v>
      </c>
      <c r="T134" s="335">
        <f t="shared" si="80"/>
        <v>211301953.86005706</v>
      </c>
      <c r="U134" s="335">
        <f t="shared" si="80"/>
        <v>222682984.54069692</v>
      </c>
      <c r="V134" s="336">
        <f t="shared" si="80"/>
        <v>230456494.0035359</v>
      </c>
    </row>
    <row r="136" spans="2:22">
      <c r="C136" s="5">
        <f t="shared" ref="C136:V136" si="81">C12+C33+C54+C75+C96+C117</f>
        <v>117844.52000000002</v>
      </c>
      <c r="D136" s="5">
        <f t="shared" si="81"/>
        <v>119882.43736251659</v>
      </c>
      <c r="E136" s="5">
        <f t="shared" si="81"/>
        <v>122006.30443300193</v>
      </c>
      <c r="F136" s="5">
        <f t="shared" si="81"/>
        <v>124189.25235897754</v>
      </c>
      <c r="G136" s="5">
        <f t="shared" si="81"/>
        <v>126478.8255424175</v>
      </c>
      <c r="H136" s="5">
        <f t="shared" si="81"/>
        <v>128723.42660724735</v>
      </c>
      <c r="I136" s="5">
        <f t="shared" si="81"/>
        <v>131158.76321513247</v>
      </c>
      <c r="J136" s="5">
        <f t="shared" si="81"/>
        <v>133774.63097013941</v>
      </c>
      <c r="K136" s="5">
        <f t="shared" si="81"/>
        <v>136343.4694516884</v>
      </c>
      <c r="L136" s="5">
        <f t="shared" si="81"/>
        <v>138941.20789939066</v>
      </c>
      <c r="M136" s="5">
        <f t="shared" si="81"/>
        <v>141653.62300740276</v>
      </c>
      <c r="N136" s="5">
        <f t="shared" si="81"/>
        <v>144828.43832582224</v>
      </c>
      <c r="O136" s="5">
        <f t="shared" si="81"/>
        <v>148160.40457228207</v>
      </c>
      <c r="P136" s="5">
        <f t="shared" si="81"/>
        <v>151658.12311431902</v>
      </c>
      <c r="Q136" s="5">
        <f t="shared" si="81"/>
        <v>155330.7544421971</v>
      </c>
      <c r="R136" s="5">
        <f t="shared" si="81"/>
        <v>159188.05531260819</v>
      </c>
      <c r="S136" s="5">
        <f t="shared" si="81"/>
        <v>163240.41847101619</v>
      </c>
      <c r="T136" s="5">
        <f t="shared" si="81"/>
        <v>167498.91513307404</v>
      </c>
      <c r="U136" s="5">
        <f t="shared" si="81"/>
        <v>171975.340418362</v>
      </c>
      <c r="V136" s="5">
        <f t="shared" si="81"/>
        <v>176682.26194342156</v>
      </c>
    </row>
    <row r="137" spans="2:22">
      <c r="C137" s="5">
        <f>C136*0.15</f>
        <v>17676.678000000004</v>
      </c>
      <c r="D137" s="5">
        <f t="shared" ref="D137:V137" si="82">D136*0.15</f>
        <v>17982.365604377486</v>
      </c>
      <c r="E137" s="5">
        <f t="shared" si="82"/>
        <v>18300.94566495029</v>
      </c>
      <c r="F137" s="5">
        <f t="shared" si="82"/>
        <v>18628.387853846631</v>
      </c>
      <c r="G137" s="5">
        <f t="shared" si="82"/>
        <v>18971.823831362624</v>
      </c>
      <c r="H137" s="5">
        <f t="shared" si="82"/>
        <v>19308.513991087104</v>
      </c>
      <c r="I137" s="5">
        <f t="shared" si="82"/>
        <v>19673.81448226987</v>
      </c>
      <c r="J137" s="5">
        <f t="shared" si="82"/>
        <v>20066.194645520911</v>
      </c>
      <c r="K137" s="5">
        <f t="shared" si="82"/>
        <v>20451.520417753261</v>
      </c>
      <c r="L137" s="5">
        <f t="shared" si="82"/>
        <v>20841.181184908597</v>
      </c>
      <c r="M137" s="5">
        <f t="shared" si="82"/>
        <v>21248.043451110414</v>
      </c>
      <c r="N137" s="5">
        <f t="shared" si="82"/>
        <v>21724.265748873335</v>
      </c>
      <c r="O137" s="5">
        <f t="shared" si="82"/>
        <v>22224.060685842309</v>
      </c>
      <c r="P137" s="5">
        <f t="shared" si="82"/>
        <v>22748.718467147854</v>
      </c>
      <c r="Q137" s="5">
        <f t="shared" si="82"/>
        <v>23299.613166329564</v>
      </c>
      <c r="R137" s="5">
        <f t="shared" si="82"/>
        <v>23878.208296891229</v>
      </c>
      <c r="S137" s="5">
        <f t="shared" si="82"/>
        <v>24486.062770652428</v>
      </c>
      <c r="T137" s="5">
        <f t="shared" si="82"/>
        <v>25124.837269961106</v>
      </c>
      <c r="U137" s="5">
        <f t="shared" si="82"/>
        <v>25796.301062754301</v>
      </c>
      <c r="V137" s="5">
        <f t="shared" si="82"/>
        <v>26502.339291513232</v>
      </c>
    </row>
    <row r="138" spans="2:22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</row>
    <row r="139" spans="2:22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</row>
    <row r="140" spans="2:22">
      <c r="B140" s="111" t="s">
        <v>321</v>
      </c>
      <c r="C140" s="5">
        <f t="shared" ref="C140:V140" si="83">C13+C34+C55+C76+C97+C118</f>
        <v>38535.158040000009</v>
      </c>
      <c r="D140" s="5">
        <f t="shared" si="83"/>
        <v>39201.557017542924</v>
      </c>
      <c r="E140" s="5">
        <f t="shared" si="83"/>
        <v>39896.061549591635</v>
      </c>
      <c r="F140" s="5">
        <f t="shared" si="83"/>
        <v>40609.885521385666</v>
      </c>
      <c r="G140" s="5">
        <f t="shared" si="83"/>
        <v>41358.57595237052</v>
      </c>
      <c r="H140" s="5">
        <f t="shared" si="83"/>
        <v>42092.560500569889</v>
      </c>
      <c r="I140" s="5">
        <f t="shared" si="83"/>
        <v>42888.91557134832</v>
      </c>
      <c r="J140" s="5">
        <f t="shared" si="83"/>
        <v>43744.304327235586</v>
      </c>
      <c r="K140" s="5">
        <f t="shared" si="83"/>
        <v>44584.314510702105</v>
      </c>
      <c r="L140" s="5">
        <f t="shared" si="83"/>
        <v>45433.774983100753</v>
      </c>
      <c r="M140" s="5">
        <f t="shared" si="83"/>
        <v>46320.734723420697</v>
      </c>
      <c r="N140" s="5">
        <f t="shared" si="83"/>
        <v>47358.899332543879</v>
      </c>
      <c r="O140" s="5">
        <f t="shared" si="83"/>
        <v>48448.452295136231</v>
      </c>
      <c r="P140" s="5">
        <f t="shared" si="83"/>
        <v>49592.206258382343</v>
      </c>
      <c r="Q140" s="5">
        <f t="shared" si="83"/>
        <v>50793.15670259844</v>
      </c>
      <c r="R140" s="5">
        <f t="shared" si="83"/>
        <v>52054.494087222876</v>
      </c>
      <c r="S140" s="5">
        <f t="shared" si="83"/>
        <v>53379.616840022289</v>
      </c>
      <c r="T140" s="5">
        <f t="shared" si="83"/>
        <v>54772.145248515211</v>
      </c>
      <c r="U140" s="5">
        <f t="shared" si="83"/>
        <v>56235.936316804378</v>
      </c>
      <c r="V140" s="5">
        <f t="shared" si="83"/>
        <v>57775.099655498845</v>
      </c>
    </row>
    <row r="141" spans="2:22">
      <c r="B141" s="165" t="s">
        <v>320</v>
      </c>
      <c r="C141" s="5">
        <f t="shared" ref="C141:V141" si="84">C14+C35+C56+C77+C98+C119</f>
        <v>28901.368530000007</v>
      </c>
      <c r="D141" s="5">
        <f t="shared" si="84"/>
        <v>29401.167763157195</v>
      </c>
      <c r="E141" s="5">
        <f t="shared" si="84"/>
        <v>29922.046162193721</v>
      </c>
      <c r="F141" s="5">
        <f t="shared" si="84"/>
        <v>30457.414141039248</v>
      </c>
      <c r="G141" s="5">
        <f t="shared" si="84"/>
        <v>31018.931964277897</v>
      </c>
      <c r="H141" s="5">
        <f t="shared" si="84"/>
        <v>31569.420375427424</v>
      </c>
      <c r="I141" s="5">
        <f t="shared" si="84"/>
        <v>32166.686678511243</v>
      </c>
      <c r="J141" s="5">
        <f t="shared" si="84"/>
        <v>32808.22824542669</v>
      </c>
      <c r="K141" s="5">
        <f t="shared" si="84"/>
        <v>33438.235883026573</v>
      </c>
      <c r="L141" s="5">
        <f t="shared" si="84"/>
        <v>34075.331237325569</v>
      </c>
      <c r="M141" s="5">
        <f t="shared" si="84"/>
        <v>34740.55104256553</v>
      </c>
      <c r="N141" s="5">
        <f t="shared" si="84"/>
        <v>35519.174499407913</v>
      </c>
      <c r="O141" s="5">
        <f t="shared" si="84"/>
        <v>36336.339221352173</v>
      </c>
      <c r="P141" s="5">
        <f t="shared" si="84"/>
        <v>37194.154693786746</v>
      </c>
      <c r="Q141" s="5">
        <f t="shared" si="84"/>
        <v>38094.86752694883</v>
      </c>
      <c r="R141" s="5">
        <f t="shared" si="84"/>
        <v>39040.870565417157</v>
      </c>
      <c r="S141" s="5">
        <f t="shared" si="84"/>
        <v>40034.712630016722</v>
      </c>
      <c r="T141" s="5">
        <f t="shared" si="84"/>
        <v>41079.108936386401</v>
      </c>
      <c r="U141" s="5">
        <f t="shared" si="84"/>
        <v>42176.952237603291</v>
      </c>
      <c r="V141" s="5">
        <f t="shared" si="84"/>
        <v>43331.324741624143</v>
      </c>
    </row>
    <row r="143" spans="2:22">
      <c r="B143" s="165" t="s">
        <v>319</v>
      </c>
      <c r="C143" s="5">
        <f t="shared" ref="C143:V143" si="85">C15+C36+C57+C78+C99+C120</f>
        <v>24566.163250500002</v>
      </c>
      <c r="D143" s="5">
        <f t="shared" si="85"/>
        <v>24990.992598683617</v>
      </c>
      <c r="E143" s="5">
        <f t="shared" si="85"/>
        <v>25433.739237864665</v>
      </c>
      <c r="F143" s="5">
        <f t="shared" si="85"/>
        <v>25888.802019883355</v>
      </c>
      <c r="G143" s="5">
        <f t="shared" si="85"/>
        <v>26366.092169636209</v>
      </c>
      <c r="H143" s="5">
        <f t="shared" si="85"/>
        <v>26834.007319113305</v>
      </c>
      <c r="I143" s="5">
        <f t="shared" si="85"/>
        <v>27341.683676734556</v>
      </c>
      <c r="J143" s="5">
        <f t="shared" si="85"/>
        <v>27886.994008612688</v>
      </c>
      <c r="K143" s="5">
        <f t="shared" si="85"/>
        <v>28422.500500572591</v>
      </c>
      <c r="L143" s="5">
        <f t="shared" si="85"/>
        <v>28964.03155172673</v>
      </c>
      <c r="M143" s="5">
        <f t="shared" si="85"/>
        <v>29529.468386180699</v>
      </c>
      <c r="N143" s="5">
        <f t="shared" si="85"/>
        <v>30191.298324496718</v>
      </c>
      <c r="O143" s="5">
        <f t="shared" si="85"/>
        <v>30885.888338149347</v>
      </c>
      <c r="P143" s="5">
        <f t="shared" si="85"/>
        <v>31615.031489718735</v>
      </c>
      <c r="Q143" s="5">
        <f t="shared" si="85"/>
        <v>32380.63739790651</v>
      </c>
      <c r="R143" s="5">
        <f t="shared" si="85"/>
        <v>33184.739980604587</v>
      </c>
      <c r="S143" s="5">
        <f t="shared" si="85"/>
        <v>34029.505735514213</v>
      </c>
      <c r="T143" s="5">
        <f t="shared" si="85"/>
        <v>34917.242595928445</v>
      </c>
      <c r="U143" s="5">
        <f t="shared" si="85"/>
        <v>35850.409401962788</v>
      </c>
      <c r="V143" s="5">
        <f t="shared" si="85"/>
        <v>36831.626030380517</v>
      </c>
    </row>
    <row r="198" spans="4:4">
      <c r="D198" s="165">
        <f>173/529</f>
        <v>0.32703213610586013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W375"/>
  <sheetViews>
    <sheetView showGridLines="0" zoomScale="75" zoomScaleNormal="75" zoomScalePageLayoutView="75" workbookViewId="0">
      <pane ySplit="13" topLeftCell="A14" activePane="bottomLeft" state="frozen"/>
      <selection pane="bottomLeft" activeCell="A73" sqref="A73"/>
    </sheetView>
  </sheetViews>
  <sheetFormatPr defaultColWidth="8.85546875" defaultRowHeight="15" outlineLevelRow="1"/>
  <cols>
    <col min="1" max="1" width="4.7109375" style="165" customWidth="1"/>
    <col min="2" max="2" width="27.42578125" style="13" customWidth="1"/>
    <col min="3" max="22" width="13.42578125" style="13" customWidth="1"/>
    <col min="23" max="23" width="19.42578125" style="166" bestFit="1" customWidth="1"/>
    <col min="24" max="16384" width="8.85546875" style="13"/>
  </cols>
  <sheetData>
    <row r="1" spans="2:23" s="165" customFormat="1">
      <c r="W1" s="166"/>
    </row>
    <row r="2" spans="2:23" s="165" customFormat="1" ht="19.5" thickBot="1">
      <c r="B2" s="354" t="s">
        <v>221</v>
      </c>
      <c r="W2" s="166"/>
    </row>
    <row r="3" spans="2:23" ht="15.75" thickBot="1">
      <c r="B3" s="33"/>
      <c r="C3" s="32">
        <v>2011</v>
      </c>
      <c r="D3" s="32">
        <f t="shared" ref="D3:V3" si="0">C3+1</f>
        <v>2012</v>
      </c>
      <c r="E3" s="32">
        <f t="shared" si="0"/>
        <v>2013</v>
      </c>
      <c r="F3" s="32">
        <f t="shared" si="0"/>
        <v>2014</v>
      </c>
      <c r="G3" s="32">
        <f t="shared" si="0"/>
        <v>2015</v>
      </c>
      <c r="H3" s="32">
        <f t="shared" si="0"/>
        <v>2016</v>
      </c>
      <c r="I3" s="32">
        <f t="shared" si="0"/>
        <v>2017</v>
      </c>
      <c r="J3" s="32">
        <f t="shared" si="0"/>
        <v>2018</v>
      </c>
      <c r="K3" s="32">
        <f t="shared" si="0"/>
        <v>2019</v>
      </c>
      <c r="L3" s="32">
        <f t="shared" si="0"/>
        <v>2020</v>
      </c>
      <c r="M3" s="32">
        <f t="shared" si="0"/>
        <v>2021</v>
      </c>
      <c r="N3" s="32">
        <f t="shared" si="0"/>
        <v>2022</v>
      </c>
      <c r="O3" s="32">
        <f t="shared" si="0"/>
        <v>2023</v>
      </c>
      <c r="P3" s="32">
        <f t="shared" si="0"/>
        <v>2024</v>
      </c>
      <c r="Q3" s="32">
        <f t="shared" si="0"/>
        <v>2025</v>
      </c>
      <c r="R3" s="32">
        <f t="shared" si="0"/>
        <v>2026</v>
      </c>
      <c r="S3" s="32">
        <f t="shared" si="0"/>
        <v>2027</v>
      </c>
      <c r="T3" s="32">
        <f t="shared" si="0"/>
        <v>2028</v>
      </c>
      <c r="U3" s="32">
        <f t="shared" si="0"/>
        <v>2029</v>
      </c>
      <c r="V3" s="31">
        <f t="shared" si="0"/>
        <v>2030</v>
      </c>
    </row>
    <row r="4" spans="2:23" s="30" customFormat="1">
      <c r="B4" s="300" t="s">
        <v>105</v>
      </c>
      <c r="C4" s="301">
        <f t="shared" ref="C4:V4" si="1">C16</f>
        <v>50000.000000000007</v>
      </c>
      <c r="D4" s="301">
        <f t="shared" si="1"/>
        <v>50940.855653979394</v>
      </c>
      <c r="E4" s="301">
        <f t="shared" si="1"/>
        <v>51975.142124729347</v>
      </c>
      <c r="F4" s="301">
        <f t="shared" si="1"/>
        <v>53071.958396067537</v>
      </c>
      <c r="G4" s="301">
        <f t="shared" si="1"/>
        <v>54278.002536007494</v>
      </c>
      <c r="H4" s="301">
        <f t="shared" si="1"/>
        <v>55519.192464140811</v>
      </c>
      <c r="I4" s="301">
        <f t="shared" si="1"/>
        <v>56927.643888796738</v>
      </c>
      <c r="J4" s="301">
        <f t="shared" si="1"/>
        <v>58514.791407408855</v>
      </c>
      <c r="K4" s="301">
        <f t="shared" si="1"/>
        <v>60053.721138300112</v>
      </c>
      <c r="L4" s="301">
        <f t="shared" si="1"/>
        <v>61620.313190029599</v>
      </c>
      <c r="M4" s="301">
        <f t="shared" si="1"/>
        <v>63253.707710560724</v>
      </c>
      <c r="N4" s="301">
        <f t="shared" si="1"/>
        <v>65299.933370383602</v>
      </c>
      <c r="O4" s="301">
        <f t="shared" si="1"/>
        <v>67453.827780869367</v>
      </c>
      <c r="P4" s="301">
        <f t="shared" si="1"/>
        <v>69722.179764484506</v>
      </c>
      <c r="Q4" s="301">
        <f t="shared" si="1"/>
        <v>72112.238291833521</v>
      </c>
      <c r="R4" s="301">
        <f t="shared" si="1"/>
        <v>74631.74464082616</v>
      </c>
      <c r="S4" s="301">
        <f t="shared" si="1"/>
        <v>77288.966840781446</v>
      </c>
      <c r="T4" s="301">
        <f t="shared" si="1"/>
        <v>80092.736565351734</v>
      </c>
      <c r="U4" s="301">
        <f t="shared" si="1"/>
        <v>83052.488649972482</v>
      </c>
      <c r="V4" s="301">
        <f t="shared" si="1"/>
        <v>86178.303422221419</v>
      </c>
      <c r="W4" s="268"/>
    </row>
    <row r="5" spans="2:23" s="30" customFormat="1">
      <c r="B5" s="300" t="s">
        <v>104</v>
      </c>
      <c r="C5" s="301">
        <f t="shared" ref="C5:V5" si="2">C76</f>
        <v>17591.039999999994</v>
      </c>
      <c r="D5" s="301">
        <f t="shared" si="2"/>
        <v>17955.491922340283</v>
      </c>
      <c r="E5" s="301">
        <f t="shared" si="2"/>
        <v>18320.116186090905</v>
      </c>
      <c r="F5" s="301">
        <f t="shared" si="2"/>
        <v>18684.465727152507</v>
      </c>
      <c r="G5" s="301">
        <f t="shared" si="2"/>
        <v>19049.232716206243</v>
      </c>
      <c r="H5" s="301">
        <f t="shared" si="2"/>
        <v>19339.270615558034</v>
      </c>
      <c r="I5" s="301">
        <f t="shared" si="2"/>
        <v>19627.672075536793</v>
      </c>
      <c r="J5" s="301">
        <f t="shared" si="2"/>
        <v>19916.087674420975</v>
      </c>
      <c r="K5" s="301">
        <f t="shared" si="2"/>
        <v>20204.517502596857</v>
      </c>
      <c r="L5" s="301">
        <f t="shared" si="2"/>
        <v>20493.217963827097</v>
      </c>
      <c r="M5" s="301">
        <f t="shared" si="2"/>
        <v>20804.00090127176</v>
      </c>
      <c r="N5" s="301">
        <f t="shared" si="2"/>
        <v>21137.667931712189</v>
      </c>
      <c r="O5" s="301">
        <f t="shared" si="2"/>
        <v>21494.153357146246</v>
      </c>
      <c r="P5" s="301">
        <f t="shared" si="2"/>
        <v>21874.318696552906</v>
      </c>
      <c r="Q5" s="301">
        <f t="shared" si="2"/>
        <v>22279.078783682431</v>
      </c>
      <c r="R5" s="301">
        <f t="shared" si="2"/>
        <v>22709.404316537235</v>
      </c>
      <c r="S5" s="301">
        <f t="shared" si="2"/>
        <v>23166.324557900196</v>
      </c>
      <c r="T5" s="301">
        <f t="shared" si="2"/>
        <v>23650.930194819572</v>
      </c>
      <c r="U5" s="301">
        <f t="shared" si="2"/>
        <v>24164.376365415294</v>
      </c>
      <c r="V5" s="301">
        <f t="shared" si="2"/>
        <v>24707.885861852032</v>
      </c>
      <c r="W5" s="268"/>
    </row>
    <row r="6" spans="2:23" s="30" customFormat="1">
      <c r="B6" s="300" t="s">
        <v>103</v>
      </c>
      <c r="C6" s="301">
        <f t="shared" ref="C6:V6" si="3">C137</f>
        <v>13661.567999999999</v>
      </c>
      <c r="D6" s="301">
        <f t="shared" si="3"/>
        <v>13890.015061978396</v>
      </c>
      <c r="E6" s="301">
        <f t="shared" si="3"/>
        <v>14118.529781886875</v>
      </c>
      <c r="F6" s="301">
        <f t="shared" si="3"/>
        <v>14347.122126457367</v>
      </c>
      <c r="G6" s="301">
        <f t="shared" si="3"/>
        <v>14575.80186489076</v>
      </c>
      <c r="H6" s="301">
        <f t="shared" si="3"/>
        <v>14761.577854644322</v>
      </c>
      <c r="I6" s="301">
        <f t="shared" si="3"/>
        <v>14944.864989643849</v>
      </c>
      <c r="J6" s="301">
        <f t="shared" si="3"/>
        <v>15128.384134167112</v>
      </c>
      <c r="K6" s="301">
        <f t="shared" si="3"/>
        <v>15312.374205114371</v>
      </c>
      <c r="L6" s="301">
        <f t="shared" si="3"/>
        <v>15496.375168208371</v>
      </c>
      <c r="M6" s="301">
        <f t="shared" si="3"/>
        <v>15689.551532527992</v>
      </c>
      <c r="N6" s="301">
        <f t="shared" si="3"/>
        <v>15892.383909727763</v>
      </c>
      <c r="O6" s="301">
        <f t="shared" si="3"/>
        <v>16105.061313249633</v>
      </c>
      <c r="P6" s="301">
        <f t="shared" si="3"/>
        <v>16328.122339933914</v>
      </c>
      <c r="Q6" s="301">
        <f t="shared" si="3"/>
        <v>16562.138147255573</v>
      </c>
      <c r="R6" s="301">
        <f t="shared" si="3"/>
        <v>16807.714484185999</v>
      </c>
      <c r="S6" s="301">
        <f t="shared" si="3"/>
        <v>17065.493850339106</v>
      </c>
      <c r="T6" s="301">
        <f t="shared" si="3"/>
        <v>17336.15779154317</v>
      </c>
      <c r="U6" s="301">
        <f t="shared" si="3"/>
        <v>17620.42934049762</v>
      </c>
      <c r="V6" s="301">
        <f t="shared" si="3"/>
        <v>17919.075611724336</v>
      </c>
      <c r="W6" s="268"/>
    </row>
    <row r="7" spans="2:23" s="30" customFormat="1">
      <c r="B7" s="300" t="s">
        <v>102</v>
      </c>
      <c r="C7" s="301">
        <f t="shared" ref="C7:V7" si="4">C197</f>
        <v>13093.704</v>
      </c>
      <c r="D7" s="301">
        <f t="shared" si="4"/>
        <v>13280.43933371242</v>
      </c>
      <c r="E7" s="301">
        <f t="shared" si="4"/>
        <v>13463.093986298889</v>
      </c>
      <c r="F7" s="301">
        <f t="shared" si="4"/>
        <v>13641.778683789364</v>
      </c>
      <c r="G7" s="301">
        <f t="shared" si="4"/>
        <v>13816.390124972148</v>
      </c>
      <c r="H7" s="301">
        <f t="shared" si="4"/>
        <v>13973.622974837832</v>
      </c>
      <c r="I7" s="301">
        <f t="shared" si="4"/>
        <v>14136.238682215571</v>
      </c>
      <c r="J7" s="301">
        <f t="shared" si="4"/>
        <v>14299.080888407454</v>
      </c>
      <c r="K7" s="301">
        <f t="shared" si="4"/>
        <v>14462.155059023502</v>
      </c>
      <c r="L7" s="301">
        <f t="shared" si="4"/>
        <v>14625.233039820963</v>
      </c>
      <c r="M7" s="301">
        <f t="shared" si="4"/>
        <v>14792.728942540105</v>
      </c>
      <c r="N7" s="301">
        <f t="shared" si="4"/>
        <v>14964.748648016677</v>
      </c>
      <c r="O7" s="301">
        <f t="shared" si="4"/>
        <v>15141.144263598697</v>
      </c>
      <c r="P7" s="301">
        <f t="shared" si="4"/>
        <v>15322.015061061091</v>
      </c>
      <c r="Q7" s="301">
        <f t="shared" si="4"/>
        <v>15507.462777567151</v>
      </c>
      <c r="R7" s="301">
        <f t="shared" si="4"/>
        <v>15697.591677450859</v>
      </c>
      <c r="S7" s="301">
        <f t="shared" si="4"/>
        <v>15892.508615598788</v>
      </c>
      <c r="T7" s="301">
        <f t="shared" si="4"/>
        <v>16092.323102473363</v>
      </c>
      <c r="U7" s="301">
        <f t="shared" si="4"/>
        <v>16297.147370820496</v>
      </c>
      <c r="V7" s="301">
        <f t="shared" si="4"/>
        <v>16507.096444105595</v>
      </c>
      <c r="W7" s="268"/>
    </row>
    <row r="8" spans="2:23" s="30" customFormat="1">
      <c r="B8" s="300" t="s">
        <v>101</v>
      </c>
      <c r="C8" s="301">
        <f t="shared" ref="C8:V8" si="5">C257</f>
        <v>9967.1040000000012</v>
      </c>
      <c r="D8" s="301">
        <f t="shared" si="5"/>
        <v>10091.022544885334</v>
      </c>
      <c r="E8" s="301">
        <f t="shared" si="5"/>
        <v>10211.327470115852</v>
      </c>
      <c r="F8" s="301">
        <f t="shared" si="5"/>
        <v>10332.597584484585</v>
      </c>
      <c r="G8" s="301">
        <f t="shared" si="5"/>
        <v>10453.528113456916</v>
      </c>
      <c r="H8" s="301">
        <f t="shared" si="5"/>
        <v>10594.480170373474</v>
      </c>
      <c r="I8" s="301">
        <f t="shared" si="5"/>
        <v>10758.551133786879</v>
      </c>
      <c r="J8" s="301">
        <f t="shared" si="5"/>
        <v>10923.083242632641</v>
      </c>
      <c r="K8" s="301">
        <f t="shared" si="5"/>
        <v>11087.622377611664</v>
      </c>
      <c r="L8" s="301">
        <f t="shared" si="5"/>
        <v>11252.405360176366</v>
      </c>
      <c r="M8" s="301">
        <f t="shared" si="5"/>
        <v>11422.619038899171</v>
      </c>
      <c r="N8" s="301">
        <f t="shared" si="5"/>
        <v>11598.395463542896</v>
      </c>
      <c r="O8" s="301">
        <f t="shared" si="5"/>
        <v>11779.73570717244</v>
      </c>
      <c r="P8" s="301">
        <f t="shared" si="5"/>
        <v>11966.777832492042</v>
      </c>
      <c r="Q8" s="301">
        <f t="shared" si="5"/>
        <v>12159.664494130317</v>
      </c>
      <c r="R8" s="301">
        <f t="shared" si="5"/>
        <v>12358.543066658709</v>
      </c>
      <c r="S8" s="301">
        <f t="shared" si="5"/>
        <v>12563.565777044527</v>
      </c>
      <c r="T8" s="301">
        <f t="shared" si="5"/>
        <v>12774.889841665878</v>
      </c>
      <c r="U8" s="301">
        <f t="shared" si="5"/>
        <v>12992.677608020465</v>
      </c>
      <c r="V8" s="301">
        <f t="shared" si="5"/>
        <v>13217.096701264791</v>
      </c>
      <c r="W8" s="268"/>
    </row>
    <row r="9" spans="2:23" s="30" customFormat="1">
      <c r="B9" s="300" t="s">
        <v>100</v>
      </c>
      <c r="C9" s="301">
        <f t="shared" ref="C9:V9" si="6">C316</f>
        <v>13531.104000000007</v>
      </c>
      <c r="D9" s="301">
        <f t="shared" si="6"/>
        <v>13724.612845620768</v>
      </c>
      <c r="E9" s="301">
        <f t="shared" si="6"/>
        <v>13918.094883880063</v>
      </c>
      <c r="F9" s="301">
        <f t="shared" si="6"/>
        <v>14111.329841026185</v>
      </c>
      <c r="G9" s="301">
        <f t="shared" si="6"/>
        <v>14305.870186883929</v>
      </c>
      <c r="H9" s="301">
        <f t="shared" si="6"/>
        <v>14535.282527692896</v>
      </c>
      <c r="I9" s="301">
        <f t="shared" si="6"/>
        <v>14763.792445152645</v>
      </c>
      <c r="J9" s="301">
        <f t="shared" si="6"/>
        <v>14993.203623102372</v>
      </c>
      <c r="K9" s="301">
        <f t="shared" si="6"/>
        <v>15223.079169041879</v>
      </c>
      <c r="L9" s="301">
        <f t="shared" si="6"/>
        <v>15453.663177328282</v>
      </c>
      <c r="M9" s="301">
        <f t="shared" si="6"/>
        <v>15691.01488160299</v>
      </c>
      <c r="N9" s="301">
        <f t="shared" si="6"/>
        <v>15935.309002439126</v>
      </c>
      <c r="O9" s="301">
        <f t="shared" si="6"/>
        <v>16186.482150245665</v>
      </c>
      <c r="P9" s="301">
        <f t="shared" si="6"/>
        <v>16444.709419794592</v>
      </c>
      <c r="Q9" s="301">
        <f t="shared" si="6"/>
        <v>16710.171947728079</v>
      </c>
      <c r="R9" s="301">
        <f t="shared" si="6"/>
        <v>16983.05712694921</v>
      </c>
      <c r="S9" s="301">
        <f t="shared" si="6"/>
        <v>17263.558829352107</v>
      </c>
      <c r="T9" s="301">
        <f t="shared" si="6"/>
        <v>17551.877637220314</v>
      </c>
      <c r="U9" s="301">
        <f t="shared" si="6"/>
        <v>17848.221083635668</v>
      </c>
      <c r="V9" s="301">
        <f t="shared" si="6"/>
        <v>18152.803902253381</v>
      </c>
      <c r="W9" s="268"/>
    </row>
    <row r="10" spans="2:23" s="30" customFormat="1">
      <c r="B10" s="300" t="s">
        <v>99</v>
      </c>
      <c r="C10" s="301">
        <f t="shared" ref="C10:V10" si="7">SUM(C4:C9)</f>
        <v>117844.52000000002</v>
      </c>
      <c r="D10" s="301">
        <f t="shared" si="7"/>
        <v>119882.43736251659</v>
      </c>
      <c r="E10" s="301">
        <f t="shared" si="7"/>
        <v>122006.30443300193</v>
      </c>
      <c r="F10" s="301">
        <f t="shared" si="7"/>
        <v>124189.25235897754</v>
      </c>
      <c r="G10" s="301">
        <f t="shared" si="7"/>
        <v>126478.8255424175</v>
      </c>
      <c r="H10" s="301">
        <f t="shared" si="7"/>
        <v>128723.42660724735</v>
      </c>
      <c r="I10" s="301">
        <f t="shared" si="7"/>
        <v>131158.76321513247</v>
      </c>
      <c r="J10" s="301">
        <f t="shared" si="7"/>
        <v>133774.63097013941</v>
      </c>
      <c r="K10" s="301">
        <f t="shared" si="7"/>
        <v>136343.4694516884</v>
      </c>
      <c r="L10" s="301">
        <f t="shared" si="7"/>
        <v>138941.20789939066</v>
      </c>
      <c r="M10" s="301">
        <f t="shared" si="7"/>
        <v>141653.62300740276</v>
      </c>
      <c r="N10" s="301">
        <f t="shared" si="7"/>
        <v>144828.43832582224</v>
      </c>
      <c r="O10" s="301">
        <f t="shared" si="7"/>
        <v>148160.40457228207</v>
      </c>
      <c r="P10" s="301">
        <f t="shared" si="7"/>
        <v>151658.12311431902</v>
      </c>
      <c r="Q10" s="301">
        <f t="shared" si="7"/>
        <v>155330.7544421971</v>
      </c>
      <c r="R10" s="301">
        <f t="shared" si="7"/>
        <v>159188.05531260819</v>
      </c>
      <c r="S10" s="301">
        <f t="shared" si="7"/>
        <v>163240.41847101619</v>
      </c>
      <c r="T10" s="301">
        <f t="shared" si="7"/>
        <v>167498.91513307404</v>
      </c>
      <c r="U10" s="301">
        <f t="shared" si="7"/>
        <v>171975.340418362</v>
      </c>
      <c r="V10" s="301">
        <f t="shared" si="7"/>
        <v>176682.26194342156</v>
      </c>
      <c r="W10" s="268"/>
    </row>
    <row r="11" spans="2:23" s="30" customFormat="1">
      <c r="B11" s="302" t="s">
        <v>98</v>
      </c>
      <c r="C11" s="50"/>
      <c r="D11" s="303">
        <f t="shared" ref="D11:V11" si="8">D10/C10-1</f>
        <v>1.7293272207452359E-2</v>
      </c>
      <c r="E11" s="303">
        <f t="shared" si="8"/>
        <v>1.7716248661702627E-2</v>
      </c>
      <c r="F11" s="303">
        <f t="shared" si="8"/>
        <v>1.7892091200699678E-2</v>
      </c>
      <c r="G11" s="303">
        <f t="shared" si="8"/>
        <v>1.8436162066760797E-2</v>
      </c>
      <c r="H11" s="303">
        <f t="shared" si="8"/>
        <v>1.7746852528110146E-2</v>
      </c>
      <c r="I11" s="303">
        <f t="shared" si="8"/>
        <v>1.8919140610789142E-2</v>
      </c>
      <c r="J11" s="303">
        <f t="shared" si="8"/>
        <v>1.9944285009124929E-2</v>
      </c>
      <c r="K11" s="303">
        <f t="shared" si="8"/>
        <v>1.9202732707387593E-2</v>
      </c>
      <c r="L11" s="303">
        <f t="shared" si="8"/>
        <v>1.9052899696253789E-2</v>
      </c>
      <c r="M11" s="303">
        <f t="shared" si="8"/>
        <v>1.9522034888139084E-2</v>
      </c>
      <c r="N11" s="303">
        <f t="shared" si="8"/>
        <v>2.241252465708965E-2</v>
      </c>
      <c r="O11" s="303">
        <f t="shared" si="8"/>
        <v>2.3006298244850676E-2</v>
      </c>
      <c r="P11" s="303">
        <f t="shared" si="8"/>
        <v>2.360764707773555E-2</v>
      </c>
      <c r="Q11" s="303">
        <f t="shared" si="8"/>
        <v>2.4216515755701717E-2</v>
      </c>
      <c r="R11" s="303">
        <f t="shared" si="8"/>
        <v>2.483282131901654E-2</v>
      </c>
      <c r="S11" s="303">
        <f t="shared" si="8"/>
        <v>2.5456452435769217E-2</v>
      </c>
      <c r="T11" s="303">
        <f t="shared" si="8"/>
        <v>2.6087268716564527E-2</v>
      </c>
      <c r="U11" s="303">
        <f t="shared" si="8"/>
        <v>2.6725100169941562E-2</v>
      </c>
      <c r="V11" s="303">
        <f t="shared" si="8"/>
        <v>2.736974681142712E-2</v>
      </c>
      <c r="W11" s="268"/>
    </row>
    <row r="12" spans="2:23" s="30" customFormat="1" ht="15.75" thickBot="1">
      <c r="B12" s="51"/>
      <c r="C12" s="50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268"/>
    </row>
    <row r="13" spans="2:23" s="30" customFormat="1" ht="15.75" thickBot="1">
      <c r="B13" s="33"/>
      <c r="C13" s="32">
        <v>2011</v>
      </c>
      <c r="D13" s="32">
        <f t="shared" ref="D13:V13" si="9">C13+1</f>
        <v>2012</v>
      </c>
      <c r="E13" s="32">
        <f t="shared" si="9"/>
        <v>2013</v>
      </c>
      <c r="F13" s="32">
        <f t="shared" si="9"/>
        <v>2014</v>
      </c>
      <c r="G13" s="32">
        <f t="shared" si="9"/>
        <v>2015</v>
      </c>
      <c r="H13" s="32">
        <f t="shared" si="9"/>
        <v>2016</v>
      </c>
      <c r="I13" s="32">
        <f t="shared" si="9"/>
        <v>2017</v>
      </c>
      <c r="J13" s="32">
        <f t="shared" si="9"/>
        <v>2018</v>
      </c>
      <c r="K13" s="32">
        <f t="shared" si="9"/>
        <v>2019</v>
      </c>
      <c r="L13" s="32">
        <f t="shared" si="9"/>
        <v>2020</v>
      </c>
      <c r="M13" s="32">
        <f t="shared" si="9"/>
        <v>2021</v>
      </c>
      <c r="N13" s="32">
        <f t="shared" si="9"/>
        <v>2022</v>
      </c>
      <c r="O13" s="32">
        <f t="shared" si="9"/>
        <v>2023</v>
      </c>
      <c r="P13" s="32">
        <f t="shared" si="9"/>
        <v>2024</v>
      </c>
      <c r="Q13" s="32">
        <f t="shared" si="9"/>
        <v>2025</v>
      </c>
      <c r="R13" s="32">
        <f t="shared" si="9"/>
        <v>2026</v>
      </c>
      <c r="S13" s="32">
        <f t="shared" si="9"/>
        <v>2027</v>
      </c>
      <c r="T13" s="32">
        <f t="shared" si="9"/>
        <v>2028</v>
      </c>
      <c r="U13" s="32">
        <f t="shared" si="9"/>
        <v>2029</v>
      </c>
      <c r="V13" s="31">
        <f t="shared" si="9"/>
        <v>2030</v>
      </c>
      <c r="W13" s="268"/>
    </row>
    <row r="14" spans="2:23" hidden="1" outlineLevel="1">
      <c r="B14" s="13" t="s">
        <v>66</v>
      </c>
      <c r="C14" s="29">
        <v>311591919</v>
      </c>
      <c r="D14" s="29">
        <v>313914040</v>
      </c>
      <c r="E14" s="29">
        <f t="shared" ref="E14:V14" si="10">D14*1.0072</f>
        <v>316174221.08800006</v>
      </c>
      <c r="F14" s="29">
        <f t="shared" si="10"/>
        <v>318450675.47983366</v>
      </c>
      <c r="G14" s="29">
        <f t="shared" si="10"/>
        <v>320743520.34328848</v>
      </c>
      <c r="H14" s="29">
        <f t="shared" si="10"/>
        <v>323052873.68976021</v>
      </c>
      <c r="I14" s="29">
        <f t="shared" si="10"/>
        <v>325378854.38032651</v>
      </c>
      <c r="J14" s="29">
        <f t="shared" si="10"/>
        <v>327721582.13186491</v>
      </c>
      <c r="K14" s="29">
        <f t="shared" si="10"/>
        <v>330081177.52321434</v>
      </c>
      <c r="L14" s="29">
        <f t="shared" si="10"/>
        <v>332457762.00138152</v>
      </c>
      <c r="M14" s="29">
        <f t="shared" si="10"/>
        <v>334851457.88779151</v>
      </c>
      <c r="N14" s="29">
        <f t="shared" si="10"/>
        <v>337262388.38458365</v>
      </c>
      <c r="O14" s="29">
        <f t="shared" si="10"/>
        <v>339690677.5809527</v>
      </c>
      <c r="P14" s="29">
        <f t="shared" si="10"/>
        <v>342136450.4595356</v>
      </c>
      <c r="Q14" s="29">
        <f t="shared" si="10"/>
        <v>344599832.90284431</v>
      </c>
      <c r="R14" s="29">
        <f t="shared" si="10"/>
        <v>347080951.69974482</v>
      </c>
      <c r="S14" s="29">
        <f t="shared" si="10"/>
        <v>349579934.551983</v>
      </c>
      <c r="T14" s="29">
        <f t="shared" si="10"/>
        <v>352096910.08075732</v>
      </c>
      <c r="U14" s="29">
        <f t="shared" si="10"/>
        <v>354632007.8333388</v>
      </c>
      <c r="V14" s="29">
        <f t="shared" si="10"/>
        <v>357185358.28973889</v>
      </c>
    </row>
    <row r="15" spans="2:23" ht="15.75" hidden="1" outlineLevel="1" thickBot="1">
      <c r="B15" s="13" t="s">
        <v>87</v>
      </c>
      <c r="C15" s="48">
        <f>50000/C14</f>
        <v>1.6046629245221216E-4</v>
      </c>
      <c r="D15" s="48">
        <f t="shared" ref="D15:V15" si="11">D16/D14</f>
        <v>1.6227644884561198E-4</v>
      </c>
      <c r="E15" s="48">
        <f t="shared" si="11"/>
        <v>1.6438766559106419E-4</v>
      </c>
      <c r="F15" s="48">
        <f t="shared" si="11"/>
        <v>1.6665676188659363E-4</v>
      </c>
      <c r="G15" s="48">
        <f t="shared" si="11"/>
        <v>1.692255621498271E-4</v>
      </c>
      <c r="H15" s="48">
        <f t="shared" si="11"/>
        <v>1.7185791239070658E-4</v>
      </c>
      <c r="I15" s="48">
        <f t="shared" si="11"/>
        <v>1.7495803160661315E-4</v>
      </c>
      <c r="J15" s="48">
        <f t="shared" si="11"/>
        <v>1.7855031404024021E-4</v>
      </c>
      <c r="K15" s="48">
        <f t="shared" si="11"/>
        <v>1.8193621820219235E-4</v>
      </c>
      <c r="L15" s="48">
        <f t="shared" si="11"/>
        <v>1.8534779521788857E-4</v>
      </c>
      <c r="M15" s="48">
        <f t="shared" si="11"/>
        <v>1.8890079831086474E-4</v>
      </c>
      <c r="N15" s="48">
        <f t="shared" si="11"/>
        <v>1.9361759751259733E-4</v>
      </c>
      <c r="O15" s="48">
        <f t="shared" si="11"/>
        <v>1.9857426839391034E-4</v>
      </c>
      <c r="P15" s="48">
        <f t="shared" si="11"/>
        <v>2.0378471709412479E-4</v>
      </c>
      <c r="Q15" s="48">
        <f t="shared" si="11"/>
        <v>2.0926370649797929E-4</v>
      </c>
      <c r="R15" s="48">
        <f t="shared" si="11"/>
        <v>2.1502691022176609E-4</v>
      </c>
      <c r="S15" s="48">
        <f t="shared" si="11"/>
        <v>2.2109097005191091E-4</v>
      </c>
      <c r="T15" s="48">
        <f t="shared" si="11"/>
        <v>2.274735570584291E-4</v>
      </c>
      <c r="U15" s="48">
        <f t="shared" si="11"/>
        <v>2.3419343662009053E-4</v>
      </c>
      <c r="V15" s="48">
        <f t="shared" si="11"/>
        <v>2.4127053761345939E-4</v>
      </c>
    </row>
    <row r="16" spans="2:23" ht="15.75" hidden="1" outlineLevel="1" thickBot="1">
      <c r="B16" s="340" t="s">
        <v>97</v>
      </c>
      <c r="C16" s="341">
        <f>C14*C15</f>
        <v>50000.000000000007</v>
      </c>
      <c r="D16" s="342">
        <f t="shared" ref="D16:V16" si="12">SUM(D17:D19)</f>
        <v>50940.855653979394</v>
      </c>
      <c r="E16" s="342">
        <f t="shared" si="12"/>
        <v>51975.142124729347</v>
      </c>
      <c r="F16" s="342">
        <f t="shared" si="12"/>
        <v>53071.958396067537</v>
      </c>
      <c r="G16" s="342">
        <f t="shared" si="12"/>
        <v>54278.002536007494</v>
      </c>
      <c r="H16" s="342">
        <f t="shared" si="12"/>
        <v>55519.192464140811</v>
      </c>
      <c r="I16" s="342">
        <f t="shared" si="12"/>
        <v>56927.643888796738</v>
      </c>
      <c r="J16" s="342">
        <f t="shared" si="12"/>
        <v>58514.791407408855</v>
      </c>
      <c r="K16" s="342">
        <f t="shared" si="12"/>
        <v>60053.721138300112</v>
      </c>
      <c r="L16" s="342">
        <f t="shared" si="12"/>
        <v>61620.313190029599</v>
      </c>
      <c r="M16" s="342">
        <f t="shared" si="12"/>
        <v>63253.707710560724</v>
      </c>
      <c r="N16" s="342">
        <f t="shared" si="12"/>
        <v>65299.933370383602</v>
      </c>
      <c r="O16" s="342">
        <f t="shared" si="12"/>
        <v>67453.827780869367</v>
      </c>
      <c r="P16" s="342">
        <f t="shared" si="12"/>
        <v>69722.179764484506</v>
      </c>
      <c r="Q16" s="342">
        <f t="shared" si="12"/>
        <v>72112.238291833521</v>
      </c>
      <c r="R16" s="342">
        <f t="shared" si="12"/>
        <v>74631.74464082616</v>
      </c>
      <c r="S16" s="342">
        <f t="shared" si="12"/>
        <v>77288.966840781446</v>
      </c>
      <c r="T16" s="342">
        <f t="shared" si="12"/>
        <v>80092.736565351734</v>
      </c>
      <c r="U16" s="342">
        <f t="shared" si="12"/>
        <v>83052.488649972482</v>
      </c>
      <c r="V16" s="343">
        <f t="shared" si="12"/>
        <v>86178.303422221419</v>
      </c>
    </row>
    <row r="17" spans="2:23" hidden="1" outlineLevel="1">
      <c r="B17" s="13" t="s">
        <v>317</v>
      </c>
      <c r="C17" s="19">
        <f>C16*0.1</f>
        <v>5000.0000000000009</v>
      </c>
      <c r="D17" s="19">
        <f t="shared" ref="D17:V17" si="13">1000*C20*SUM(D25:D30)</f>
        <v>5031.8714948050801</v>
      </c>
      <c r="E17" s="19">
        <f t="shared" si="13"/>
        <v>5062.8850664903166</v>
      </c>
      <c r="F17" s="19">
        <f t="shared" si="13"/>
        <v>5093.0403260895901</v>
      </c>
      <c r="G17" s="19">
        <f t="shared" si="13"/>
        <v>5121.0584113493378</v>
      </c>
      <c r="H17" s="19">
        <f t="shared" si="13"/>
        <v>5150.1530964808953</v>
      </c>
      <c r="I17" s="19">
        <f t="shared" si="13"/>
        <v>5178.3171412767069</v>
      </c>
      <c r="J17" s="19">
        <f t="shared" si="13"/>
        <v>5205.9499555958218</v>
      </c>
      <c r="K17" s="19">
        <f t="shared" si="13"/>
        <v>5234.5102596251199</v>
      </c>
      <c r="L17" s="19">
        <f t="shared" si="13"/>
        <v>5261.1554111754813</v>
      </c>
      <c r="M17" s="19">
        <f t="shared" si="13"/>
        <v>5290.2643908119026</v>
      </c>
      <c r="N17" s="19">
        <f t="shared" si="13"/>
        <v>5321.0665594115917</v>
      </c>
      <c r="O17" s="19">
        <f t="shared" si="13"/>
        <v>5352.3441812275287</v>
      </c>
      <c r="P17" s="19">
        <f t="shared" si="13"/>
        <v>5384.0980818262387</v>
      </c>
      <c r="Q17" s="19">
        <f t="shared" si="13"/>
        <v>5416.3291600816556</v>
      </c>
      <c r="R17" s="19">
        <f t="shared" si="13"/>
        <v>5449.0383877250933</v>
      </c>
      <c r="S17" s="19">
        <f t="shared" si="13"/>
        <v>5482.2268089116178</v>
      </c>
      <c r="T17" s="19">
        <f t="shared" si="13"/>
        <v>5515.8955398025983</v>
      </c>
      <c r="U17" s="19">
        <f t="shared" si="13"/>
        <v>5550.0457681642356</v>
      </c>
      <c r="V17" s="19">
        <f t="shared" si="13"/>
        <v>5584.6787529818703</v>
      </c>
    </row>
    <row r="18" spans="2:23" hidden="1" outlineLevel="1">
      <c r="B18" s="13" t="s">
        <v>313</v>
      </c>
      <c r="C18" s="5">
        <f>C16*0.35</f>
        <v>17500</v>
      </c>
      <c r="D18" s="19">
        <f t="shared" ref="D18:V18" si="14">1000*C21*(SUM(D31:D33))</f>
        <v>18160.44381837883</v>
      </c>
      <c r="E18" s="19">
        <f t="shared" si="14"/>
        <v>18832.415726762931</v>
      </c>
      <c r="F18" s="19">
        <f t="shared" si="14"/>
        <v>19527.103821060533</v>
      </c>
      <c r="G18" s="19">
        <f t="shared" si="14"/>
        <v>20262.877471462649</v>
      </c>
      <c r="H18" s="19">
        <f t="shared" si="14"/>
        <v>20966.858150536813</v>
      </c>
      <c r="I18" s="19">
        <f t="shared" si="14"/>
        <v>21644.138723228811</v>
      </c>
      <c r="J18" s="19">
        <f t="shared" si="14"/>
        <v>22275.381805066161</v>
      </c>
      <c r="K18" s="19">
        <f t="shared" si="14"/>
        <v>22911.175611002865</v>
      </c>
      <c r="L18" s="19">
        <f t="shared" si="14"/>
        <v>23608.241902352289</v>
      </c>
      <c r="M18" s="19">
        <f t="shared" si="14"/>
        <v>24207.592040504151</v>
      </c>
      <c r="N18" s="19">
        <f t="shared" si="14"/>
        <v>24581.700493436885</v>
      </c>
      <c r="O18" s="19">
        <f t="shared" si="14"/>
        <v>24963.151105157918</v>
      </c>
      <c r="P18" s="19">
        <f t="shared" si="14"/>
        <v>25352.109067978006</v>
      </c>
      <c r="Q18" s="19">
        <f t="shared" si="14"/>
        <v>25748.74355118136</v>
      </c>
      <c r="R18" s="19">
        <f t="shared" si="14"/>
        <v>26153.227800027165</v>
      </c>
      <c r="S18" s="19">
        <f t="shared" si="14"/>
        <v>26565.739237258771</v>
      </c>
      <c r="T18" s="19">
        <f t="shared" si="14"/>
        <v>26986.459567184575</v>
      </c>
      <c r="U18" s="19">
        <f t="shared" si="14"/>
        <v>27415.574882396384</v>
      </c>
      <c r="V18" s="19">
        <f t="shared" si="14"/>
        <v>27853.27577319273</v>
      </c>
    </row>
    <row r="19" spans="2:23" hidden="1" outlineLevel="1">
      <c r="B19" s="13" t="s">
        <v>315</v>
      </c>
      <c r="C19" s="5">
        <f>C16*0.55</f>
        <v>27500.000000000007</v>
      </c>
      <c r="D19" s="19">
        <f t="shared" ref="D19:V19" si="15">1000*C22*(SUM(D34:D36))</f>
        <v>27748.540340795484</v>
      </c>
      <c r="E19" s="19">
        <f t="shared" si="15"/>
        <v>28079.841331476095</v>
      </c>
      <c r="F19" s="19">
        <f t="shared" si="15"/>
        <v>28451.81424891741</v>
      </c>
      <c r="G19" s="19">
        <f t="shared" si="15"/>
        <v>28894.066653195503</v>
      </c>
      <c r="H19" s="19">
        <f t="shared" si="15"/>
        <v>29402.181217123107</v>
      </c>
      <c r="I19" s="19">
        <f t="shared" si="15"/>
        <v>30105.188024291216</v>
      </c>
      <c r="J19" s="19">
        <f t="shared" si="15"/>
        <v>31033.459646746873</v>
      </c>
      <c r="K19" s="19">
        <f t="shared" si="15"/>
        <v>31908.035267672127</v>
      </c>
      <c r="L19" s="19">
        <f t="shared" si="15"/>
        <v>32750.915876501829</v>
      </c>
      <c r="M19" s="19">
        <f t="shared" si="15"/>
        <v>33755.851279244671</v>
      </c>
      <c r="N19" s="19">
        <f t="shared" si="15"/>
        <v>35397.166317535128</v>
      </c>
      <c r="O19" s="19">
        <f t="shared" si="15"/>
        <v>37138.332494483919</v>
      </c>
      <c r="P19" s="19">
        <f t="shared" si="15"/>
        <v>38985.972614680264</v>
      </c>
      <c r="Q19" s="19">
        <f t="shared" si="15"/>
        <v>40947.165580570509</v>
      </c>
      <c r="R19" s="19">
        <f t="shared" si="15"/>
        <v>43029.478453073898</v>
      </c>
      <c r="S19" s="19">
        <f t="shared" si="15"/>
        <v>45241.000794611056</v>
      </c>
      <c r="T19" s="19">
        <f t="shared" si="15"/>
        <v>47590.381458364558</v>
      </c>
      <c r="U19" s="19">
        <f t="shared" si="15"/>
        <v>50086.867999411857</v>
      </c>
      <c r="V19" s="19">
        <f t="shared" si="15"/>
        <v>52740.348896046817</v>
      </c>
    </row>
    <row r="20" spans="2:23" hidden="1" outlineLevel="1">
      <c r="B20" s="13" t="s">
        <v>318</v>
      </c>
      <c r="C20" s="47">
        <f t="shared" ref="C20:V20" si="16">C17/(1000*SUM(C25:C30))</f>
        <v>1.9685056902599114E-5</v>
      </c>
      <c r="D20" s="47">
        <f t="shared" si="16"/>
        <v>1.9685056902599114E-5</v>
      </c>
      <c r="E20" s="47">
        <f t="shared" si="16"/>
        <v>1.9685056902599114E-5</v>
      </c>
      <c r="F20" s="47">
        <f t="shared" si="16"/>
        <v>1.9685056902599114E-5</v>
      </c>
      <c r="G20" s="47">
        <f t="shared" si="16"/>
        <v>1.9685056902599114E-5</v>
      </c>
      <c r="H20" s="47">
        <f t="shared" si="16"/>
        <v>1.968505690259911E-5</v>
      </c>
      <c r="I20" s="47">
        <f t="shared" si="16"/>
        <v>1.968505690259911E-5</v>
      </c>
      <c r="J20" s="47">
        <f t="shared" si="16"/>
        <v>1.9685056902599107E-5</v>
      </c>
      <c r="K20" s="47">
        <f t="shared" si="16"/>
        <v>1.9685056902599107E-5</v>
      </c>
      <c r="L20" s="47">
        <f t="shared" si="16"/>
        <v>1.9685056902599107E-5</v>
      </c>
      <c r="M20" s="47">
        <f t="shared" si="16"/>
        <v>1.9685056902599107E-5</v>
      </c>
      <c r="N20" s="47">
        <f t="shared" si="16"/>
        <v>1.9685056902599107E-5</v>
      </c>
      <c r="O20" s="47">
        <f t="shared" si="16"/>
        <v>1.9685056902599107E-5</v>
      </c>
      <c r="P20" s="47">
        <f t="shared" si="16"/>
        <v>1.9685056902599107E-5</v>
      </c>
      <c r="Q20" s="47">
        <f t="shared" si="16"/>
        <v>1.9685056902599107E-5</v>
      </c>
      <c r="R20" s="47">
        <f t="shared" si="16"/>
        <v>1.9685056902599107E-5</v>
      </c>
      <c r="S20" s="47">
        <f t="shared" si="16"/>
        <v>1.9685056902599103E-5</v>
      </c>
      <c r="T20" s="47">
        <f t="shared" si="16"/>
        <v>1.9685056902599103E-5</v>
      </c>
      <c r="U20" s="47">
        <f t="shared" si="16"/>
        <v>1.9685056902599103E-5</v>
      </c>
      <c r="V20" s="47">
        <f t="shared" si="16"/>
        <v>1.9685056902599103E-5</v>
      </c>
    </row>
    <row r="21" spans="2:23" hidden="1" outlineLevel="1">
      <c r="B21" s="13" t="s">
        <v>314</v>
      </c>
      <c r="C21" s="46">
        <f t="shared" ref="C21:V21" si="17">C18/(1000*(SUM(C31:C33)))</f>
        <v>4.4576808671878881E-4</v>
      </c>
      <c r="D21" s="46">
        <f t="shared" si="17"/>
        <v>4.4576808671878887E-4</v>
      </c>
      <c r="E21" s="46">
        <f t="shared" si="17"/>
        <v>4.4576808671878892E-4</v>
      </c>
      <c r="F21" s="46">
        <f t="shared" si="17"/>
        <v>4.4576808671878892E-4</v>
      </c>
      <c r="G21" s="46">
        <f t="shared" si="17"/>
        <v>4.4576808671878897E-4</v>
      </c>
      <c r="H21" s="46">
        <f t="shared" si="17"/>
        <v>4.4576808671878892E-4</v>
      </c>
      <c r="I21" s="46">
        <f t="shared" si="17"/>
        <v>4.4576808671878892E-4</v>
      </c>
      <c r="J21" s="46">
        <f t="shared" si="17"/>
        <v>4.4576808671878887E-4</v>
      </c>
      <c r="K21" s="46">
        <f t="shared" si="17"/>
        <v>4.4576808671878887E-4</v>
      </c>
      <c r="L21" s="46">
        <f t="shared" si="17"/>
        <v>4.4576808671878887E-4</v>
      </c>
      <c r="M21" s="46">
        <f t="shared" si="17"/>
        <v>4.4576808671878892E-4</v>
      </c>
      <c r="N21" s="46">
        <f t="shared" si="17"/>
        <v>4.4576808671878892E-4</v>
      </c>
      <c r="O21" s="46">
        <f t="shared" si="17"/>
        <v>4.4576808671878887E-4</v>
      </c>
      <c r="P21" s="46">
        <f t="shared" si="17"/>
        <v>4.4576808671878881E-4</v>
      </c>
      <c r="Q21" s="46">
        <f t="shared" si="17"/>
        <v>4.4576808671878881E-4</v>
      </c>
      <c r="R21" s="46">
        <f t="shared" si="17"/>
        <v>4.4576808671878881E-4</v>
      </c>
      <c r="S21" s="46">
        <f t="shared" si="17"/>
        <v>4.4576808671878881E-4</v>
      </c>
      <c r="T21" s="46">
        <f t="shared" si="17"/>
        <v>4.4576808671878876E-4</v>
      </c>
      <c r="U21" s="46">
        <f t="shared" si="17"/>
        <v>4.4576808671878881E-4</v>
      </c>
      <c r="V21" s="46">
        <f t="shared" si="17"/>
        <v>4.4576808671878881E-4</v>
      </c>
    </row>
    <row r="22" spans="2:23" hidden="1" outlineLevel="1">
      <c r="B22" s="13" t="s">
        <v>316</v>
      </c>
      <c r="C22" s="45">
        <f t="shared" ref="C22:V22" si="18">C19/(1000*(SUM(C34:C36)))</f>
        <v>1.4693068817516514E-3</v>
      </c>
      <c r="D22" s="45">
        <f t="shared" si="18"/>
        <v>1.4693068817516516E-3</v>
      </c>
      <c r="E22" s="45">
        <f t="shared" si="18"/>
        <v>1.4693068817516516E-3</v>
      </c>
      <c r="F22" s="45">
        <f t="shared" si="18"/>
        <v>1.4693068817516516E-3</v>
      </c>
      <c r="G22" s="45">
        <f t="shared" si="18"/>
        <v>1.4693068817516518E-3</v>
      </c>
      <c r="H22" s="45">
        <f t="shared" si="18"/>
        <v>1.469306881751652E-3</v>
      </c>
      <c r="I22" s="45">
        <f t="shared" si="18"/>
        <v>1.4693068817516522E-3</v>
      </c>
      <c r="J22" s="45">
        <f t="shared" si="18"/>
        <v>1.469306881751652E-3</v>
      </c>
      <c r="K22" s="45">
        <f t="shared" si="18"/>
        <v>1.4693068817516522E-3</v>
      </c>
      <c r="L22" s="45">
        <f t="shared" si="18"/>
        <v>1.469306881751652E-3</v>
      </c>
      <c r="M22" s="45">
        <f t="shared" si="18"/>
        <v>1.469306881751652E-3</v>
      </c>
      <c r="N22" s="45">
        <f t="shared" si="18"/>
        <v>1.469306881751652E-3</v>
      </c>
      <c r="O22" s="45">
        <f t="shared" si="18"/>
        <v>1.4693068817516522E-3</v>
      </c>
      <c r="P22" s="45">
        <f t="shared" si="18"/>
        <v>1.469306881751652E-3</v>
      </c>
      <c r="Q22" s="45">
        <f t="shared" si="18"/>
        <v>1.4693068817516522E-3</v>
      </c>
      <c r="R22" s="45">
        <f t="shared" si="18"/>
        <v>1.4693068817516522E-3</v>
      </c>
      <c r="S22" s="45">
        <f t="shared" si="18"/>
        <v>1.4693068817516522E-3</v>
      </c>
      <c r="T22" s="45">
        <f t="shared" si="18"/>
        <v>1.469306881751652E-3</v>
      </c>
      <c r="U22" s="45">
        <f t="shared" si="18"/>
        <v>1.4693068817516522E-3</v>
      </c>
      <c r="V22" s="45">
        <f t="shared" si="18"/>
        <v>1.4693068817516522E-3</v>
      </c>
    </row>
    <row r="23" spans="2:23" ht="15.75" hidden="1" outlineLevel="1" thickBot="1"/>
    <row r="24" spans="2:23" ht="15.75" hidden="1" outlineLevel="1" thickBot="1">
      <c r="B24" s="304" t="s">
        <v>85</v>
      </c>
      <c r="C24" s="32">
        <v>2011</v>
      </c>
      <c r="D24" s="32">
        <v>2012</v>
      </c>
      <c r="E24" s="32">
        <v>2013</v>
      </c>
      <c r="F24" s="32">
        <v>2014</v>
      </c>
      <c r="G24" s="32">
        <v>2015</v>
      </c>
      <c r="H24" s="32">
        <v>2016</v>
      </c>
      <c r="I24" s="32">
        <v>2017</v>
      </c>
      <c r="J24" s="32">
        <v>2018</v>
      </c>
      <c r="K24" s="32">
        <v>2019</v>
      </c>
      <c r="L24" s="32">
        <v>2020</v>
      </c>
      <c r="M24" s="32">
        <v>2021</v>
      </c>
      <c r="N24" s="32">
        <v>2022</v>
      </c>
      <c r="O24" s="32">
        <f t="shared" ref="O24:V24" si="19">N24+1</f>
        <v>2023</v>
      </c>
      <c r="P24" s="32">
        <f t="shared" si="19"/>
        <v>2024</v>
      </c>
      <c r="Q24" s="32">
        <f t="shared" si="19"/>
        <v>2025</v>
      </c>
      <c r="R24" s="32">
        <f t="shared" si="19"/>
        <v>2026</v>
      </c>
      <c r="S24" s="32">
        <f t="shared" si="19"/>
        <v>2027</v>
      </c>
      <c r="T24" s="32">
        <f t="shared" si="19"/>
        <v>2028</v>
      </c>
      <c r="U24" s="32">
        <f t="shared" si="19"/>
        <v>2029</v>
      </c>
      <c r="V24" s="31">
        <f t="shared" si="19"/>
        <v>2030</v>
      </c>
      <c r="W24" s="166" t="s">
        <v>220</v>
      </c>
    </row>
    <row r="25" spans="2:23" hidden="1" outlineLevel="1">
      <c r="B25" s="13" t="s">
        <v>82</v>
      </c>
      <c r="C25" s="19">
        <v>84446.99942563384</v>
      </c>
      <c r="D25" s="19">
        <v>84959.049067976244</v>
      </c>
      <c r="E25" s="19">
        <v>85562.25602080347</v>
      </c>
      <c r="F25" s="19">
        <v>86270.116984111533</v>
      </c>
      <c r="G25" s="19">
        <v>87041.306032702167</v>
      </c>
      <c r="H25" s="19">
        <v>87874.054694794919</v>
      </c>
      <c r="I25" s="19">
        <v>88794.950313453461</v>
      </c>
      <c r="J25" s="19">
        <v>89748.805701423713</v>
      </c>
      <c r="K25" s="19">
        <v>90691.382388921484</v>
      </c>
      <c r="L25" s="19">
        <v>91621.993734668882</v>
      </c>
      <c r="M25" s="19">
        <v>92431.436112235882</v>
      </c>
      <c r="N25" s="19">
        <v>93267.415446240426</v>
      </c>
      <c r="O25" s="19">
        <f t="shared" ref="O25:V37" si="20">N25*(1+$W25)</f>
        <v>94110.955643478068</v>
      </c>
      <c r="P25" s="19">
        <f t="shared" si="20"/>
        <v>94962.125086802902</v>
      </c>
      <c r="Q25" s="19">
        <f t="shared" si="20"/>
        <v>95820.992777545325</v>
      </c>
      <c r="R25" s="19">
        <f t="shared" si="20"/>
        <v>96687.628341105752</v>
      </c>
      <c r="S25" s="19">
        <f t="shared" si="20"/>
        <v>97562.102032598865</v>
      </c>
      <c r="T25" s="19">
        <f t="shared" si="20"/>
        <v>98444.484742548972</v>
      </c>
      <c r="U25" s="19">
        <f t="shared" si="20"/>
        <v>99334.848002636878</v>
      </c>
      <c r="V25" s="19">
        <f t="shared" si="20"/>
        <v>100233.26399149864</v>
      </c>
      <c r="W25" s="305">
        <f t="shared" ref="W25:W37" si="21">N25/M25-1</f>
        <v>9.0443183527890714E-3</v>
      </c>
    </row>
    <row r="26" spans="2:23" hidden="1" outlineLevel="1">
      <c r="B26" s="13" t="s">
        <v>81</v>
      </c>
      <c r="C26" s="19">
        <v>43562.516398894935</v>
      </c>
      <c r="D26" s="19">
        <v>43967.209924432711</v>
      </c>
      <c r="E26" s="19">
        <v>44329.270436411563</v>
      </c>
      <c r="F26" s="19">
        <v>44649.501156930659</v>
      </c>
      <c r="G26" s="19">
        <v>44884.58638304544</v>
      </c>
      <c r="H26" s="19">
        <v>45060.657014265082</v>
      </c>
      <c r="I26" s="19">
        <v>45177.930404663144</v>
      </c>
      <c r="J26" s="19">
        <v>45218.700101027687</v>
      </c>
      <c r="K26" s="19">
        <v>45216.209420939114</v>
      </c>
      <c r="L26" s="19">
        <v>45123.458509905751</v>
      </c>
      <c r="M26" s="19">
        <v>45188.8050241534</v>
      </c>
      <c r="N26" s="19">
        <v>45316.493626568015</v>
      </c>
      <c r="O26" s="19">
        <f t="shared" si="20"/>
        <v>45444.543034699396</v>
      </c>
      <c r="P26" s="19">
        <f t="shared" si="20"/>
        <v>45572.954268065048</v>
      </c>
      <c r="Q26" s="19">
        <f t="shared" si="20"/>
        <v>45701.728349063298</v>
      </c>
      <c r="R26" s="19">
        <f t="shared" si="20"/>
        <v>45830.86630298142</v>
      </c>
      <c r="S26" s="19">
        <f t="shared" si="20"/>
        <v>45960.369158003828</v>
      </c>
      <c r="T26" s="19">
        <f t="shared" si="20"/>
        <v>46090.237945220229</v>
      </c>
      <c r="U26" s="19">
        <f t="shared" si="20"/>
        <v>46220.473698633861</v>
      </c>
      <c r="V26" s="19">
        <f t="shared" si="20"/>
        <v>46351.077455169703</v>
      </c>
      <c r="W26" s="305">
        <f t="shared" si="21"/>
        <v>2.825668931638381E-3</v>
      </c>
    </row>
    <row r="27" spans="2:23" hidden="1" outlineLevel="1">
      <c r="B27" s="13" t="s">
        <v>80</v>
      </c>
      <c r="C27" s="19">
        <v>40873.181602886005</v>
      </c>
      <c r="D27" s="19">
        <v>41298.597863393145</v>
      </c>
      <c r="E27" s="19">
        <v>41879.923188849607</v>
      </c>
      <c r="F27" s="19">
        <v>42509.329211327262</v>
      </c>
      <c r="G27" s="19">
        <v>43110.664943175609</v>
      </c>
      <c r="H27" s="19">
        <v>43791.208451327395</v>
      </c>
      <c r="I27" s="19">
        <v>44411.43126419645</v>
      </c>
      <c r="J27" s="19">
        <v>45008.872406235532</v>
      </c>
      <c r="K27" s="19">
        <v>45567.703561022972</v>
      </c>
      <c r="L27" s="19">
        <v>46068.795594137948</v>
      </c>
      <c r="M27" s="19">
        <v>46508.279603070783</v>
      </c>
      <c r="N27" s="19">
        <v>46933.967556169897</v>
      </c>
      <c r="O27" s="19">
        <f t="shared" si="20"/>
        <v>47363.551809776363</v>
      </c>
      <c r="P27" s="19">
        <f t="shared" si="20"/>
        <v>47797.068026533518</v>
      </c>
      <c r="Q27" s="19">
        <f t="shared" si="20"/>
        <v>48234.552195503093</v>
      </c>
      <c r="R27" s="19">
        <f t="shared" si="20"/>
        <v>48676.04063515288</v>
      </c>
      <c r="S27" s="19">
        <f t="shared" si="20"/>
        <v>49121.569996371807</v>
      </c>
      <c r="T27" s="19">
        <f t="shared" si="20"/>
        <v>49571.177265512539</v>
      </c>
      <c r="U27" s="19">
        <f t="shared" si="20"/>
        <v>50024.899767461975</v>
      </c>
      <c r="V27" s="19">
        <f t="shared" si="20"/>
        <v>50482.775168739834</v>
      </c>
      <c r="W27" s="305">
        <f t="shared" si="21"/>
        <v>9.1529498990756686E-3</v>
      </c>
    </row>
    <row r="28" spans="2:23" hidden="1" outlineLevel="1">
      <c r="B28" s="13" t="s">
        <v>79</v>
      </c>
      <c r="C28" s="19">
        <v>43108.381737429998</v>
      </c>
      <c r="D28" s="19">
        <v>42765.33575499682</v>
      </c>
      <c r="E28" s="19">
        <v>42294.548807576757</v>
      </c>
      <c r="F28" s="19">
        <v>41760.093912140888</v>
      </c>
      <c r="G28" s="19">
        <v>41390.739195047434</v>
      </c>
      <c r="H28" s="19">
        <v>41246.904148885282</v>
      </c>
      <c r="I28" s="19">
        <v>41285.064608393841</v>
      </c>
      <c r="J28" s="19">
        <v>41430.598968222133</v>
      </c>
      <c r="K28" s="19">
        <v>41607.914445499526</v>
      </c>
      <c r="L28" s="19">
        <v>41772.758738818957</v>
      </c>
      <c r="M28" s="19">
        <v>42069.53300290693</v>
      </c>
      <c r="N28" s="19">
        <v>42532.132617564603</v>
      </c>
      <c r="O28" s="19">
        <f t="shared" si="20"/>
        <v>42999.819010900486</v>
      </c>
      <c r="P28" s="19">
        <f t="shared" si="20"/>
        <v>43472.648117499259</v>
      </c>
      <c r="Q28" s="19">
        <f t="shared" si="20"/>
        <v>43950.676487006334</v>
      </c>
      <c r="R28" s="19">
        <f t="shared" si="20"/>
        <v>44433.961290891086</v>
      </c>
      <c r="S28" s="19">
        <f t="shared" si="20"/>
        <v>44922.560329284497</v>
      </c>
      <c r="T28" s="19">
        <f t="shared" si="20"/>
        <v>45416.532037891935</v>
      </c>
      <c r="U28" s="19">
        <f t="shared" si="20"/>
        <v>45915.935494982004</v>
      </c>
      <c r="V28" s="19">
        <f t="shared" si="20"/>
        <v>46420.830428452209</v>
      </c>
      <c r="W28" s="305">
        <f t="shared" si="21"/>
        <v>1.0996072017859237E-2</v>
      </c>
    </row>
    <row r="29" spans="2:23" hidden="1" outlineLevel="1">
      <c r="B29" s="13" t="s">
        <v>78</v>
      </c>
      <c r="C29" s="19">
        <v>22174.552491799226</v>
      </c>
      <c r="D29" s="19">
        <v>22304.189377091541</v>
      </c>
      <c r="E29" s="19">
        <v>22338.362377323043</v>
      </c>
      <c r="F29" s="19">
        <v>22380.892641683546</v>
      </c>
      <c r="G29" s="19">
        <v>22211.844522986543</v>
      </c>
      <c r="H29" s="19">
        <v>21867.701890454875</v>
      </c>
      <c r="I29" s="19">
        <v>21462.822625981498</v>
      </c>
      <c r="J29" s="19">
        <v>21082.736545491745</v>
      </c>
      <c r="K29" s="19">
        <v>20803.259713768199</v>
      </c>
      <c r="L29" s="19">
        <v>20804.436389684692</v>
      </c>
      <c r="M29" s="19">
        <v>20995.799855926547</v>
      </c>
      <c r="N29" s="19">
        <v>21091.698449134521</v>
      </c>
      <c r="O29" s="19">
        <f t="shared" si="20"/>
        <v>21188.035060433842</v>
      </c>
      <c r="P29" s="19">
        <f t="shared" si="20"/>
        <v>21284.811690477934</v>
      </c>
      <c r="Q29" s="19">
        <f t="shared" si="20"/>
        <v>21382.030349058226</v>
      </c>
      <c r="R29" s="19">
        <f t="shared" si="20"/>
        <v>21479.693055145894</v>
      </c>
      <c r="S29" s="19">
        <f t="shared" si="20"/>
        <v>21577.801836933795</v>
      </c>
      <c r="T29" s="19">
        <f t="shared" si="20"/>
        <v>21676.358731878583</v>
      </c>
      <c r="U29" s="19">
        <f t="shared" si="20"/>
        <v>21775.365786743023</v>
      </c>
      <c r="V29" s="19">
        <f t="shared" si="20"/>
        <v>21874.825057638493</v>
      </c>
      <c r="W29" s="305">
        <f t="shared" si="21"/>
        <v>4.5675132105482685E-3</v>
      </c>
    </row>
    <row r="30" spans="2:23" hidden="1" outlineLevel="1">
      <c r="B30" s="13" t="s">
        <v>77</v>
      </c>
      <c r="C30" s="19">
        <v>19834.142117940642</v>
      </c>
      <c r="D30" s="19">
        <v>20324.462280763782</v>
      </c>
      <c r="E30" s="19">
        <v>20789.971476088194</v>
      </c>
      <c r="F30" s="19">
        <v>21156.284224124647</v>
      </c>
      <c r="G30" s="19">
        <v>21510.394516875913</v>
      </c>
      <c r="H30" s="19">
        <v>21787.018082397241</v>
      </c>
      <c r="I30" s="19">
        <v>21926.077266779088</v>
      </c>
      <c r="J30" s="19">
        <v>21972.308478228759</v>
      </c>
      <c r="K30" s="19">
        <v>22026.414822953324</v>
      </c>
      <c r="L30" s="19">
        <v>21875.013879084589</v>
      </c>
      <c r="M30" s="19">
        <v>21551.338096499308</v>
      </c>
      <c r="N30" s="19">
        <v>21168.232770332965</v>
      </c>
      <c r="O30" s="19">
        <f t="shared" si="20"/>
        <v>20791.937679813236</v>
      </c>
      <c r="P30" s="19">
        <f t="shared" si="20"/>
        <v>20422.331763429371</v>
      </c>
      <c r="Q30" s="19">
        <f t="shared" si="20"/>
        <v>20059.296111709129</v>
      </c>
      <c r="R30" s="19">
        <f t="shared" si="20"/>
        <v>19702.713928963276</v>
      </c>
      <c r="S30" s="19">
        <f t="shared" si="20"/>
        <v>19352.470495710109</v>
      </c>
      <c r="T30" s="19">
        <f t="shared" si="20"/>
        <v>19008.453131767965</v>
      </c>
      <c r="U30" s="19">
        <f t="shared" si="20"/>
        <v>18670.551160003783</v>
      </c>
      <c r="V30" s="19">
        <f t="shared" si="20"/>
        <v>18338.655870726107</v>
      </c>
      <c r="W30" s="305">
        <f t="shared" si="21"/>
        <v>-1.7776405550826269E-2</v>
      </c>
    </row>
    <row r="31" spans="2:23" hidden="1" outlineLevel="1">
      <c r="B31" s="13" t="s">
        <v>76</v>
      </c>
      <c r="C31" s="19">
        <v>17264.709708646991</v>
      </c>
      <c r="D31" s="19">
        <v>17483.552657627253</v>
      </c>
      <c r="E31" s="19">
        <v>17789.312536711477</v>
      </c>
      <c r="F31" s="19">
        <v>18222.736318883788</v>
      </c>
      <c r="G31" s="19">
        <v>18710.307940649247</v>
      </c>
      <c r="H31" s="19">
        <v>19205.915735298666</v>
      </c>
      <c r="I31" s="19">
        <v>19690.784262767294</v>
      </c>
      <c r="J31" s="19">
        <v>20152.027390411236</v>
      </c>
      <c r="K31" s="19">
        <v>20517.971624495673</v>
      </c>
      <c r="L31" s="19">
        <v>20874.029212151567</v>
      </c>
      <c r="M31" s="19">
        <v>21154.20651677587</v>
      </c>
      <c r="N31" s="19">
        <v>21302.205869393132</v>
      </c>
      <c r="O31" s="19">
        <f t="shared" si="20"/>
        <v>21451.240657130958</v>
      </c>
      <c r="P31" s="19">
        <f t="shared" si="20"/>
        <v>21601.318124114878</v>
      </c>
      <c r="Q31" s="19">
        <f t="shared" si="20"/>
        <v>21752.445565151877</v>
      </c>
      <c r="R31" s="19">
        <f t="shared" si="20"/>
        <v>21904.630326084964</v>
      </c>
      <c r="S31" s="19">
        <f t="shared" si="20"/>
        <v>22057.879804150241</v>
      </c>
      <c r="T31" s="19">
        <f t="shared" si="20"/>
        <v>22212.201448336458</v>
      </c>
      <c r="U31" s="19">
        <f t="shared" si="20"/>
        <v>22367.602759747075</v>
      </c>
      <c r="V31" s="19">
        <f t="shared" si="20"/>
        <v>22524.091291964884</v>
      </c>
      <c r="W31" s="305">
        <f t="shared" si="21"/>
        <v>6.9962138499448656E-3</v>
      </c>
    </row>
    <row r="32" spans="2:23" hidden="1" outlineLevel="1">
      <c r="B32" s="13" t="s">
        <v>75</v>
      </c>
      <c r="C32" s="19">
        <v>12633.060380211138</v>
      </c>
      <c r="D32" s="19">
        <v>13507.149787098089</v>
      </c>
      <c r="E32" s="19">
        <v>14203.07504784764</v>
      </c>
      <c r="F32" s="19">
        <v>14889.44660909045</v>
      </c>
      <c r="G32" s="19">
        <v>15683.456847433536</v>
      </c>
      <c r="H32" s="19">
        <v>16315.436539736946</v>
      </c>
      <c r="I32" s="19">
        <v>16537.205864925996</v>
      </c>
      <c r="J32" s="19">
        <v>16841.30792521267</v>
      </c>
      <c r="K32" s="19">
        <v>17264.711684593112</v>
      </c>
      <c r="L32" s="19">
        <v>17740.512595301363</v>
      </c>
      <c r="M32" s="19">
        <v>18221.72661041472</v>
      </c>
      <c r="N32" s="19">
        <v>18693.251573711885</v>
      </c>
      <c r="O32" s="19">
        <f t="shared" si="20"/>
        <v>19176.978223257891</v>
      </c>
      <c r="P32" s="19">
        <f t="shared" si="20"/>
        <v>19673.222302987633</v>
      </c>
      <c r="Q32" s="19">
        <f t="shared" si="20"/>
        <v>20182.307727365103</v>
      </c>
      <c r="R32" s="19">
        <f t="shared" si="20"/>
        <v>20704.566792812762</v>
      </c>
      <c r="S32" s="19">
        <f t="shared" si="20"/>
        <v>21240.340394612103</v>
      </c>
      <c r="T32" s="19">
        <f t="shared" si="20"/>
        <v>21789.978249416952</v>
      </c>
      <c r="U32" s="19">
        <f t="shared" si="20"/>
        <v>22353.839123524784</v>
      </c>
      <c r="V32" s="19">
        <f t="shared" si="20"/>
        <v>22932.291067055008</v>
      </c>
      <c r="W32" s="305">
        <f t="shared" si="21"/>
        <v>2.5877073747098356E-2</v>
      </c>
    </row>
    <row r="33" spans="2:23" hidden="1" outlineLevel="1">
      <c r="B33" s="13" t="s">
        <v>74</v>
      </c>
      <c r="C33" s="19">
        <v>9360.3116836932841</v>
      </c>
      <c r="D33" s="19">
        <v>9748.9654665741891</v>
      </c>
      <c r="E33" s="19">
        <v>10254.727648351865</v>
      </c>
      <c r="F33" s="19">
        <v>10693.339277071213</v>
      </c>
      <c r="G33" s="19">
        <v>11062.332396024081</v>
      </c>
      <c r="H33" s="19">
        <v>11513.998112807811</v>
      </c>
      <c r="I33" s="19">
        <v>12326.716609047442</v>
      </c>
      <c r="J33" s="19">
        <v>12977.4509939813</v>
      </c>
      <c r="K33" s="19">
        <v>13614.391299027557</v>
      </c>
      <c r="L33" s="19">
        <v>14346.274827331115</v>
      </c>
      <c r="M33" s="19">
        <v>14929.417035248063</v>
      </c>
      <c r="N33" s="19">
        <v>15149.137304307123</v>
      </c>
      <c r="O33" s="19">
        <f t="shared" si="20"/>
        <v>15372.091256002379</v>
      </c>
      <c r="P33" s="19">
        <f t="shared" si="20"/>
        <v>15598.326481315928</v>
      </c>
      <c r="Q33" s="19">
        <f t="shared" si="20"/>
        <v>15827.891271639228</v>
      </c>
      <c r="R33" s="19">
        <f t="shared" si="20"/>
        <v>16060.834629081206</v>
      </c>
      <c r="S33" s="19">
        <f t="shared" si="20"/>
        <v>16297.206276928082</v>
      </c>
      <c r="T33" s="19">
        <f t="shared" si="20"/>
        <v>16537.05667025713</v>
      </c>
      <c r="U33" s="19">
        <f t="shared" si="20"/>
        <v>16780.437006706648</v>
      </c>
      <c r="V33" s="19">
        <f t="shared" si="20"/>
        <v>17027.399237404421</v>
      </c>
      <c r="W33" s="305">
        <f t="shared" si="21"/>
        <v>1.4717270509645886E-2</v>
      </c>
    </row>
    <row r="34" spans="2:23" hidden="1" outlineLevel="1">
      <c r="B34" s="13" t="s">
        <v>73</v>
      </c>
      <c r="C34" s="19">
        <v>7240.2815448989822</v>
      </c>
      <c r="D34" s="19">
        <v>7318.6189169350528</v>
      </c>
      <c r="E34" s="19">
        <v>7469.2946885764904</v>
      </c>
      <c r="F34" s="19">
        <v>7658.2603441975734</v>
      </c>
      <c r="G34" s="19">
        <v>7828.932690608026</v>
      </c>
      <c r="H34" s="19">
        <v>8055.4472504124697</v>
      </c>
      <c r="I34" s="19">
        <v>8405.1037606015452</v>
      </c>
      <c r="J34" s="19">
        <v>8858.7325798588918</v>
      </c>
      <c r="K34" s="19">
        <v>9250.8403165635355</v>
      </c>
      <c r="L34" s="19">
        <v>9580.7670047102583</v>
      </c>
      <c r="M34" s="19">
        <v>9983.5527542658674</v>
      </c>
      <c r="N34" s="19">
        <v>10710.768109852845</v>
      </c>
      <c r="O34" s="19">
        <f t="shared" si="20"/>
        <v>11490.954806045553</v>
      </c>
      <c r="P34" s="19">
        <f t="shared" si="20"/>
        <v>12327.971346248809</v>
      </c>
      <c r="Q34" s="19">
        <f t="shared" si="20"/>
        <v>13225.957292423904</v>
      </c>
      <c r="R34" s="19">
        <f t="shared" si="20"/>
        <v>14189.353737770327</v>
      </c>
      <c r="S34" s="19">
        <f t="shared" si="20"/>
        <v>15222.925270665066</v>
      </c>
      <c r="T34" s="19">
        <f t="shared" si="20"/>
        <v>16331.783538484651</v>
      </c>
      <c r="U34" s="19">
        <f t="shared" si="20"/>
        <v>17521.412527847569</v>
      </c>
      <c r="V34" s="19">
        <f t="shared" si="20"/>
        <v>18797.695686303396</v>
      </c>
      <c r="W34" s="305">
        <f t="shared" si="21"/>
        <v>7.2841339499733371E-2</v>
      </c>
    </row>
    <row r="35" spans="2:23" hidden="1" outlineLevel="1">
      <c r="B35" s="13" t="s">
        <v>72</v>
      </c>
      <c r="C35" s="19">
        <v>5666.9077688526659</v>
      </c>
      <c r="D35" s="19">
        <v>5641.6166464459438</v>
      </c>
      <c r="E35" s="19">
        <v>5608.4642223871933</v>
      </c>
      <c r="F35" s="19">
        <v>5583.7935470632256</v>
      </c>
      <c r="G35" s="19">
        <v>5616.4085137764059</v>
      </c>
      <c r="H35" s="19">
        <v>5660.7852997892469</v>
      </c>
      <c r="I35" s="19">
        <v>5736.7189333661772</v>
      </c>
      <c r="J35" s="19">
        <v>5869.9293172227017</v>
      </c>
      <c r="K35" s="19">
        <v>6031.9974062387182</v>
      </c>
      <c r="L35" s="19">
        <v>6183.3361078045646</v>
      </c>
      <c r="M35" s="19">
        <v>6378.0655982676644</v>
      </c>
      <c r="N35" s="19">
        <v>6672.7769746027843</v>
      </c>
      <c r="O35" s="19">
        <f t="shared" si="20"/>
        <v>6981.1060840896189</v>
      </c>
      <c r="P35" s="19">
        <f t="shared" si="20"/>
        <v>7303.6821615357867</v>
      </c>
      <c r="Q35" s="19">
        <f t="shared" si="20"/>
        <v>7641.1635168114526</v>
      </c>
      <c r="R35" s="19">
        <f t="shared" si="20"/>
        <v>7994.2388783211945</v>
      </c>
      <c r="S35" s="19">
        <f t="shared" si="20"/>
        <v>8363.6287985536965</v>
      </c>
      <c r="T35" s="19">
        <f t="shared" si="20"/>
        <v>8750.0871245776998</v>
      </c>
      <c r="U35" s="19">
        <f t="shared" si="20"/>
        <v>9154.4025364851768</v>
      </c>
      <c r="V35" s="19">
        <f t="shared" si="20"/>
        <v>9577.4001569213833</v>
      </c>
      <c r="W35" s="305">
        <f t="shared" si="21"/>
        <v>4.620701555894402E-2</v>
      </c>
    </row>
    <row r="36" spans="2:23" hidden="1" outlineLevel="1">
      <c r="B36" s="13" t="s">
        <v>71</v>
      </c>
      <c r="C36" s="19">
        <v>5809.1185873013701</v>
      </c>
      <c r="D36" s="19">
        <v>5925.2271574596871</v>
      </c>
      <c r="E36" s="19">
        <v>6033.1849498588954</v>
      </c>
      <c r="F36" s="19">
        <v>6122.0521387866756</v>
      </c>
      <c r="G36" s="19">
        <v>6219.7587226975766</v>
      </c>
      <c r="H36" s="19">
        <v>6294.6865996976858</v>
      </c>
      <c r="I36" s="19">
        <v>6347.557978095112</v>
      </c>
      <c r="J36" s="19">
        <v>6392.4939568608816</v>
      </c>
      <c r="K36" s="19">
        <v>6433.5481894671912</v>
      </c>
      <c r="L36" s="19">
        <v>6525.9414542522145</v>
      </c>
      <c r="M36" s="19">
        <v>6612.3782294481871</v>
      </c>
      <c r="N36" s="19">
        <v>6707.5190473178263</v>
      </c>
      <c r="O36" s="19">
        <f t="shared" si="20"/>
        <v>6804.0287788991145</v>
      </c>
      <c r="P36" s="19">
        <f t="shared" si="20"/>
        <v>6901.9271205199993</v>
      </c>
      <c r="Q36" s="19">
        <f t="shared" si="20"/>
        <v>7001.2340519049139</v>
      </c>
      <c r="R36" s="19">
        <f t="shared" si="20"/>
        <v>7101.9698402523672</v>
      </c>
      <c r="S36" s="19">
        <f t="shared" si="20"/>
        <v>7204.155044371204</v>
      </c>
      <c r="T36" s="19">
        <f t="shared" si="20"/>
        <v>7307.810518876382</v>
      </c>
      <c r="U36" s="19">
        <f t="shared" si="20"/>
        <v>7412.9574184451121</v>
      </c>
      <c r="V36" s="19">
        <f t="shared" si="20"/>
        <v>7519.6172021342445</v>
      </c>
      <c r="W36" s="305">
        <f t="shared" si="21"/>
        <v>1.4388290350048294E-2</v>
      </c>
    </row>
    <row r="37" spans="2:23" hidden="1" outlineLevel="1">
      <c r="B37" s="79" t="s">
        <v>84</v>
      </c>
      <c r="C37" s="298">
        <v>311974.16344818904</v>
      </c>
      <c r="D37" s="298">
        <v>315243.97490079445</v>
      </c>
      <c r="E37" s="298">
        <v>318552.39140078623</v>
      </c>
      <c r="F37" s="298">
        <v>321895.84636541147</v>
      </c>
      <c r="G37" s="298">
        <v>325270.73270502203</v>
      </c>
      <c r="H37" s="298">
        <v>328673.81381986762</v>
      </c>
      <c r="I37" s="298">
        <v>332102.36389227101</v>
      </c>
      <c r="J37" s="298">
        <v>335553.96436417731</v>
      </c>
      <c r="K37" s="298">
        <v>339026.34487349039</v>
      </c>
      <c r="L37" s="298">
        <v>342517.31804785185</v>
      </c>
      <c r="M37" s="298">
        <v>346024.53843921318</v>
      </c>
      <c r="N37" s="298">
        <v>349545.59934519604</v>
      </c>
      <c r="O37" s="298">
        <f t="shared" si="20"/>
        <v>353102.48970408289</v>
      </c>
      <c r="P37" s="298">
        <f t="shared" si="20"/>
        <v>356695.57410760614</v>
      </c>
      <c r="Q37" s="298">
        <f t="shared" si="20"/>
        <v>360325.22085749422</v>
      </c>
      <c r="R37" s="298">
        <f t="shared" si="20"/>
        <v>363991.80200322368</v>
      </c>
      <c r="S37" s="298">
        <f t="shared" si="20"/>
        <v>367695.69338015548</v>
      </c>
      <c r="T37" s="298">
        <f t="shared" si="20"/>
        <v>371437.27464805904</v>
      </c>
      <c r="U37" s="298">
        <f t="shared" si="20"/>
        <v>375216.92933002854</v>
      </c>
      <c r="V37" s="298">
        <f t="shared" si="20"/>
        <v>379035.04485179519</v>
      </c>
      <c r="W37" s="305">
        <f t="shared" si="21"/>
        <v>1.0175754938840598E-2</v>
      </c>
    </row>
    <row r="38" spans="2:23" hidden="1" outlineLevel="1">
      <c r="P38" s="26"/>
    </row>
    <row r="39" spans="2:23" hidden="1" outlineLevel="1">
      <c r="B39" s="307" t="s">
        <v>82</v>
      </c>
      <c r="C39" s="13">
        <f t="shared" ref="C39:V39" si="22">0.1/100000</f>
        <v>9.9999999999999995E-7</v>
      </c>
      <c r="D39" s="13">
        <f t="shared" si="22"/>
        <v>9.9999999999999995E-7</v>
      </c>
      <c r="E39" s="13">
        <f t="shared" si="22"/>
        <v>9.9999999999999995E-7</v>
      </c>
      <c r="F39" s="13">
        <f t="shared" si="22"/>
        <v>9.9999999999999995E-7</v>
      </c>
      <c r="G39" s="13">
        <f t="shared" si="22"/>
        <v>9.9999999999999995E-7</v>
      </c>
      <c r="H39" s="13">
        <f t="shared" si="22"/>
        <v>9.9999999999999995E-7</v>
      </c>
      <c r="I39" s="13">
        <f t="shared" si="22"/>
        <v>9.9999999999999995E-7</v>
      </c>
      <c r="J39" s="13">
        <f t="shared" si="22"/>
        <v>9.9999999999999995E-7</v>
      </c>
      <c r="K39" s="13">
        <f t="shared" si="22"/>
        <v>9.9999999999999995E-7</v>
      </c>
      <c r="L39" s="13">
        <f t="shared" si="22"/>
        <v>9.9999999999999995E-7</v>
      </c>
      <c r="M39" s="13">
        <f t="shared" si="22"/>
        <v>9.9999999999999995E-7</v>
      </c>
      <c r="N39" s="13">
        <f t="shared" si="22"/>
        <v>9.9999999999999995E-7</v>
      </c>
      <c r="O39" s="13">
        <f t="shared" si="22"/>
        <v>9.9999999999999995E-7</v>
      </c>
      <c r="P39" s="13">
        <f t="shared" si="22"/>
        <v>9.9999999999999995E-7</v>
      </c>
      <c r="Q39" s="13">
        <f t="shared" si="22"/>
        <v>9.9999999999999995E-7</v>
      </c>
      <c r="R39" s="13">
        <f t="shared" si="22"/>
        <v>9.9999999999999995E-7</v>
      </c>
      <c r="S39" s="13">
        <f t="shared" si="22"/>
        <v>9.9999999999999995E-7</v>
      </c>
      <c r="T39" s="13">
        <f t="shared" si="22"/>
        <v>9.9999999999999995E-7</v>
      </c>
      <c r="U39" s="13">
        <f t="shared" si="22"/>
        <v>9.9999999999999995E-7</v>
      </c>
      <c r="V39" s="13">
        <f t="shared" si="22"/>
        <v>9.9999999999999995E-7</v>
      </c>
    </row>
    <row r="40" spans="2:23" hidden="1" outlineLevel="1">
      <c r="B40" s="307" t="s">
        <v>81</v>
      </c>
      <c r="C40" s="13">
        <f t="shared" ref="C40:V40" si="23">0.15/100000</f>
        <v>1.5E-6</v>
      </c>
      <c r="D40" s="13">
        <f t="shared" si="23"/>
        <v>1.5E-6</v>
      </c>
      <c r="E40" s="13">
        <f t="shared" si="23"/>
        <v>1.5E-6</v>
      </c>
      <c r="F40" s="13">
        <f t="shared" si="23"/>
        <v>1.5E-6</v>
      </c>
      <c r="G40" s="13">
        <f t="shared" si="23"/>
        <v>1.5E-6</v>
      </c>
      <c r="H40" s="13">
        <f t="shared" si="23"/>
        <v>1.5E-6</v>
      </c>
      <c r="I40" s="13">
        <f t="shared" si="23"/>
        <v>1.5E-6</v>
      </c>
      <c r="J40" s="13">
        <f t="shared" si="23"/>
        <v>1.5E-6</v>
      </c>
      <c r="K40" s="13">
        <f t="shared" si="23"/>
        <v>1.5E-6</v>
      </c>
      <c r="L40" s="13">
        <f t="shared" si="23"/>
        <v>1.5E-6</v>
      </c>
      <c r="M40" s="13">
        <f t="shared" si="23"/>
        <v>1.5E-6</v>
      </c>
      <c r="N40" s="13">
        <f t="shared" si="23"/>
        <v>1.5E-6</v>
      </c>
      <c r="O40" s="13">
        <f t="shared" si="23"/>
        <v>1.5E-6</v>
      </c>
      <c r="P40" s="13">
        <f t="shared" si="23"/>
        <v>1.5E-6</v>
      </c>
      <c r="Q40" s="13">
        <f t="shared" si="23"/>
        <v>1.5E-6</v>
      </c>
      <c r="R40" s="13">
        <f t="shared" si="23"/>
        <v>1.5E-6</v>
      </c>
      <c r="S40" s="13">
        <f t="shared" si="23"/>
        <v>1.5E-6</v>
      </c>
      <c r="T40" s="13">
        <f t="shared" si="23"/>
        <v>1.5E-6</v>
      </c>
      <c r="U40" s="13">
        <f t="shared" si="23"/>
        <v>1.5E-6</v>
      </c>
      <c r="V40" s="13">
        <f t="shared" si="23"/>
        <v>1.5E-6</v>
      </c>
    </row>
    <row r="41" spans="2:23" hidden="1" outlineLevel="1">
      <c r="B41" s="307" t="s">
        <v>80</v>
      </c>
      <c r="C41" s="13">
        <f t="shared" ref="C41:V41" si="24">0.25/100000</f>
        <v>2.5000000000000002E-6</v>
      </c>
      <c r="D41" s="13">
        <f t="shared" si="24"/>
        <v>2.5000000000000002E-6</v>
      </c>
      <c r="E41" s="13">
        <f t="shared" si="24"/>
        <v>2.5000000000000002E-6</v>
      </c>
      <c r="F41" s="13">
        <f t="shared" si="24"/>
        <v>2.5000000000000002E-6</v>
      </c>
      <c r="G41" s="13">
        <f t="shared" si="24"/>
        <v>2.5000000000000002E-6</v>
      </c>
      <c r="H41" s="13">
        <f t="shared" si="24"/>
        <v>2.5000000000000002E-6</v>
      </c>
      <c r="I41" s="13">
        <f t="shared" si="24"/>
        <v>2.5000000000000002E-6</v>
      </c>
      <c r="J41" s="13">
        <f t="shared" si="24"/>
        <v>2.5000000000000002E-6</v>
      </c>
      <c r="K41" s="13">
        <f t="shared" si="24"/>
        <v>2.5000000000000002E-6</v>
      </c>
      <c r="L41" s="13">
        <f t="shared" si="24"/>
        <v>2.5000000000000002E-6</v>
      </c>
      <c r="M41" s="13">
        <f t="shared" si="24"/>
        <v>2.5000000000000002E-6</v>
      </c>
      <c r="N41" s="13">
        <f t="shared" si="24"/>
        <v>2.5000000000000002E-6</v>
      </c>
      <c r="O41" s="13">
        <f t="shared" si="24"/>
        <v>2.5000000000000002E-6</v>
      </c>
      <c r="P41" s="13">
        <f t="shared" si="24"/>
        <v>2.5000000000000002E-6</v>
      </c>
      <c r="Q41" s="13">
        <f t="shared" si="24"/>
        <v>2.5000000000000002E-6</v>
      </c>
      <c r="R41" s="13">
        <f t="shared" si="24"/>
        <v>2.5000000000000002E-6</v>
      </c>
      <c r="S41" s="13">
        <f t="shared" si="24"/>
        <v>2.5000000000000002E-6</v>
      </c>
      <c r="T41" s="13">
        <f t="shared" si="24"/>
        <v>2.5000000000000002E-6</v>
      </c>
      <c r="U41" s="13">
        <f t="shared" si="24"/>
        <v>2.5000000000000002E-6</v>
      </c>
      <c r="V41" s="13">
        <f t="shared" si="24"/>
        <v>2.5000000000000002E-6</v>
      </c>
    </row>
    <row r="42" spans="2:23" hidden="1" outlineLevel="1">
      <c r="B42" s="307" t="s">
        <v>79</v>
      </c>
      <c r="C42" s="13">
        <f t="shared" ref="C42:V42" si="25">0.8/100000</f>
        <v>7.9999999999999996E-6</v>
      </c>
      <c r="D42" s="13">
        <f t="shared" si="25"/>
        <v>7.9999999999999996E-6</v>
      </c>
      <c r="E42" s="13">
        <f t="shared" si="25"/>
        <v>7.9999999999999996E-6</v>
      </c>
      <c r="F42" s="13">
        <f t="shared" si="25"/>
        <v>7.9999999999999996E-6</v>
      </c>
      <c r="G42" s="13">
        <f t="shared" si="25"/>
        <v>7.9999999999999996E-6</v>
      </c>
      <c r="H42" s="13">
        <f t="shared" si="25"/>
        <v>7.9999999999999996E-6</v>
      </c>
      <c r="I42" s="13">
        <f t="shared" si="25"/>
        <v>7.9999999999999996E-6</v>
      </c>
      <c r="J42" s="13">
        <f t="shared" si="25"/>
        <v>7.9999999999999996E-6</v>
      </c>
      <c r="K42" s="13">
        <f t="shared" si="25"/>
        <v>7.9999999999999996E-6</v>
      </c>
      <c r="L42" s="13">
        <f t="shared" si="25"/>
        <v>7.9999999999999996E-6</v>
      </c>
      <c r="M42" s="13">
        <f t="shared" si="25"/>
        <v>7.9999999999999996E-6</v>
      </c>
      <c r="N42" s="13">
        <f t="shared" si="25"/>
        <v>7.9999999999999996E-6</v>
      </c>
      <c r="O42" s="13">
        <f t="shared" si="25"/>
        <v>7.9999999999999996E-6</v>
      </c>
      <c r="P42" s="13">
        <f t="shared" si="25"/>
        <v>7.9999999999999996E-6</v>
      </c>
      <c r="Q42" s="13">
        <f t="shared" si="25"/>
        <v>7.9999999999999996E-6</v>
      </c>
      <c r="R42" s="13">
        <f t="shared" si="25"/>
        <v>7.9999999999999996E-6</v>
      </c>
      <c r="S42" s="13">
        <f t="shared" si="25"/>
        <v>7.9999999999999996E-6</v>
      </c>
      <c r="T42" s="13">
        <f t="shared" si="25"/>
        <v>7.9999999999999996E-6</v>
      </c>
      <c r="U42" s="13">
        <f t="shared" si="25"/>
        <v>7.9999999999999996E-6</v>
      </c>
      <c r="V42" s="13">
        <f t="shared" si="25"/>
        <v>7.9999999999999996E-6</v>
      </c>
    </row>
    <row r="43" spans="2:23" hidden="1" outlineLevel="1">
      <c r="B43" s="307" t="s">
        <v>78</v>
      </c>
      <c r="C43" s="13">
        <f t="shared" ref="C43:V43" si="26">1.7/100000</f>
        <v>1.7E-5</v>
      </c>
      <c r="D43" s="13">
        <f t="shared" si="26"/>
        <v>1.7E-5</v>
      </c>
      <c r="E43" s="13">
        <f t="shared" si="26"/>
        <v>1.7E-5</v>
      </c>
      <c r="F43" s="13">
        <f t="shared" si="26"/>
        <v>1.7E-5</v>
      </c>
      <c r="G43" s="13">
        <f t="shared" si="26"/>
        <v>1.7E-5</v>
      </c>
      <c r="H43" s="13">
        <f t="shared" si="26"/>
        <v>1.7E-5</v>
      </c>
      <c r="I43" s="13">
        <f t="shared" si="26"/>
        <v>1.7E-5</v>
      </c>
      <c r="J43" s="13">
        <f t="shared" si="26"/>
        <v>1.7E-5</v>
      </c>
      <c r="K43" s="13">
        <f t="shared" si="26"/>
        <v>1.7E-5</v>
      </c>
      <c r="L43" s="13">
        <f t="shared" si="26"/>
        <v>1.7E-5</v>
      </c>
      <c r="M43" s="13">
        <f t="shared" si="26"/>
        <v>1.7E-5</v>
      </c>
      <c r="N43" s="13">
        <f t="shared" si="26"/>
        <v>1.7E-5</v>
      </c>
      <c r="O43" s="13">
        <f t="shared" si="26"/>
        <v>1.7E-5</v>
      </c>
      <c r="P43" s="13">
        <f t="shared" si="26"/>
        <v>1.7E-5</v>
      </c>
      <c r="Q43" s="13">
        <f t="shared" si="26"/>
        <v>1.7E-5</v>
      </c>
      <c r="R43" s="13">
        <f t="shared" si="26"/>
        <v>1.7E-5</v>
      </c>
      <c r="S43" s="13">
        <f t="shared" si="26"/>
        <v>1.7E-5</v>
      </c>
      <c r="T43" s="13">
        <f t="shared" si="26"/>
        <v>1.7E-5</v>
      </c>
      <c r="U43" s="13">
        <f t="shared" si="26"/>
        <v>1.7E-5</v>
      </c>
      <c r="V43" s="13">
        <f t="shared" si="26"/>
        <v>1.7E-5</v>
      </c>
    </row>
    <row r="44" spans="2:23" hidden="1" outlineLevel="1">
      <c r="B44" s="307" t="s">
        <v>77</v>
      </c>
      <c r="C44" s="13">
        <f t="shared" ref="C44:V44" si="27">3.3/100000</f>
        <v>3.2999999999999996E-5</v>
      </c>
      <c r="D44" s="13">
        <f t="shared" si="27"/>
        <v>3.2999999999999996E-5</v>
      </c>
      <c r="E44" s="13">
        <f t="shared" si="27"/>
        <v>3.2999999999999996E-5</v>
      </c>
      <c r="F44" s="13">
        <f t="shared" si="27"/>
        <v>3.2999999999999996E-5</v>
      </c>
      <c r="G44" s="13">
        <f t="shared" si="27"/>
        <v>3.2999999999999996E-5</v>
      </c>
      <c r="H44" s="13">
        <f t="shared" si="27"/>
        <v>3.2999999999999996E-5</v>
      </c>
      <c r="I44" s="13">
        <f t="shared" si="27"/>
        <v>3.2999999999999996E-5</v>
      </c>
      <c r="J44" s="13">
        <f t="shared" si="27"/>
        <v>3.2999999999999996E-5</v>
      </c>
      <c r="K44" s="13">
        <f t="shared" si="27"/>
        <v>3.2999999999999996E-5</v>
      </c>
      <c r="L44" s="13">
        <f t="shared" si="27"/>
        <v>3.2999999999999996E-5</v>
      </c>
      <c r="M44" s="13">
        <f t="shared" si="27"/>
        <v>3.2999999999999996E-5</v>
      </c>
      <c r="N44" s="13">
        <f t="shared" si="27"/>
        <v>3.2999999999999996E-5</v>
      </c>
      <c r="O44" s="13">
        <f t="shared" si="27"/>
        <v>3.2999999999999996E-5</v>
      </c>
      <c r="P44" s="13">
        <f t="shared" si="27"/>
        <v>3.2999999999999996E-5</v>
      </c>
      <c r="Q44" s="13">
        <f t="shared" si="27"/>
        <v>3.2999999999999996E-5</v>
      </c>
      <c r="R44" s="13">
        <f t="shared" si="27"/>
        <v>3.2999999999999996E-5</v>
      </c>
      <c r="S44" s="13">
        <f t="shared" si="27"/>
        <v>3.2999999999999996E-5</v>
      </c>
      <c r="T44" s="13">
        <f t="shared" si="27"/>
        <v>3.2999999999999996E-5</v>
      </c>
      <c r="U44" s="13">
        <f t="shared" si="27"/>
        <v>3.2999999999999996E-5</v>
      </c>
      <c r="V44" s="13">
        <f t="shared" si="27"/>
        <v>3.2999999999999996E-5</v>
      </c>
    </row>
    <row r="45" spans="2:23" hidden="1" outlineLevel="1">
      <c r="B45" s="307" t="s">
        <v>76</v>
      </c>
      <c r="C45" s="13">
        <f t="shared" ref="C45:V45" si="28">6.4/100000</f>
        <v>6.3999999999999997E-5</v>
      </c>
      <c r="D45" s="13">
        <f t="shared" si="28"/>
        <v>6.3999999999999997E-5</v>
      </c>
      <c r="E45" s="13">
        <f t="shared" si="28"/>
        <v>6.3999999999999997E-5</v>
      </c>
      <c r="F45" s="13">
        <f t="shared" si="28"/>
        <v>6.3999999999999997E-5</v>
      </c>
      <c r="G45" s="13">
        <f t="shared" si="28"/>
        <v>6.3999999999999997E-5</v>
      </c>
      <c r="H45" s="13">
        <f t="shared" si="28"/>
        <v>6.3999999999999997E-5</v>
      </c>
      <c r="I45" s="13">
        <f t="shared" si="28"/>
        <v>6.3999999999999997E-5</v>
      </c>
      <c r="J45" s="13">
        <f t="shared" si="28"/>
        <v>6.3999999999999997E-5</v>
      </c>
      <c r="K45" s="13">
        <f t="shared" si="28"/>
        <v>6.3999999999999997E-5</v>
      </c>
      <c r="L45" s="13">
        <f t="shared" si="28"/>
        <v>6.3999999999999997E-5</v>
      </c>
      <c r="M45" s="13">
        <f t="shared" si="28"/>
        <v>6.3999999999999997E-5</v>
      </c>
      <c r="N45" s="13">
        <f t="shared" si="28"/>
        <v>6.3999999999999997E-5</v>
      </c>
      <c r="O45" s="13">
        <f t="shared" si="28"/>
        <v>6.3999999999999997E-5</v>
      </c>
      <c r="P45" s="13">
        <f t="shared" si="28"/>
        <v>6.3999999999999997E-5</v>
      </c>
      <c r="Q45" s="13">
        <f t="shared" si="28"/>
        <v>6.3999999999999997E-5</v>
      </c>
      <c r="R45" s="13">
        <f t="shared" si="28"/>
        <v>6.3999999999999997E-5</v>
      </c>
      <c r="S45" s="13">
        <f t="shared" si="28"/>
        <v>6.3999999999999997E-5</v>
      </c>
      <c r="T45" s="13">
        <f t="shared" si="28"/>
        <v>6.3999999999999997E-5</v>
      </c>
      <c r="U45" s="13">
        <f t="shared" si="28"/>
        <v>6.3999999999999997E-5</v>
      </c>
      <c r="V45" s="13">
        <f t="shared" si="28"/>
        <v>6.3999999999999997E-5</v>
      </c>
    </row>
    <row r="46" spans="2:23" hidden="1" outlineLevel="1">
      <c r="B46" s="307" t="s">
        <v>75</v>
      </c>
      <c r="C46" s="13">
        <f t="shared" ref="C46:V46" si="29">11.9/100000</f>
        <v>1.1900000000000001E-4</v>
      </c>
      <c r="D46" s="13">
        <f t="shared" si="29"/>
        <v>1.1900000000000001E-4</v>
      </c>
      <c r="E46" s="13">
        <f t="shared" si="29"/>
        <v>1.1900000000000001E-4</v>
      </c>
      <c r="F46" s="13">
        <f t="shared" si="29"/>
        <v>1.1900000000000001E-4</v>
      </c>
      <c r="G46" s="13">
        <f t="shared" si="29"/>
        <v>1.1900000000000001E-4</v>
      </c>
      <c r="H46" s="13">
        <f t="shared" si="29"/>
        <v>1.1900000000000001E-4</v>
      </c>
      <c r="I46" s="13">
        <f t="shared" si="29"/>
        <v>1.1900000000000001E-4</v>
      </c>
      <c r="J46" s="13">
        <f t="shared" si="29"/>
        <v>1.1900000000000001E-4</v>
      </c>
      <c r="K46" s="13">
        <f t="shared" si="29"/>
        <v>1.1900000000000001E-4</v>
      </c>
      <c r="L46" s="13">
        <f t="shared" si="29"/>
        <v>1.1900000000000001E-4</v>
      </c>
      <c r="M46" s="13">
        <f t="shared" si="29"/>
        <v>1.1900000000000001E-4</v>
      </c>
      <c r="N46" s="13">
        <f t="shared" si="29"/>
        <v>1.1900000000000001E-4</v>
      </c>
      <c r="O46" s="13">
        <f t="shared" si="29"/>
        <v>1.1900000000000001E-4</v>
      </c>
      <c r="P46" s="13">
        <f t="shared" si="29"/>
        <v>1.1900000000000001E-4</v>
      </c>
      <c r="Q46" s="13">
        <f t="shared" si="29"/>
        <v>1.1900000000000001E-4</v>
      </c>
      <c r="R46" s="13">
        <f t="shared" si="29"/>
        <v>1.1900000000000001E-4</v>
      </c>
      <c r="S46" s="13">
        <f t="shared" si="29"/>
        <v>1.1900000000000001E-4</v>
      </c>
      <c r="T46" s="13">
        <f t="shared" si="29"/>
        <v>1.1900000000000001E-4</v>
      </c>
      <c r="U46" s="13">
        <f t="shared" si="29"/>
        <v>1.1900000000000001E-4</v>
      </c>
      <c r="V46" s="13">
        <f t="shared" si="29"/>
        <v>1.1900000000000001E-4</v>
      </c>
    </row>
    <row r="47" spans="2:23" hidden="1" outlineLevel="1">
      <c r="B47" s="307" t="s">
        <v>74</v>
      </c>
      <c r="C47" s="13">
        <f t="shared" ref="C47:V47" si="30">20.1/100000</f>
        <v>2.0100000000000001E-4</v>
      </c>
      <c r="D47" s="13">
        <f t="shared" si="30"/>
        <v>2.0100000000000001E-4</v>
      </c>
      <c r="E47" s="13">
        <f t="shared" si="30"/>
        <v>2.0100000000000001E-4</v>
      </c>
      <c r="F47" s="13">
        <f t="shared" si="30"/>
        <v>2.0100000000000001E-4</v>
      </c>
      <c r="G47" s="13">
        <f t="shared" si="30"/>
        <v>2.0100000000000001E-4</v>
      </c>
      <c r="H47" s="13">
        <f t="shared" si="30"/>
        <v>2.0100000000000001E-4</v>
      </c>
      <c r="I47" s="13">
        <f t="shared" si="30"/>
        <v>2.0100000000000001E-4</v>
      </c>
      <c r="J47" s="13">
        <f t="shared" si="30"/>
        <v>2.0100000000000001E-4</v>
      </c>
      <c r="K47" s="13">
        <f t="shared" si="30"/>
        <v>2.0100000000000001E-4</v>
      </c>
      <c r="L47" s="13">
        <f t="shared" si="30"/>
        <v>2.0100000000000001E-4</v>
      </c>
      <c r="M47" s="13">
        <f t="shared" si="30"/>
        <v>2.0100000000000001E-4</v>
      </c>
      <c r="N47" s="13">
        <f t="shared" si="30"/>
        <v>2.0100000000000001E-4</v>
      </c>
      <c r="O47" s="13">
        <f t="shared" si="30"/>
        <v>2.0100000000000001E-4</v>
      </c>
      <c r="P47" s="13">
        <f t="shared" si="30"/>
        <v>2.0100000000000001E-4</v>
      </c>
      <c r="Q47" s="13">
        <f t="shared" si="30"/>
        <v>2.0100000000000001E-4</v>
      </c>
      <c r="R47" s="13">
        <f t="shared" si="30"/>
        <v>2.0100000000000001E-4</v>
      </c>
      <c r="S47" s="13">
        <f t="shared" si="30"/>
        <v>2.0100000000000001E-4</v>
      </c>
      <c r="T47" s="13">
        <f t="shared" si="30"/>
        <v>2.0100000000000001E-4</v>
      </c>
      <c r="U47" s="13">
        <f t="shared" si="30"/>
        <v>2.0100000000000001E-4</v>
      </c>
      <c r="V47" s="13">
        <f t="shared" si="30"/>
        <v>2.0100000000000001E-4</v>
      </c>
    </row>
    <row r="48" spans="2:23" hidden="1" outlineLevel="1">
      <c r="B48" s="307" t="s">
        <v>73</v>
      </c>
      <c r="C48" s="13">
        <f t="shared" ref="C48:V48" si="31">32.1/100000</f>
        <v>3.21E-4</v>
      </c>
      <c r="D48" s="13">
        <f t="shared" si="31"/>
        <v>3.21E-4</v>
      </c>
      <c r="E48" s="13">
        <f t="shared" si="31"/>
        <v>3.21E-4</v>
      </c>
      <c r="F48" s="13">
        <f t="shared" si="31"/>
        <v>3.21E-4</v>
      </c>
      <c r="G48" s="13">
        <f t="shared" si="31"/>
        <v>3.21E-4</v>
      </c>
      <c r="H48" s="13">
        <f t="shared" si="31"/>
        <v>3.21E-4</v>
      </c>
      <c r="I48" s="13">
        <f t="shared" si="31"/>
        <v>3.21E-4</v>
      </c>
      <c r="J48" s="13">
        <f t="shared" si="31"/>
        <v>3.21E-4</v>
      </c>
      <c r="K48" s="13">
        <f t="shared" si="31"/>
        <v>3.21E-4</v>
      </c>
      <c r="L48" s="13">
        <f t="shared" si="31"/>
        <v>3.21E-4</v>
      </c>
      <c r="M48" s="13">
        <f t="shared" si="31"/>
        <v>3.21E-4</v>
      </c>
      <c r="N48" s="13">
        <f t="shared" si="31"/>
        <v>3.21E-4</v>
      </c>
      <c r="O48" s="13">
        <f t="shared" si="31"/>
        <v>3.21E-4</v>
      </c>
      <c r="P48" s="13">
        <f t="shared" si="31"/>
        <v>3.21E-4</v>
      </c>
      <c r="Q48" s="13">
        <f t="shared" si="31"/>
        <v>3.21E-4</v>
      </c>
      <c r="R48" s="13">
        <f t="shared" si="31"/>
        <v>3.21E-4</v>
      </c>
      <c r="S48" s="13">
        <f t="shared" si="31"/>
        <v>3.21E-4</v>
      </c>
      <c r="T48" s="13">
        <f t="shared" si="31"/>
        <v>3.21E-4</v>
      </c>
      <c r="U48" s="13">
        <f t="shared" si="31"/>
        <v>3.21E-4</v>
      </c>
      <c r="V48" s="13">
        <f t="shared" si="31"/>
        <v>3.21E-4</v>
      </c>
    </row>
    <row r="49" spans="2:22" hidden="1" outlineLevel="1">
      <c r="B49" s="307" t="s">
        <v>72</v>
      </c>
      <c r="C49" s="13">
        <f t="shared" ref="C49:V49" si="32">44.5/100000</f>
        <v>4.4499999999999997E-4</v>
      </c>
      <c r="D49" s="13">
        <f t="shared" si="32"/>
        <v>4.4499999999999997E-4</v>
      </c>
      <c r="E49" s="13">
        <f t="shared" si="32"/>
        <v>4.4499999999999997E-4</v>
      </c>
      <c r="F49" s="13">
        <f t="shared" si="32"/>
        <v>4.4499999999999997E-4</v>
      </c>
      <c r="G49" s="13">
        <f t="shared" si="32"/>
        <v>4.4499999999999997E-4</v>
      </c>
      <c r="H49" s="13">
        <f t="shared" si="32"/>
        <v>4.4499999999999997E-4</v>
      </c>
      <c r="I49" s="13">
        <f t="shared" si="32"/>
        <v>4.4499999999999997E-4</v>
      </c>
      <c r="J49" s="13">
        <f t="shared" si="32"/>
        <v>4.4499999999999997E-4</v>
      </c>
      <c r="K49" s="13">
        <f t="shared" si="32"/>
        <v>4.4499999999999997E-4</v>
      </c>
      <c r="L49" s="13">
        <f t="shared" si="32"/>
        <v>4.4499999999999997E-4</v>
      </c>
      <c r="M49" s="13">
        <f t="shared" si="32"/>
        <v>4.4499999999999997E-4</v>
      </c>
      <c r="N49" s="13">
        <f t="shared" si="32"/>
        <v>4.4499999999999997E-4</v>
      </c>
      <c r="O49" s="13">
        <f t="shared" si="32"/>
        <v>4.4499999999999997E-4</v>
      </c>
      <c r="P49" s="13">
        <f t="shared" si="32"/>
        <v>4.4499999999999997E-4</v>
      </c>
      <c r="Q49" s="13">
        <f t="shared" si="32"/>
        <v>4.4499999999999997E-4</v>
      </c>
      <c r="R49" s="13">
        <f t="shared" si="32"/>
        <v>4.4499999999999997E-4</v>
      </c>
      <c r="S49" s="13">
        <f t="shared" si="32"/>
        <v>4.4499999999999997E-4</v>
      </c>
      <c r="T49" s="13">
        <f t="shared" si="32"/>
        <v>4.4499999999999997E-4</v>
      </c>
      <c r="U49" s="13">
        <f t="shared" si="32"/>
        <v>4.4499999999999997E-4</v>
      </c>
      <c r="V49" s="13">
        <f t="shared" si="32"/>
        <v>4.4499999999999997E-4</v>
      </c>
    </row>
    <row r="50" spans="2:22" hidden="1" outlineLevel="1">
      <c r="B50" s="308" t="s">
        <v>71</v>
      </c>
      <c r="C50" s="13">
        <f t="shared" ref="C50:V50" si="33">49.7/100000</f>
        <v>4.9700000000000005E-4</v>
      </c>
      <c r="D50" s="13">
        <f t="shared" si="33"/>
        <v>4.9700000000000005E-4</v>
      </c>
      <c r="E50" s="13">
        <f t="shared" si="33"/>
        <v>4.9700000000000005E-4</v>
      </c>
      <c r="F50" s="13">
        <f t="shared" si="33"/>
        <v>4.9700000000000005E-4</v>
      </c>
      <c r="G50" s="13">
        <f t="shared" si="33"/>
        <v>4.9700000000000005E-4</v>
      </c>
      <c r="H50" s="13">
        <f t="shared" si="33"/>
        <v>4.9700000000000005E-4</v>
      </c>
      <c r="I50" s="13">
        <f t="shared" si="33"/>
        <v>4.9700000000000005E-4</v>
      </c>
      <c r="J50" s="13">
        <f t="shared" si="33"/>
        <v>4.9700000000000005E-4</v>
      </c>
      <c r="K50" s="13">
        <f t="shared" si="33"/>
        <v>4.9700000000000005E-4</v>
      </c>
      <c r="L50" s="13">
        <f t="shared" si="33"/>
        <v>4.9700000000000005E-4</v>
      </c>
      <c r="M50" s="13">
        <f t="shared" si="33"/>
        <v>4.9700000000000005E-4</v>
      </c>
      <c r="N50" s="13">
        <f t="shared" si="33"/>
        <v>4.9700000000000005E-4</v>
      </c>
      <c r="O50" s="13">
        <f t="shared" si="33"/>
        <v>4.9700000000000005E-4</v>
      </c>
      <c r="P50" s="13">
        <f t="shared" si="33"/>
        <v>4.9700000000000005E-4</v>
      </c>
      <c r="Q50" s="13">
        <f t="shared" si="33"/>
        <v>4.9700000000000005E-4</v>
      </c>
      <c r="R50" s="13">
        <f t="shared" si="33"/>
        <v>4.9700000000000005E-4</v>
      </c>
      <c r="S50" s="13">
        <f t="shared" si="33"/>
        <v>4.9700000000000005E-4</v>
      </c>
      <c r="T50" s="13">
        <f t="shared" si="33"/>
        <v>4.9700000000000005E-4</v>
      </c>
      <c r="U50" s="13">
        <f t="shared" si="33"/>
        <v>4.9700000000000005E-4</v>
      </c>
      <c r="V50" s="13">
        <f t="shared" si="33"/>
        <v>4.9700000000000005E-4</v>
      </c>
    </row>
    <row r="51" spans="2:22" hidden="1" outlineLevel="1"/>
    <row r="52" spans="2:22" hidden="1" outlineLevel="1">
      <c r="B52" s="309" t="s">
        <v>83</v>
      </c>
    </row>
    <row r="53" spans="2:22" hidden="1" outlineLevel="1">
      <c r="B53" s="307" t="s">
        <v>82</v>
      </c>
      <c r="C53" s="5">
        <f t="shared" ref="C53:V53" si="34">C39*C25*1000</f>
        <v>84.446999425633848</v>
      </c>
      <c r="D53" s="5">
        <f t="shared" si="34"/>
        <v>84.959049067976238</v>
      </c>
      <c r="E53" s="5">
        <f t="shared" si="34"/>
        <v>85.56225602080346</v>
      </c>
      <c r="F53" s="5">
        <f t="shared" si="34"/>
        <v>86.270116984111539</v>
      </c>
      <c r="G53" s="5">
        <f t="shared" si="34"/>
        <v>87.041306032702153</v>
      </c>
      <c r="H53" s="5">
        <f t="shared" si="34"/>
        <v>87.874054694794907</v>
      </c>
      <c r="I53" s="5">
        <f t="shared" si="34"/>
        <v>88.794950313453455</v>
      </c>
      <c r="J53" s="5">
        <f t="shared" si="34"/>
        <v>89.748805701423706</v>
      </c>
      <c r="K53" s="5">
        <f t="shared" si="34"/>
        <v>90.691382388921483</v>
      </c>
      <c r="L53" s="5">
        <f t="shared" si="34"/>
        <v>91.621993734668877</v>
      </c>
      <c r="M53" s="5">
        <f t="shared" si="34"/>
        <v>92.431436112235886</v>
      </c>
      <c r="N53" s="5">
        <f t="shared" si="34"/>
        <v>93.26741544624042</v>
      </c>
      <c r="O53" s="5">
        <f t="shared" si="34"/>
        <v>94.110955643478064</v>
      </c>
      <c r="P53" s="5">
        <f t="shared" si="34"/>
        <v>94.962125086802899</v>
      </c>
      <c r="Q53" s="5">
        <f t="shared" si="34"/>
        <v>95.820992777545328</v>
      </c>
      <c r="R53" s="5">
        <f t="shared" si="34"/>
        <v>96.68762834110575</v>
      </c>
      <c r="S53" s="5">
        <f t="shared" si="34"/>
        <v>97.562102032598872</v>
      </c>
      <c r="T53" s="5">
        <f t="shared" si="34"/>
        <v>98.444484742548966</v>
      </c>
      <c r="U53" s="5">
        <f t="shared" si="34"/>
        <v>99.334848002636875</v>
      </c>
      <c r="V53" s="5">
        <f t="shared" si="34"/>
        <v>100.23326399149863</v>
      </c>
    </row>
    <row r="54" spans="2:22" hidden="1" outlineLevel="1">
      <c r="B54" s="307" t="s">
        <v>81</v>
      </c>
      <c r="C54" s="5">
        <f t="shared" ref="C54:V54" si="35">C40*C26*1000</f>
        <v>65.343774598342407</v>
      </c>
      <c r="D54" s="5">
        <f t="shared" si="35"/>
        <v>65.95081488664907</v>
      </c>
      <c r="E54" s="5">
        <f t="shared" si="35"/>
        <v>66.49390565461735</v>
      </c>
      <c r="F54" s="5">
        <f t="shared" si="35"/>
        <v>66.974251735395995</v>
      </c>
      <c r="G54" s="5">
        <f t="shared" si="35"/>
        <v>67.326879574568167</v>
      </c>
      <c r="H54" s="5">
        <f t="shared" si="35"/>
        <v>67.590985521397627</v>
      </c>
      <c r="I54" s="5">
        <f t="shared" si="35"/>
        <v>67.766895606994709</v>
      </c>
      <c r="J54" s="5">
        <f t="shared" si="35"/>
        <v>67.828050151541532</v>
      </c>
      <c r="K54" s="5">
        <f t="shared" si="35"/>
        <v>67.82431413140867</v>
      </c>
      <c r="L54" s="5">
        <f t="shared" si="35"/>
        <v>67.685187764858625</v>
      </c>
      <c r="M54" s="5">
        <f t="shared" si="35"/>
        <v>67.783207536230094</v>
      </c>
      <c r="N54" s="5">
        <f t="shared" si="35"/>
        <v>67.974740439852027</v>
      </c>
      <c r="O54" s="5">
        <f t="shared" si="35"/>
        <v>68.16681455204909</v>
      </c>
      <c r="P54" s="5">
        <f t="shared" si="35"/>
        <v>68.35943140209757</v>
      </c>
      <c r="Q54" s="5">
        <f t="shared" si="35"/>
        <v>68.552592523594953</v>
      </c>
      <c r="R54" s="5">
        <f t="shared" si="35"/>
        <v>68.746299454472137</v>
      </c>
      <c r="S54" s="5">
        <f t="shared" si="35"/>
        <v>68.940553737005743</v>
      </c>
      <c r="T54" s="5">
        <f t="shared" si="35"/>
        <v>69.13535691783035</v>
      </c>
      <c r="U54" s="5">
        <f t="shared" si="35"/>
        <v>69.330710547950801</v>
      </c>
      <c r="V54" s="5">
        <f t="shared" si="35"/>
        <v>69.526616182754566</v>
      </c>
    </row>
    <row r="55" spans="2:22" hidden="1" outlineLevel="1">
      <c r="B55" s="307" t="s">
        <v>80</v>
      </c>
      <c r="C55" s="5">
        <f t="shared" ref="C55:V55" si="36">C41*C27*1000</f>
        <v>102.18295400721503</v>
      </c>
      <c r="D55" s="5">
        <f t="shared" si="36"/>
        <v>103.24649465848287</v>
      </c>
      <c r="E55" s="5">
        <f t="shared" si="36"/>
        <v>104.69980797212402</v>
      </c>
      <c r="F55" s="5">
        <f t="shared" si="36"/>
        <v>106.27332302831817</v>
      </c>
      <c r="G55" s="5">
        <f t="shared" si="36"/>
        <v>107.77666235793903</v>
      </c>
      <c r="H55" s="5">
        <f t="shared" si="36"/>
        <v>109.47802112831849</v>
      </c>
      <c r="I55" s="5">
        <f t="shared" si="36"/>
        <v>111.02857816049114</v>
      </c>
      <c r="J55" s="5">
        <f t="shared" si="36"/>
        <v>112.52218101558883</v>
      </c>
      <c r="K55" s="5">
        <f t="shared" si="36"/>
        <v>113.91925890255744</v>
      </c>
      <c r="L55" s="5">
        <f t="shared" si="36"/>
        <v>115.17198898534488</v>
      </c>
      <c r="M55" s="5">
        <f t="shared" si="36"/>
        <v>116.27069900767697</v>
      </c>
      <c r="N55" s="5">
        <f t="shared" si="36"/>
        <v>117.33491889042476</v>
      </c>
      <c r="O55" s="5">
        <f t="shared" si="36"/>
        <v>118.40887952444092</v>
      </c>
      <c r="P55" s="5">
        <f t="shared" si="36"/>
        <v>119.49267006633382</v>
      </c>
      <c r="Q55" s="5">
        <f t="shared" si="36"/>
        <v>120.58638048875774</v>
      </c>
      <c r="R55" s="5">
        <f t="shared" si="36"/>
        <v>121.69010158788221</v>
      </c>
      <c r="S55" s="5">
        <f t="shared" si="36"/>
        <v>122.80392499092953</v>
      </c>
      <c r="T55" s="5">
        <f t="shared" si="36"/>
        <v>123.92794316378136</v>
      </c>
      <c r="U55" s="5">
        <f t="shared" si="36"/>
        <v>125.06224941865496</v>
      </c>
      <c r="V55" s="5">
        <f t="shared" si="36"/>
        <v>126.20693792184959</v>
      </c>
    </row>
    <row r="56" spans="2:22" hidden="1" outlineLevel="1">
      <c r="B56" s="307" t="s">
        <v>79</v>
      </c>
      <c r="C56" s="5">
        <f t="shared" ref="C56:V56" si="37">C42*C28*1000</f>
        <v>344.86705389943995</v>
      </c>
      <c r="D56" s="5">
        <f t="shared" si="37"/>
        <v>342.12268603997455</v>
      </c>
      <c r="E56" s="5">
        <f t="shared" si="37"/>
        <v>338.35639046061408</v>
      </c>
      <c r="F56" s="5">
        <f t="shared" si="37"/>
        <v>334.08075129712711</v>
      </c>
      <c r="G56" s="5">
        <f t="shared" si="37"/>
        <v>331.12591356037944</v>
      </c>
      <c r="H56" s="5">
        <f t="shared" si="37"/>
        <v>329.97523319108222</v>
      </c>
      <c r="I56" s="5">
        <f t="shared" si="37"/>
        <v>330.28051686715071</v>
      </c>
      <c r="J56" s="5">
        <f t="shared" si="37"/>
        <v>331.44479174577708</v>
      </c>
      <c r="K56" s="5">
        <f t="shared" si="37"/>
        <v>332.8633155639962</v>
      </c>
      <c r="L56" s="5">
        <f t="shared" si="37"/>
        <v>334.18206991055166</v>
      </c>
      <c r="M56" s="5">
        <f t="shared" si="37"/>
        <v>336.55626402325544</v>
      </c>
      <c r="N56" s="5">
        <f t="shared" si="37"/>
        <v>340.25706094051685</v>
      </c>
      <c r="O56" s="5">
        <f t="shared" si="37"/>
        <v>343.99855208720385</v>
      </c>
      <c r="P56" s="5">
        <f t="shared" si="37"/>
        <v>347.78118493999403</v>
      </c>
      <c r="Q56" s="5">
        <f t="shared" si="37"/>
        <v>351.60541189605067</v>
      </c>
      <c r="R56" s="5">
        <f t="shared" si="37"/>
        <v>355.47169032712867</v>
      </c>
      <c r="S56" s="5">
        <f t="shared" si="37"/>
        <v>359.38048263427595</v>
      </c>
      <c r="T56" s="5">
        <f t="shared" si="37"/>
        <v>363.33225630313547</v>
      </c>
      <c r="U56" s="5">
        <f t="shared" si="37"/>
        <v>367.32748395985601</v>
      </c>
      <c r="V56" s="5">
        <f t="shared" si="37"/>
        <v>371.36664342761765</v>
      </c>
    </row>
    <row r="57" spans="2:22" hidden="1" outlineLevel="1">
      <c r="B57" s="307" t="s">
        <v>78</v>
      </c>
      <c r="C57" s="5">
        <f t="shared" ref="C57:V57" si="38">C43*C29*1000</f>
        <v>376.96739236058687</v>
      </c>
      <c r="D57" s="5">
        <f t="shared" si="38"/>
        <v>379.1712194105562</v>
      </c>
      <c r="E57" s="5">
        <f t="shared" si="38"/>
        <v>379.7521604144917</v>
      </c>
      <c r="F57" s="5">
        <f t="shared" si="38"/>
        <v>380.47517490862026</v>
      </c>
      <c r="G57" s="5">
        <f t="shared" si="38"/>
        <v>377.60135689077123</v>
      </c>
      <c r="H57" s="5">
        <f t="shared" si="38"/>
        <v>371.75093213773283</v>
      </c>
      <c r="I57" s="5">
        <f t="shared" si="38"/>
        <v>364.86798464168544</v>
      </c>
      <c r="J57" s="5">
        <f t="shared" si="38"/>
        <v>358.40652127335966</v>
      </c>
      <c r="K57" s="5">
        <f t="shared" si="38"/>
        <v>353.65541513405935</v>
      </c>
      <c r="L57" s="5">
        <f t="shared" si="38"/>
        <v>353.67541862463975</v>
      </c>
      <c r="M57" s="5">
        <f t="shared" si="38"/>
        <v>356.92859755075131</v>
      </c>
      <c r="N57" s="5">
        <f t="shared" si="38"/>
        <v>358.55887363528689</v>
      </c>
      <c r="O57" s="5">
        <f t="shared" si="38"/>
        <v>360.19659602737528</v>
      </c>
      <c r="P57" s="5">
        <f t="shared" si="38"/>
        <v>361.84179873812491</v>
      </c>
      <c r="Q57" s="5">
        <f t="shared" si="38"/>
        <v>363.49451593398987</v>
      </c>
      <c r="R57" s="5">
        <f t="shared" si="38"/>
        <v>365.15478193748021</v>
      </c>
      <c r="S57" s="5">
        <f t="shared" si="38"/>
        <v>366.82263122787452</v>
      </c>
      <c r="T57" s="5">
        <f t="shared" si="38"/>
        <v>368.49809844193595</v>
      </c>
      <c r="U57" s="5">
        <f t="shared" si="38"/>
        <v>370.18121837463138</v>
      </c>
      <c r="V57" s="5">
        <f t="shared" si="38"/>
        <v>371.87202597985436</v>
      </c>
    </row>
    <row r="58" spans="2:22" hidden="1" outlineLevel="1">
      <c r="B58" s="307" t="s">
        <v>77</v>
      </c>
      <c r="C58" s="5">
        <f t="shared" ref="C58:V58" si="39">C44*C30*1000</f>
        <v>654.52668989204108</v>
      </c>
      <c r="D58" s="5">
        <f t="shared" si="39"/>
        <v>670.70725526520471</v>
      </c>
      <c r="E58" s="5">
        <f t="shared" si="39"/>
        <v>686.06905871091033</v>
      </c>
      <c r="F58" s="5">
        <f t="shared" si="39"/>
        <v>698.15737939611324</v>
      </c>
      <c r="G58" s="5">
        <f t="shared" si="39"/>
        <v>709.84301905690506</v>
      </c>
      <c r="H58" s="5">
        <f t="shared" si="39"/>
        <v>718.97159671910879</v>
      </c>
      <c r="I58" s="5">
        <f t="shared" si="39"/>
        <v>723.56054980370982</v>
      </c>
      <c r="J58" s="5">
        <f t="shared" si="39"/>
        <v>725.08617978154894</v>
      </c>
      <c r="K58" s="5">
        <f t="shared" si="39"/>
        <v>726.87168915745963</v>
      </c>
      <c r="L58" s="5">
        <f t="shared" si="39"/>
        <v>721.87545800979137</v>
      </c>
      <c r="M58" s="5">
        <f t="shared" si="39"/>
        <v>711.19415718447715</v>
      </c>
      <c r="N58" s="5">
        <f t="shared" si="39"/>
        <v>698.55168142098773</v>
      </c>
      <c r="O58" s="5">
        <f t="shared" si="39"/>
        <v>686.13394343383675</v>
      </c>
      <c r="P58" s="5">
        <f t="shared" si="39"/>
        <v>673.9369481931692</v>
      </c>
      <c r="Q58" s="5">
        <f t="shared" si="39"/>
        <v>661.95677168640123</v>
      </c>
      <c r="R58" s="5">
        <f t="shared" si="39"/>
        <v>650.18955965578812</v>
      </c>
      <c r="S58" s="5">
        <f t="shared" si="39"/>
        <v>638.63152635843358</v>
      </c>
      <c r="T58" s="5">
        <f t="shared" si="39"/>
        <v>627.27895334834272</v>
      </c>
      <c r="U58" s="5">
        <f t="shared" si="39"/>
        <v>616.12818828012473</v>
      </c>
      <c r="V58" s="5">
        <f t="shared" si="39"/>
        <v>605.17564373396146</v>
      </c>
    </row>
    <row r="59" spans="2:22" hidden="1" outlineLevel="1">
      <c r="B59" s="307" t="s">
        <v>76</v>
      </c>
      <c r="C59" s="5">
        <f t="shared" ref="C59:V59" si="40">C45*C31*1000</f>
        <v>1104.9414213534073</v>
      </c>
      <c r="D59" s="5">
        <f t="shared" si="40"/>
        <v>1118.947370088144</v>
      </c>
      <c r="E59" s="5">
        <f t="shared" si="40"/>
        <v>1138.5160023495343</v>
      </c>
      <c r="F59" s="5">
        <f t="shared" si="40"/>
        <v>1166.2551244085623</v>
      </c>
      <c r="G59" s="5">
        <f t="shared" si="40"/>
        <v>1197.4597082015516</v>
      </c>
      <c r="H59" s="5">
        <f t="shared" si="40"/>
        <v>1229.1786070591147</v>
      </c>
      <c r="I59" s="5">
        <f t="shared" si="40"/>
        <v>1260.2101928171069</v>
      </c>
      <c r="J59" s="5">
        <f t="shared" si="40"/>
        <v>1289.729752986319</v>
      </c>
      <c r="K59" s="5">
        <f t="shared" si="40"/>
        <v>1313.150183967723</v>
      </c>
      <c r="L59" s="5">
        <f t="shared" si="40"/>
        <v>1335.9378695777002</v>
      </c>
      <c r="M59" s="5">
        <f t="shared" si="40"/>
        <v>1353.8692170736558</v>
      </c>
      <c r="N59" s="5">
        <f t="shared" si="40"/>
        <v>1363.3411756411604</v>
      </c>
      <c r="O59" s="5">
        <f t="shared" si="40"/>
        <v>1372.8794020563812</v>
      </c>
      <c r="P59" s="5">
        <f t="shared" si="40"/>
        <v>1382.484359943352</v>
      </c>
      <c r="Q59" s="5">
        <f t="shared" si="40"/>
        <v>1392.1565161697201</v>
      </c>
      <c r="R59" s="5">
        <f t="shared" si="40"/>
        <v>1401.8963408694376</v>
      </c>
      <c r="S59" s="5">
        <f t="shared" si="40"/>
        <v>1411.7043074656156</v>
      </c>
      <c r="T59" s="5">
        <f t="shared" si="40"/>
        <v>1421.5808926935331</v>
      </c>
      <c r="U59" s="5">
        <f t="shared" si="40"/>
        <v>1431.5265766238128</v>
      </c>
      <c r="V59" s="5">
        <f t="shared" si="40"/>
        <v>1441.5418426857525</v>
      </c>
    </row>
    <row r="60" spans="2:22" hidden="1" outlineLevel="1">
      <c r="B60" s="307" t="s">
        <v>75</v>
      </c>
      <c r="C60" s="5">
        <f t="shared" ref="C60:V60" si="41">C46*C32*1000</f>
        <v>1503.3341852451254</v>
      </c>
      <c r="D60" s="5">
        <f t="shared" si="41"/>
        <v>1607.3508246646727</v>
      </c>
      <c r="E60" s="5">
        <f t="shared" si="41"/>
        <v>1690.1659306938693</v>
      </c>
      <c r="F60" s="5">
        <f t="shared" si="41"/>
        <v>1771.8441464817636</v>
      </c>
      <c r="G60" s="5">
        <f t="shared" si="41"/>
        <v>1866.3313648445908</v>
      </c>
      <c r="H60" s="5">
        <f t="shared" si="41"/>
        <v>1941.5369482286967</v>
      </c>
      <c r="I60" s="5">
        <f t="shared" si="41"/>
        <v>1967.9274979261936</v>
      </c>
      <c r="J60" s="5">
        <f t="shared" si="41"/>
        <v>2004.1156431003078</v>
      </c>
      <c r="K60" s="5">
        <f t="shared" si="41"/>
        <v>2054.5006904665802</v>
      </c>
      <c r="L60" s="5">
        <f t="shared" si="41"/>
        <v>2111.1209988408623</v>
      </c>
      <c r="M60" s="5">
        <f t="shared" si="41"/>
        <v>2168.3854666393518</v>
      </c>
      <c r="N60" s="5">
        <f t="shared" si="41"/>
        <v>2224.4969372717142</v>
      </c>
      <c r="O60" s="5">
        <f t="shared" si="41"/>
        <v>2282.0604085676891</v>
      </c>
      <c r="P60" s="5">
        <f t="shared" si="41"/>
        <v>2341.1134540555281</v>
      </c>
      <c r="Q60" s="5">
        <f t="shared" si="41"/>
        <v>2401.6946195564474</v>
      </c>
      <c r="R60" s="5">
        <f t="shared" si="41"/>
        <v>2463.843448344719</v>
      </c>
      <c r="S60" s="5">
        <f t="shared" si="41"/>
        <v>2527.6005069588405</v>
      </c>
      <c r="T60" s="5">
        <f t="shared" si="41"/>
        <v>2593.0074116806172</v>
      </c>
      <c r="U60" s="5">
        <f t="shared" si="41"/>
        <v>2660.1068556994492</v>
      </c>
      <c r="V60" s="5">
        <f t="shared" si="41"/>
        <v>2728.942636979546</v>
      </c>
    </row>
    <row r="61" spans="2:22" hidden="1" outlineLevel="1">
      <c r="B61" s="307" t="s">
        <v>74</v>
      </c>
      <c r="C61" s="5">
        <f t="shared" ref="C61:V61" si="42">C47*C33*1000</f>
        <v>1881.4226484223502</v>
      </c>
      <c r="D61" s="5">
        <f t="shared" si="42"/>
        <v>1959.5420587814122</v>
      </c>
      <c r="E61" s="5">
        <f t="shared" si="42"/>
        <v>2061.2002573187251</v>
      </c>
      <c r="F61" s="5">
        <f t="shared" si="42"/>
        <v>2149.3611946913138</v>
      </c>
      <c r="G61" s="5">
        <f t="shared" si="42"/>
        <v>2223.5288116008401</v>
      </c>
      <c r="H61" s="5">
        <f t="shared" si="42"/>
        <v>2314.3136206743698</v>
      </c>
      <c r="I61" s="5">
        <f t="shared" si="42"/>
        <v>2477.6700384185356</v>
      </c>
      <c r="J61" s="5">
        <f t="shared" si="42"/>
        <v>2608.4676497902415</v>
      </c>
      <c r="K61" s="5">
        <f t="shared" si="42"/>
        <v>2736.4926511045387</v>
      </c>
      <c r="L61" s="5">
        <f t="shared" si="42"/>
        <v>2883.6012402935544</v>
      </c>
      <c r="M61" s="5">
        <f t="shared" si="42"/>
        <v>3000.8128240848605</v>
      </c>
      <c r="N61" s="5">
        <f t="shared" si="42"/>
        <v>3044.976598165732</v>
      </c>
      <c r="O61" s="5">
        <f t="shared" si="42"/>
        <v>3089.7903424564779</v>
      </c>
      <c r="P61" s="5">
        <f t="shared" si="42"/>
        <v>3135.2636227445014</v>
      </c>
      <c r="Q61" s="5">
        <f t="shared" si="42"/>
        <v>3181.4061455994847</v>
      </c>
      <c r="R61" s="5">
        <f t="shared" si="42"/>
        <v>3228.2277604453225</v>
      </c>
      <c r="S61" s="5">
        <f t="shared" si="42"/>
        <v>3275.7384616625445</v>
      </c>
      <c r="T61" s="5">
        <f t="shared" si="42"/>
        <v>3323.9483907216832</v>
      </c>
      <c r="U61" s="5">
        <f t="shared" si="42"/>
        <v>3372.8678383480365</v>
      </c>
      <c r="V61" s="5">
        <f t="shared" si="42"/>
        <v>3422.507246718289</v>
      </c>
    </row>
    <row r="62" spans="2:22" hidden="1" outlineLevel="1">
      <c r="B62" s="307" t="s">
        <v>73</v>
      </c>
      <c r="C62" s="5">
        <f t="shared" ref="C62:V62" si="43">C48*C34*1000</f>
        <v>2324.1303759125735</v>
      </c>
      <c r="D62" s="5">
        <f t="shared" si="43"/>
        <v>2349.2766723361519</v>
      </c>
      <c r="E62" s="5">
        <f t="shared" si="43"/>
        <v>2397.6435950330533</v>
      </c>
      <c r="F62" s="5">
        <f t="shared" si="43"/>
        <v>2458.301570487421</v>
      </c>
      <c r="G62" s="5">
        <f t="shared" si="43"/>
        <v>2513.0873936851763</v>
      </c>
      <c r="H62" s="5">
        <f t="shared" si="43"/>
        <v>2585.7985673824028</v>
      </c>
      <c r="I62" s="5">
        <f t="shared" si="43"/>
        <v>2698.038307153096</v>
      </c>
      <c r="J62" s="5">
        <f t="shared" si="43"/>
        <v>2843.6531581347044</v>
      </c>
      <c r="K62" s="5">
        <f t="shared" si="43"/>
        <v>2969.5197416168949</v>
      </c>
      <c r="L62" s="5">
        <f t="shared" si="43"/>
        <v>3075.4262085119926</v>
      </c>
      <c r="M62" s="5">
        <f t="shared" si="43"/>
        <v>3204.7204341193437</v>
      </c>
      <c r="N62" s="5">
        <f t="shared" si="43"/>
        <v>3438.1565632627635</v>
      </c>
      <c r="O62" s="5">
        <f t="shared" si="43"/>
        <v>3688.5964927406226</v>
      </c>
      <c r="P62" s="5">
        <f t="shared" si="43"/>
        <v>3957.2788021458678</v>
      </c>
      <c r="Q62" s="5">
        <f t="shared" si="43"/>
        <v>4245.5322908680728</v>
      </c>
      <c r="R62" s="5">
        <f t="shared" si="43"/>
        <v>4554.7825498242755</v>
      </c>
      <c r="S62" s="5">
        <f t="shared" si="43"/>
        <v>4886.5590118834862</v>
      </c>
      <c r="T62" s="5">
        <f t="shared" si="43"/>
        <v>5242.5025158535736</v>
      </c>
      <c r="U62" s="5">
        <f t="shared" si="43"/>
        <v>5624.3734214390697</v>
      </c>
      <c r="V62" s="5">
        <f t="shared" si="43"/>
        <v>6034.0603153033899</v>
      </c>
    </row>
    <row r="63" spans="2:22" hidden="1" outlineLevel="1">
      <c r="B63" s="307" t="s">
        <v>72</v>
      </c>
      <c r="C63" s="5">
        <f t="shared" ref="C63:V63" si="44">C49*C35*1000</f>
        <v>2521.7739571394363</v>
      </c>
      <c r="D63" s="5">
        <f t="shared" si="44"/>
        <v>2510.5194076684447</v>
      </c>
      <c r="E63" s="5">
        <f t="shared" si="44"/>
        <v>2495.7665789623011</v>
      </c>
      <c r="F63" s="5">
        <f t="shared" si="44"/>
        <v>2484.7881284431351</v>
      </c>
      <c r="G63" s="5">
        <f t="shared" si="44"/>
        <v>2499.3017886305006</v>
      </c>
      <c r="H63" s="5">
        <f t="shared" si="44"/>
        <v>2519.0494584062149</v>
      </c>
      <c r="I63" s="5">
        <f t="shared" si="44"/>
        <v>2552.8399253479488</v>
      </c>
      <c r="J63" s="5">
        <f t="shared" si="44"/>
        <v>2612.1185461641021</v>
      </c>
      <c r="K63" s="5">
        <f t="shared" si="44"/>
        <v>2684.2388457762295</v>
      </c>
      <c r="L63" s="5">
        <f t="shared" si="44"/>
        <v>2751.584567973031</v>
      </c>
      <c r="M63" s="5">
        <f t="shared" si="44"/>
        <v>2838.2391912291105</v>
      </c>
      <c r="N63" s="5">
        <f t="shared" si="44"/>
        <v>2969.3857536982387</v>
      </c>
      <c r="O63" s="5">
        <f t="shared" si="44"/>
        <v>3106.5922074198802</v>
      </c>
      <c r="P63" s="5">
        <f t="shared" si="44"/>
        <v>3250.1385618834247</v>
      </c>
      <c r="Q63" s="5">
        <f t="shared" si="44"/>
        <v>3400.3177649810959</v>
      </c>
      <c r="R63" s="5">
        <f t="shared" si="44"/>
        <v>3557.4363008529317</v>
      </c>
      <c r="S63" s="5">
        <f t="shared" si="44"/>
        <v>3721.8148153563948</v>
      </c>
      <c r="T63" s="5">
        <f t="shared" si="44"/>
        <v>3893.788770437076</v>
      </c>
      <c r="U63" s="5">
        <f t="shared" si="44"/>
        <v>4073.709128735904</v>
      </c>
      <c r="V63" s="5">
        <f t="shared" si="44"/>
        <v>4261.9430698300148</v>
      </c>
    </row>
    <row r="64" spans="2:22" hidden="1" outlineLevel="1">
      <c r="B64" s="308" t="s">
        <v>71</v>
      </c>
      <c r="C64" s="5">
        <f t="shared" ref="C64:V64" si="45">C50*C36*1000</f>
        <v>2887.1319378887815</v>
      </c>
      <c r="D64" s="5">
        <f t="shared" si="45"/>
        <v>2944.8378972574651</v>
      </c>
      <c r="E64" s="5">
        <f t="shared" si="45"/>
        <v>2998.4929200798711</v>
      </c>
      <c r="F64" s="5">
        <f t="shared" si="45"/>
        <v>3042.6599129769779</v>
      </c>
      <c r="G64" s="5">
        <f t="shared" si="45"/>
        <v>3091.2200851806956</v>
      </c>
      <c r="H64" s="5">
        <f t="shared" si="45"/>
        <v>3128.4592400497504</v>
      </c>
      <c r="I64" s="5">
        <f t="shared" si="45"/>
        <v>3154.7363151132708</v>
      </c>
      <c r="J64" s="5">
        <f t="shared" si="45"/>
        <v>3177.0694965598586</v>
      </c>
      <c r="K64" s="5">
        <f t="shared" si="45"/>
        <v>3197.4734501651947</v>
      </c>
      <c r="L64" s="5">
        <f t="shared" si="45"/>
        <v>3243.3929027633508</v>
      </c>
      <c r="M64" s="5">
        <f t="shared" si="45"/>
        <v>3286.3519800357494</v>
      </c>
      <c r="N64" s="5">
        <f t="shared" si="45"/>
        <v>3333.63696651696</v>
      </c>
      <c r="O64" s="5">
        <f t="shared" si="45"/>
        <v>3381.6023031128602</v>
      </c>
      <c r="P64" s="5">
        <f t="shared" si="45"/>
        <v>3430.2577788984399</v>
      </c>
      <c r="Q64" s="5">
        <f t="shared" si="45"/>
        <v>3479.6133237967424</v>
      </c>
      <c r="R64" s="5">
        <f t="shared" si="45"/>
        <v>3529.6790106054268</v>
      </c>
      <c r="S64" s="5">
        <f t="shared" si="45"/>
        <v>3580.4650570524886</v>
      </c>
      <c r="T64" s="5">
        <f t="shared" si="45"/>
        <v>3631.9818278815619</v>
      </c>
      <c r="U64" s="5">
        <f t="shared" si="45"/>
        <v>3684.239836967221</v>
      </c>
      <c r="V64" s="5">
        <f t="shared" si="45"/>
        <v>3737.2497494607201</v>
      </c>
    </row>
    <row r="65" spans="2:22" hidden="1" outlineLevel="1">
      <c r="B65" s="308"/>
    </row>
    <row r="66" spans="2:22" hidden="1" outlineLevel="1">
      <c r="B66" s="307" t="s">
        <v>317</v>
      </c>
      <c r="C66" s="5">
        <f t="shared" ref="C66:V66" si="46">SUM(C53:C58)</f>
        <v>1628.3348641832592</v>
      </c>
      <c r="D66" s="5">
        <f t="shared" si="46"/>
        <v>1646.1575193288436</v>
      </c>
      <c r="E66" s="5">
        <f t="shared" si="46"/>
        <v>1660.933579233561</v>
      </c>
      <c r="F66" s="5">
        <f t="shared" si="46"/>
        <v>1672.2309973496863</v>
      </c>
      <c r="G66" s="5">
        <f t="shared" si="46"/>
        <v>1680.7151374732653</v>
      </c>
      <c r="H66" s="5">
        <f t="shared" si="46"/>
        <v>1685.6408233924349</v>
      </c>
      <c r="I66" s="5">
        <f t="shared" si="46"/>
        <v>1686.2994753934854</v>
      </c>
      <c r="J66" s="5">
        <f t="shared" si="46"/>
        <v>1685.0365296692398</v>
      </c>
      <c r="K66" s="5">
        <f t="shared" si="46"/>
        <v>1685.8253752784028</v>
      </c>
      <c r="L66" s="5">
        <f t="shared" si="46"/>
        <v>1684.2121170298551</v>
      </c>
      <c r="M66" s="5">
        <f t="shared" si="46"/>
        <v>1681.1643614146269</v>
      </c>
      <c r="N66" s="5">
        <f t="shared" si="46"/>
        <v>1675.9446907733086</v>
      </c>
      <c r="O66" s="5">
        <f t="shared" si="46"/>
        <v>1671.0157412683839</v>
      </c>
      <c r="P66" s="5">
        <f t="shared" si="46"/>
        <v>1666.3741584265224</v>
      </c>
      <c r="Q66" s="5">
        <f t="shared" si="46"/>
        <v>1662.0166653063397</v>
      </c>
      <c r="R66" s="5">
        <f t="shared" si="46"/>
        <v>1657.9400613038572</v>
      </c>
      <c r="S66" s="5">
        <f t="shared" si="46"/>
        <v>1654.1412209811183</v>
      </c>
      <c r="T66" s="5">
        <f t="shared" si="46"/>
        <v>1650.6170929175751</v>
      </c>
      <c r="U66" s="5">
        <f t="shared" si="46"/>
        <v>1647.3646985838548</v>
      </c>
      <c r="V66" s="5">
        <f t="shared" si="46"/>
        <v>1644.381131237536</v>
      </c>
    </row>
    <row r="67" spans="2:22" hidden="1" outlineLevel="1">
      <c r="B67" s="307" t="s">
        <v>313</v>
      </c>
      <c r="C67" s="5">
        <f t="shared" ref="C67:V67" si="47">SUM(C59:C61)</f>
        <v>4489.6982550208832</v>
      </c>
      <c r="D67" s="5">
        <f t="shared" si="47"/>
        <v>4685.8402535342293</v>
      </c>
      <c r="E67" s="5">
        <f t="shared" si="47"/>
        <v>4889.8821903621283</v>
      </c>
      <c r="F67" s="5">
        <f t="shared" si="47"/>
        <v>5087.4604655816402</v>
      </c>
      <c r="G67" s="5">
        <f t="shared" si="47"/>
        <v>5287.3198846469822</v>
      </c>
      <c r="H67" s="5">
        <f t="shared" si="47"/>
        <v>5485.0291759621814</v>
      </c>
      <c r="I67" s="5">
        <f t="shared" si="47"/>
        <v>5705.8077291618356</v>
      </c>
      <c r="J67" s="5">
        <f t="shared" si="47"/>
        <v>5902.3130458768683</v>
      </c>
      <c r="K67" s="5">
        <f t="shared" si="47"/>
        <v>6104.1435255388424</v>
      </c>
      <c r="L67" s="5">
        <f t="shared" si="47"/>
        <v>6330.6601087121162</v>
      </c>
      <c r="M67" s="5">
        <f t="shared" si="47"/>
        <v>6523.0675077978685</v>
      </c>
      <c r="N67" s="5">
        <f t="shared" si="47"/>
        <v>6632.8147110786067</v>
      </c>
      <c r="O67" s="5">
        <f t="shared" si="47"/>
        <v>6744.7301530805489</v>
      </c>
      <c r="P67" s="5">
        <f t="shared" si="47"/>
        <v>6858.861436743382</v>
      </c>
      <c r="Q67" s="5">
        <f t="shared" si="47"/>
        <v>6975.257281325652</v>
      </c>
      <c r="R67" s="5">
        <f t="shared" si="47"/>
        <v>7093.9675496594791</v>
      </c>
      <c r="S67" s="5">
        <f t="shared" si="47"/>
        <v>7215.0432760870008</v>
      </c>
      <c r="T67" s="5">
        <f t="shared" si="47"/>
        <v>7338.5366950958341</v>
      </c>
      <c r="U67" s="5">
        <f t="shared" si="47"/>
        <v>7464.5012706712987</v>
      </c>
      <c r="V67" s="5">
        <f t="shared" si="47"/>
        <v>7592.9917263835878</v>
      </c>
    </row>
    <row r="68" spans="2:22" hidden="1" outlineLevel="1">
      <c r="B68" s="307" t="s">
        <v>315</v>
      </c>
      <c r="C68" s="5">
        <f t="shared" ref="C68:V68" si="48">SUM(C62:C64)</f>
        <v>7733.0362709407909</v>
      </c>
      <c r="D68" s="5">
        <f t="shared" si="48"/>
        <v>7804.6339772620613</v>
      </c>
      <c r="E68" s="5">
        <f t="shared" si="48"/>
        <v>7891.9030940752255</v>
      </c>
      <c r="F68" s="5">
        <f t="shared" si="48"/>
        <v>7985.7496119075349</v>
      </c>
      <c r="G68" s="5">
        <f t="shared" si="48"/>
        <v>8103.6092674963729</v>
      </c>
      <c r="H68" s="5">
        <f t="shared" si="48"/>
        <v>8233.307265838368</v>
      </c>
      <c r="I68" s="5">
        <f t="shared" si="48"/>
        <v>8405.6145476143156</v>
      </c>
      <c r="J68" s="5">
        <f t="shared" si="48"/>
        <v>8632.8412008586638</v>
      </c>
      <c r="K68" s="5">
        <f t="shared" si="48"/>
        <v>8851.2320375583186</v>
      </c>
      <c r="L68" s="5">
        <f t="shared" si="48"/>
        <v>9070.4036792483748</v>
      </c>
      <c r="M68" s="5">
        <f t="shared" si="48"/>
        <v>9329.3116053842041</v>
      </c>
      <c r="N68" s="5">
        <f t="shared" si="48"/>
        <v>9741.1792834779626</v>
      </c>
      <c r="O68" s="5">
        <f t="shared" si="48"/>
        <v>10176.791003273363</v>
      </c>
      <c r="P68" s="5">
        <f t="shared" si="48"/>
        <v>10637.675142927732</v>
      </c>
      <c r="Q68" s="5">
        <f t="shared" si="48"/>
        <v>11125.463379645911</v>
      </c>
      <c r="R68" s="5">
        <f t="shared" si="48"/>
        <v>11641.897861282634</v>
      </c>
      <c r="S68" s="5">
        <f t="shared" si="48"/>
        <v>12188.838884292369</v>
      </c>
      <c r="T68" s="5">
        <f t="shared" si="48"/>
        <v>12768.273114172211</v>
      </c>
      <c r="U68" s="5">
        <f t="shared" si="48"/>
        <v>13382.322387142194</v>
      </c>
      <c r="V68" s="5">
        <f t="shared" si="48"/>
        <v>14033.253134594124</v>
      </c>
    </row>
    <row r="69" spans="2:22" hidden="1" outlineLevel="1">
      <c r="B69" s="308"/>
      <c r="C69" s="5">
        <f>SUM(C66:C68)</f>
        <v>13851.069390144934</v>
      </c>
    </row>
    <row r="70" spans="2:22" hidden="1" outlineLevel="1">
      <c r="B70" s="307" t="s">
        <v>317</v>
      </c>
      <c r="C70" s="17">
        <f>C66/(SUM(C66:C68))</f>
        <v>0.11756022717941353</v>
      </c>
    </row>
    <row r="71" spans="2:22" hidden="1" outlineLevel="1">
      <c r="B71" s="307" t="s">
        <v>313</v>
      </c>
      <c r="C71" s="17">
        <f>C67/(SUM(C66:C68))</f>
        <v>0.32414091133030587</v>
      </c>
    </row>
    <row r="72" spans="2:22" hidden="1" outlineLevel="1">
      <c r="B72" s="307" t="s">
        <v>315</v>
      </c>
      <c r="C72" s="17">
        <f>C68/(SUM(C66:C68))</f>
        <v>0.55829886149028052</v>
      </c>
    </row>
    <row r="73" spans="2:22" collapsed="1">
      <c r="B73" s="40"/>
    </row>
    <row r="74" spans="2:22" ht="13.5" hidden="1" customHeight="1" outlineLevel="1">
      <c r="B74" s="13" t="s">
        <v>96</v>
      </c>
      <c r="C74" s="29">
        <f t="shared" ref="C74:V74" si="49">C98*1000</f>
        <v>81439999.99999997</v>
      </c>
      <c r="D74" s="29">
        <f t="shared" si="49"/>
        <v>81276999.999999985</v>
      </c>
      <c r="E74" s="29">
        <f t="shared" si="49"/>
        <v>81115000</v>
      </c>
      <c r="F74" s="29">
        <f t="shared" si="49"/>
        <v>80952000.000000045</v>
      </c>
      <c r="G74" s="29">
        <f t="shared" si="49"/>
        <v>80791000</v>
      </c>
      <c r="H74" s="29">
        <f t="shared" si="49"/>
        <v>80629000.000000015</v>
      </c>
      <c r="I74" s="29">
        <f t="shared" si="49"/>
        <v>80460000.00000003</v>
      </c>
      <c r="J74" s="29">
        <f t="shared" si="49"/>
        <v>80290999.999999985</v>
      </c>
      <c r="K74" s="29">
        <f t="shared" si="49"/>
        <v>80121999.999999985</v>
      </c>
      <c r="L74" s="29">
        <f t="shared" si="49"/>
        <v>79954000.000000015</v>
      </c>
      <c r="M74" s="29">
        <f t="shared" si="49"/>
        <v>79841839.30450654</v>
      </c>
      <c r="N74" s="29">
        <f t="shared" si="49"/>
        <v>79785084.620607719</v>
      </c>
      <c r="O74" s="29">
        <f t="shared" si="49"/>
        <v>79778634.997278109</v>
      </c>
      <c r="P74" s="29">
        <f t="shared" si="49"/>
        <v>79822683.195594385</v>
      </c>
      <c r="Q74" s="29">
        <f t="shared" si="49"/>
        <v>79917503.713105246</v>
      </c>
      <c r="R74" s="29">
        <f t="shared" si="49"/>
        <v>80063453.86615324</v>
      </c>
      <c r="S74" s="29">
        <f t="shared" si="49"/>
        <v>80260975.049437612</v>
      </c>
      <c r="T74" s="29">
        <f t="shared" si="49"/>
        <v>80510594.177359283</v>
      </c>
      <c r="U74" s="29">
        <f t="shared" si="49"/>
        <v>80812925.312137187</v>
      </c>
      <c r="V74" s="29">
        <f t="shared" si="49"/>
        <v>81168671.484148562</v>
      </c>
    </row>
    <row r="75" spans="2:22" ht="15.75" hidden="1" outlineLevel="1" thickBot="1">
      <c r="B75" s="13" t="s">
        <v>87</v>
      </c>
      <c r="C75" s="48">
        <f>21.6/100000</f>
        <v>2.1600000000000002E-4</v>
      </c>
      <c r="D75" s="48">
        <f t="shared" ref="D75:V75" si="50">D76/D74</f>
        <v>2.2091725730945147E-4</v>
      </c>
      <c r="E75" s="48">
        <f t="shared" si="50"/>
        <v>2.2585361753178703E-4</v>
      </c>
      <c r="F75" s="48">
        <f t="shared" si="50"/>
        <v>2.3080919220220002E-4</v>
      </c>
      <c r="G75" s="48">
        <f t="shared" si="50"/>
        <v>2.3578409372586355E-4</v>
      </c>
      <c r="H75" s="48">
        <f t="shared" si="50"/>
        <v>2.398550225794445E-4</v>
      </c>
      <c r="I75" s="48">
        <f t="shared" si="50"/>
        <v>2.4394322738673609E-4</v>
      </c>
      <c r="J75" s="48">
        <f t="shared" si="50"/>
        <v>2.4804881835350135E-4</v>
      </c>
      <c r="K75" s="48">
        <f t="shared" si="50"/>
        <v>2.5217190662485785E-4</v>
      </c>
      <c r="L75" s="48">
        <f t="shared" si="50"/>
        <v>2.5631260429530848E-4</v>
      </c>
      <c r="M75" s="48">
        <f t="shared" si="50"/>
        <v>2.6056515083436354E-4</v>
      </c>
      <c r="N75" s="48">
        <f t="shared" si="50"/>
        <v>2.649325752078294E-4</v>
      </c>
      <c r="O75" s="48">
        <f t="shared" si="50"/>
        <v>2.6942242566420929E-4</v>
      </c>
      <c r="P75" s="48">
        <f t="shared" si="50"/>
        <v>2.7403637438437053E-4</v>
      </c>
      <c r="Q75" s="48">
        <f t="shared" si="50"/>
        <v>2.7877595956527613E-4</v>
      </c>
      <c r="R75" s="48">
        <f t="shared" si="50"/>
        <v>2.8364257623087152E-4</v>
      </c>
      <c r="S75" s="48">
        <f t="shared" si="50"/>
        <v>2.886374672576635E-4</v>
      </c>
      <c r="T75" s="48">
        <f t="shared" si="50"/>
        <v>2.9376171467221076E-4</v>
      </c>
      <c r="U75" s="48">
        <f t="shared" si="50"/>
        <v>2.9901623127836553E-4</v>
      </c>
      <c r="V75" s="48">
        <f t="shared" si="50"/>
        <v>3.044017526722393E-4</v>
      </c>
    </row>
    <row r="76" spans="2:22" ht="15.75" hidden="1" outlineLevel="1" thickBot="1">
      <c r="B76" s="340" t="s">
        <v>95</v>
      </c>
      <c r="C76" s="341">
        <f>C74*C75</f>
        <v>17591.039999999994</v>
      </c>
      <c r="D76" s="342">
        <f t="shared" ref="D76:V76" si="51">SUM(D77:D79)</f>
        <v>17955.491922340283</v>
      </c>
      <c r="E76" s="342">
        <f t="shared" si="51"/>
        <v>18320.116186090905</v>
      </c>
      <c r="F76" s="342">
        <f t="shared" si="51"/>
        <v>18684.465727152507</v>
      </c>
      <c r="G76" s="342">
        <f t="shared" si="51"/>
        <v>19049.232716206243</v>
      </c>
      <c r="H76" s="342">
        <f t="shared" si="51"/>
        <v>19339.270615558034</v>
      </c>
      <c r="I76" s="342">
        <f t="shared" si="51"/>
        <v>19627.672075536793</v>
      </c>
      <c r="J76" s="342">
        <f t="shared" si="51"/>
        <v>19916.087674420975</v>
      </c>
      <c r="K76" s="342">
        <f t="shared" si="51"/>
        <v>20204.517502596857</v>
      </c>
      <c r="L76" s="342">
        <f t="shared" si="51"/>
        <v>20493.217963827097</v>
      </c>
      <c r="M76" s="342">
        <f t="shared" si="51"/>
        <v>20804.00090127176</v>
      </c>
      <c r="N76" s="342">
        <f t="shared" si="51"/>
        <v>21137.667931712189</v>
      </c>
      <c r="O76" s="342">
        <f t="shared" si="51"/>
        <v>21494.153357146246</v>
      </c>
      <c r="P76" s="342">
        <f t="shared" si="51"/>
        <v>21874.318696552906</v>
      </c>
      <c r="Q76" s="342">
        <f t="shared" si="51"/>
        <v>22279.078783682431</v>
      </c>
      <c r="R76" s="342">
        <f t="shared" si="51"/>
        <v>22709.404316537235</v>
      </c>
      <c r="S76" s="342">
        <f t="shared" si="51"/>
        <v>23166.324557900196</v>
      </c>
      <c r="T76" s="342">
        <f t="shared" si="51"/>
        <v>23650.930194819572</v>
      </c>
      <c r="U76" s="342">
        <f t="shared" si="51"/>
        <v>24164.376365415294</v>
      </c>
      <c r="V76" s="343">
        <f t="shared" si="51"/>
        <v>24707.885861852032</v>
      </c>
    </row>
    <row r="77" spans="2:22" hidden="1" outlineLevel="1">
      <c r="B77" s="13" t="s">
        <v>317</v>
      </c>
      <c r="C77" s="19">
        <f>C76*0.1</f>
        <v>1759.1039999999994</v>
      </c>
      <c r="D77" s="19">
        <f t="shared" ref="D77:V77" si="52">1000*C80*SUM(D86:D91)</f>
        <v>1746.2555275556674</v>
      </c>
      <c r="E77" s="19">
        <f t="shared" si="52"/>
        <v>1733.4296740601987</v>
      </c>
      <c r="F77" s="19">
        <f t="shared" si="52"/>
        <v>1720.5835910949684</v>
      </c>
      <c r="G77" s="19">
        <f t="shared" si="52"/>
        <v>1707.7810477593948</v>
      </c>
      <c r="H77" s="19">
        <f t="shared" si="52"/>
        <v>1693.5399952801715</v>
      </c>
      <c r="I77" s="19">
        <f t="shared" si="52"/>
        <v>1679.1505120108757</v>
      </c>
      <c r="J77" s="19">
        <f t="shared" si="52"/>
        <v>1664.7605628080491</v>
      </c>
      <c r="K77" s="19">
        <f t="shared" si="52"/>
        <v>1650.3701446931027</v>
      </c>
      <c r="L77" s="19">
        <f t="shared" si="52"/>
        <v>1635.9997164239726</v>
      </c>
      <c r="M77" s="19">
        <f t="shared" si="52"/>
        <v>1622.5276635924088</v>
      </c>
      <c r="N77" s="19">
        <f t="shared" si="52"/>
        <v>1609.9204823558186</v>
      </c>
      <c r="O77" s="19">
        <f t="shared" si="52"/>
        <v>1598.0258553385113</v>
      </c>
      <c r="P77" s="19">
        <f t="shared" si="52"/>
        <v>1586.8270309489437</v>
      </c>
      <c r="Q77" s="19">
        <f t="shared" si="52"/>
        <v>1576.3081478299507</v>
      </c>
      <c r="R77" s="19">
        <f t="shared" si="52"/>
        <v>1566.4542048307546</v>
      </c>
      <c r="S77" s="19">
        <f t="shared" si="52"/>
        <v>1557.25103235897</v>
      </c>
      <c r="T77" s="19">
        <f t="shared" si="52"/>
        <v>1548.6852650600679</v>
      </c>
      <c r="U77" s="19">
        <f t="shared" si="52"/>
        <v>1540.7443157740631</v>
      </c>
      <c r="V77" s="19">
        <f t="shared" si="52"/>
        <v>1533.4163507213052</v>
      </c>
    </row>
    <row r="78" spans="2:22" hidden="1" outlineLevel="1">
      <c r="B78" s="13" t="s">
        <v>313</v>
      </c>
      <c r="C78" s="5">
        <f>C76*0.35</f>
        <v>6156.8639999999978</v>
      </c>
      <c r="D78" s="19">
        <f t="shared" ref="D78:V78" si="53">1000*C81*(SUM(D92:D94))</f>
        <v>6145.1394502938492</v>
      </c>
      <c r="E78" s="19">
        <f t="shared" si="53"/>
        <v>6133.490435235225</v>
      </c>
      <c r="F78" s="19">
        <f t="shared" si="53"/>
        <v>6121.7657322747054</v>
      </c>
      <c r="G78" s="19">
        <f t="shared" si="53"/>
        <v>6110.1922075313068</v>
      </c>
      <c r="H78" s="19">
        <f t="shared" si="53"/>
        <v>6169.6838887531803</v>
      </c>
      <c r="I78" s="19">
        <f t="shared" si="53"/>
        <v>6228.6492334821214</v>
      </c>
      <c r="J78" s="19">
        <f t="shared" si="53"/>
        <v>6287.6176686107101</v>
      </c>
      <c r="K78" s="19">
        <f t="shared" si="53"/>
        <v>6346.5892138950549</v>
      </c>
      <c r="L78" s="19">
        <f t="shared" si="53"/>
        <v>6405.6440058771477</v>
      </c>
      <c r="M78" s="19">
        <f t="shared" si="53"/>
        <v>6470.6029857862741</v>
      </c>
      <c r="N78" s="19">
        <f t="shared" si="53"/>
        <v>6541.5081442977416</v>
      </c>
      <c r="O78" s="19">
        <f t="shared" si="53"/>
        <v>6618.380772514096</v>
      </c>
      <c r="P78" s="19">
        <f t="shared" si="53"/>
        <v>6701.2768568534111</v>
      </c>
      <c r="Q78" s="19">
        <f t="shared" si="53"/>
        <v>6790.2595874485251</v>
      </c>
      <c r="R78" s="19">
        <f t="shared" si="53"/>
        <v>6885.3994289871935</v>
      </c>
      <c r="S78" s="19">
        <f t="shared" si="53"/>
        <v>6986.7742009804879</v>
      </c>
      <c r="T78" s="19">
        <f t="shared" si="53"/>
        <v>7094.4691675627591</v>
      </c>
      <c r="U78" s="19">
        <f t="shared" si="53"/>
        <v>7208.5771369390432</v>
      </c>
      <c r="V78" s="19">
        <f t="shared" si="53"/>
        <v>7329.1985706085725</v>
      </c>
    </row>
    <row r="79" spans="2:22" hidden="1" outlineLevel="1">
      <c r="B79" s="13" t="s">
        <v>315</v>
      </c>
      <c r="C79" s="5">
        <f>C76*0.55</f>
        <v>9675.0719999999965</v>
      </c>
      <c r="D79" s="19">
        <f t="shared" ref="D79:V79" si="54">1000*C82*(SUM(D95:D97))</f>
        <v>10064.096944490768</v>
      </c>
      <c r="E79" s="19">
        <f t="shared" si="54"/>
        <v>10453.196076795482</v>
      </c>
      <c r="F79" s="19">
        <f t="shared" si="54"/>
        <v>10842.116403782835</v>
      </c>
      <c r="G79" s="19">
        <f t="shared" si="54"/>
        <v>11231.259460915542</v>
      </c>
      <c r="H79" s="19">
        <f t="shared" si="54"/>
        <v>11476.046731524682</v>
      </c>
      <c r="I79" s="19">
        <f t="shared" si="54"/>
        <v>11719.872330043798</v>
      </c>
      <c r="J79" s="19">
        <f t="shared" si="54"/>
        <v>11963.709443002217</v>
      </c>
      <c r="K79" s="19">
        <f t="shared" si="54"/>
        <v>12207.558144008699</v>
      </c>
      <c r="L79" s="19">
        <f t="shared" si="54"/>
        <v>12451.574241525977</v>
      </c>
      <c r="M79" s="19">
        <f t="shared" si="54"/>
        <v>12710.870251893077</v>
      </c>
      <c r="N79" s="19">
        <f t="shared" si="54"/>
        <v>12986.239305058627</v>
      </c>
      <c r="O79" s="19">
        <f t="shared" si="54"/>
        <v>13277.746729293638</v>
      </c>
      <c r="P79" s="19">
        <f t="shared" si="54"/>
        <v>13586.21480875055</v>
      </c>
      <c r="Q79" s="19">
        <f t="shared" si="54"/>
        <v>13912.511048403954</v>
      </c>
      <c r="R79" s="19">
        <f t="shared" si="54"/>
        <v>14257.550682719286</v>
      </c>
      <c r="S79" s="19">
        <f t="shared" si="54"/>
        <v>14622.299324560739</v>
      </c>
      <c r="T79" s="19">
        <f t="shared" si="54"/>
        <v>15007.775762196747</v>
      </c>
      <c r="U79" s="19">
        <f t="shared" si="54"/>
        <v>15415.054912702186</v>
      </c>
      <c r="V79" s="19">
        <f t="shared" si="54"/>
        <v>15845.270940522156</v>
      </c>
    </row>
    <row r="80" spans="2:22" hidden="1" outlineLevel="1">
      <c r="B80" s="13" t="s">
        <v>318</v>
      </c>
      <c r="C80" s="47">
        <f t="shared" ref="C80:V80" si="55">C77/(1000*SUM(C86:C91))</f>
        <v>2.9293705780773138E-5</v>
      </c>
      <c r="D80" s="47">
        <f t="shared" si="55"/>
        <v>2.9293705780773138E-5</v>
      </c>
      <c r="E80" s="47">
        <f t="shared" si="55"/>
        <v>2.9293705780773138E-5</v>
      </c>
      <c r="F80" s="47">
        <f t="shared" si="55"/>
        <v>2.9293705780773138E-5</v>
      </c>
      <c r="G80" s="47">
        <f t="shared" si="55"/>
        <v>2.9293705780773135E-5</v>
      </c>
      <c r="H80" s="47">
        <f t="shared" si="55"/>
        <v>2.9293705780773132E-5</v>
      </c>
      <c r="I80" s="47">
        <f t="shared" si="55"/>
        <v>2.9293705780773132E-5</v>
      </c>
      <c r="J80" s="47">
        <f t="shared" si="55"/>
        <v>2.9293705780773132E-5</v>
      </c>
      <c r="K80" s="47">
        <f t="shared" si="55"/>
        <v>2.9293705780773132E-5</v>
      </c>
      <c r="L80" s="47">
        <f t="shared" si="55"/>
        <v>2.9293705780773128E-5</v>
      </c>
      <c r="M80" s="47">
        <f t="shared" si="55"/>
        <v>2.9293705780773128E-5</v>
      </c>
      <c r="N80" s="47">
        <f t="shared" si="55"/>
        <v>2.9293705780773132E-5</v>
      </c>
      <c r="O80" s="47">
        <f t="shared" si="55"/>
        <v>2.9293705780773132E-5</v>
      </c>
      <c r="P80" s="47">
        <f t="shared" si="55"/>
        <v>2.9293705780773132E-5</v>
      </c>
      <c r="Q80" s="47">
        <f t="shared" si="55"/>
        <v>2.9293705780773132E-5</v>
      </c>
      <c r="R80" s="47">
        <f t="shared" si="55"/>
        <v>2.9293705780773132E-5</v>
      </c>
      <c r="S80" s="47">
        <f t="shared" si="55"/>
        <v>2.9293705780773132E-5</v>
      </c>
      <c r="T80" s="47">
        <f t="shared" si="55"/>
        <v>2.9293705780773128E-5</v>
      </c>
      <c r="U80" s="47">
        <f t="shared" si="55"/>
        <v>2.9293705780773132E-5</v>
      </c>
      <c r="V80" s="47">
        <f t="shared" si="55"/>
        <v>2.9293705780773128E-5</v>
      </c>
    </row>
    <row r="81" spans="2:23" hidden="1" outlineLevel="1">
      <c r="B81" s="13" t="s">
        <v>314</v>
      </c>
      <c r="C81" s="46">
        <f t="shared" ref="C81:V81" si="56">C78/(1000*(SUM(C92:C94)))</f>
        <v>4.4364953304654794E-4</v>
      </c>
      <c r="D81" s="46">
        <f t="shared" si="56"/>
        <v>4.4364953304654794E-4</v>
      </c>
      <c r="E81" s="46">
        <f t="shared" si="56"/>
        <v>4.4364953304654794E-4</v>
      </c>
      <c r="F81" s="46">
        <f t="shared" si="56"/>
        <v>4.4364953304654794E-4</v>
      </c>
      <c r="G81" s="46">
        <f t="shared" si="56"/>
        <v>4.4364953304654794E-4</v>
      </c>
      <c r="H81" s="46">
        <f t="shared" si="56"/>
        <v>4.4364953304654794E-4</v>
      </c>
      <c r="I81" s="46">
        <f t="shared" si="56"/>
        <v>4.4364953304654799E-4</v>
      </c>
      <c r="J81" s="46">
        <f t="shared" si="56"/>
        <v>4.4364953304654799E-4</v>
      </c>
      <c r="K81" s="46">
        <f t="shared" si="56"/>
        <v>4.4364953304654799E-4</v>
      </c>
      <c r="L81" s="46">
        <f t="shared" si="56"/>
        <v>4.4364953304654804E-4</v>
      </c>
      <c r="M81" s="46">
        <f t="shared" si="56"/>
        <v>4.436495330465481E-4</v>
      </c>
      <c r="N81" s="46">
        <f t="shared" si="56"/>
        <v>4.436495330465481E-4</v>
      </c>
      <c r="O81" s="46">
        <f t="shared" si="56"/>
        <v>4.4364953304654804E-4</v>
      </c>
      <c r="P81" s="46">
        <f t="shared" si="56"/>
        <v>4.4364953304654804E-4</v>
      </c>
      <c r="Q81" s="46">
        <f t="shared" si="56"/>
        <v>4.4364953304654804E-4</v>
      </c>
      <c r="R81" s="46">
        <f t="shared" si="56"/>
        <v>4.4364953304654799E-4</v>
      </c>
      <c r="S81" s="46">
        <f t="shared" si="56"/>
        <v>4.4364953304654794E-4</v>
      </c>
      <c r="T81" s="46">
        <f t="shared" si="56"/>
        <v>4.4364953304654788E-4</v>
      </c>
      <c r="U81" s="46">
        <f t="shared" si="56"/>
        <v>4.4364953304654788E-4</v>
      </c>
      <c r="V81" s="46">
        <f t="shared" si="56"/>
        <v>4.4364953304654783E-4</v>
      </c>
    </row>
    <row r="82" spans="2:23" hidden="1" outlineLevel="1">
      <c r="B82" s="13" t="s">
        <v>316</v>
      </c>
      <c r="C82" s="45">
        <f t="shared" ref="C82:V82" si="57">C79/(1000*(SUM(C95:C97)))</f>
        <v>1.2880079185948975E-3</v>
      </c>
      <c r="D82" s="45">
        <f t="shared" si="57"/>
        <v>1.2880079185948977E-3</v>
      </c>
      <c r="E82" s="45">
        <f t="shared" si="57"/>
        <v>1.2880079185948977E-3</v>
      </c>
      <c r="F82" s="45">
        <f t="shared" si="57"/>
        <v>1.2880079185948973E-3</v>
      </c>
      <c r="G82" s="45">
        <f t="shared" si="57"/>
        <v>1.2880079185948975E-3</v>
      </c>
      <c r="H82" s="45">
        <f t="shared" si="57"/>
        <v>1.2880079185948975E-3</v>
      </c>
      <c r="I82" s="45">
        <f t="shared" si="57"/>
        <v>1.2880079185948977E-3</v>
      </c>
      <c r="J82" s="45">
        <f t="shared" si="57"/>
        <v>1.2880079185948975E-3</v>
      </c>
      <c r="K82" s="45">
        <f t="shared" si="57"/>
        <v>1.2880079185948975E-3</v>
      </c>
      <c r="L82" s="45">
        <f t="shared" si="57"/>
        <v>1.2880079185948977E-3</v>
      </c>
      <c r="M82" s="45">
        <f t="shared" si="57"/>
        <v>1.2880079185948977E-3</v>
      </c>
      <c r="N82" s="45">
        <f t="shared" si="57"/>
        <v>1.2880079185948977E-3</v>
      </c>
      <c r="O82" s="45">
        <f t="shared" si="57"/>
        <v>1.2880079185948975E-3</v>
      </c>
      <c r="P82" s="45">
        <f t="shared" si="57"/>
        <v>1.2880079185948975E-3</v>
      </c>
      <c r="Q82" s="45">
        <f t="shared" si="57"/>
        <v>1.2880079185948977E-3</v>
      </c>
      <c r="R82" s="45">
        <f t="shared" si="57"/>
        <v>1.2880079185948975E-3</v>
      </c>
      <c r="S82" s="45">
        <f t="shared" si="57"/>
        <v>1.2880079185948977E-3</v>
      </c>
      <c r="T82" s="45">
        <f t="shared" si="57"/>
        <v>1.2880079185948977E-3</v>
      </c>
      <c r="U82" s="45">
        <f t="shared" si="57"/>
        <v>1.2880079185948975E-3</v>
      </c>
      <c r="V82" s="45">
        <f t="shared" si="57"/>
        <v>1.2880079185948975E-3</v>
      </c>
    </row>
    <row r="83" spans="2:23" hidden="1" outlineLevel="1"/>
    <row r="84" spans="2:23" ht="15.75" hidden="1" outlineLevel="1" thickBot="1">
      <c r="B84" s="40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</row>
    <row r="85" spans="2:23" ht="15.75" hidden="1" outlineLevel="1" thickBot="1">
      <c r="B85" s="322" t="s">
        <v>85</v>
      </c>
      <c r="C85" s="32">
        <v>2011</v>
      </c>
      <c r="D85" s="32">
        <v>2012</v>
      </c>
      <c r="E85" s="32">
        <v>2013</v>
      </c>
      <c r="F85" s="32">
        <v>2014</v>
      </c>
      <c r="G85" s="32">
        <v>2015</v>
      </c>
      <c r="H85" s="32">
        <v>2016</v>
      </c>
      <c r="I85" s="32">
        <v>2017</v>
      </c>
      <c r="J85" s="32">
        <v>2018</v>
      </c>
      <c r="K85" s="32">
        <v>2019</v>
      </c>
      <c r="L85" s="32">
        <v>2020</v>
      </c>
      <c r="M85" s="32">
        <v>2021</v>
      </c>
      <c r="N85" s="32">
        <v>2022</v>
      </c>
      <c r="O85" s="32">
        <f t="shared" ref="O85:V85" si="58">N85+1</f>
        <v>2023</v>
      </c>
      <c r="P85" s="32">
        <f t="shared" si="58"/>
        <v>2024</v>
      </c>
      <c r="Q85" s="32">
        <f t="shared" si="58"/>
        <v>2025</v>
      </c>
      <c r="R85" s="32">
        <f t="shared" si="58"/>
        <v>2026</v>
      </c>
      <c r="S85" s="32">
        <f t="shared" si="58"/>
        <v>2027</v>
      </c>
      <c r="T85" s="32">
        <f t="shared" si="58"/>
        <v>2028</v>
      </c>
      <c r="U85" s="32">
        <f t="shared" si="58"/>
        <v>2029</v>
      </c>
      <c r="V85" s="31">
        <f t="shared" si="58"/>
        <v>2030</v>
      </c>
      <c r="W85" s="166" t="s">
        <v>220</v>
      </c>
    </row>
    <row r="86" spans="2:23" hidden="1" outlineLevel="1">
      <c r="B86" s="306" t="s">
        <v>82</v>
      </c>
      <c r="C86" s="44">
        <v>15126.477850868694</v>
      </c>
      <c r="D86" s="44">
        <v>14939.520910447241</v>
      </c>
      <c r="E86" s="44">
        <v>14752.766823526879</v>
      </c>
      <c r="F86" s="44">
        <v>14565.850020410933</v>
      </c>
      <c r="G86" s="44">
        <v>14379.310397617737</v>
      </c>
      <c r="H86" s="44">
        <v>14262.540048675126</v>
      </c>
      <c r="I86" s="44">
        <v>14144.520064683587</v>
      </c>
      <c r="J86" s="44">
        <v>14026.496292741609</v>
      </c>
      <c r="K86" s="44">
        <v>13908.468708633827</v>
      </c>
      <c r="L86" s="44">
        <v>13790.609769737197</v>
      </c>
      <c r="M86" s="44">
        <v>13674.17085797332</v>
      </c>
      <c r="N86" s="44">
        <v>13559.132974631539</v>
      </c>
      <c r="O86" s="19">
        <f t="shared" ref="O86:V97" si="59">N86*(1+$W86)</f>
        <v>13445.062880469899</v>
      </c>
      <c r="P86" s="19">
        <f t="shared" si="59"/>
        <v>13331.952433684413</v>
      </c>
      <c r="Q86" s="19">
        <f t="shared" si="59"/>
        <v>13219.793560966358</v>
      </c>
      <c r="R86" s="19">
        <f t="shared" si="59"/>
        <v>13108.57825692603</v>
      </c>
      <c r="S86" s="19">
        <f t="shared" si="59"/>
        <v>12998.298583521366</v>
      </c>
      <c r="T86" s="19">
        <f t="shared" si="59"/>
        <v>12888.946669491355</v>
      </c>
      <c r="U86" s="19">
        <f t="shared" si="59"/>
        <v>12780.514709794228</v>
      </c>
      <c r="V86" s="19">
        <f t="shared" si="59"/>
        <v>12672.994965050368</v>
      </c>
      <c r="W86" s="305">
        <f t="shared" ref="W86:W98" si="60">N86/M86-1</f>
        <v>-8.4127867449238503E-3</v>
      </c>
    </row>
    <row r="87" spans="2:23" hidden="1" outlineLevel="1">
      <c r="B87" s="306" t="s">
        <v>81</v>
      </c>
      <c r="C87" s="44">
        <v>9806.1172386055405</v>
      </c>
      <c r="D87" s="44">
        <v>9716.3304082611103</v>
      </c>
      <c r="E87" s="44">
        <v>9626.6716512670755</v>
      </c>
      <c r="F87" s="44">
        <v>9536.9027939170301</v>
      </c>
      <c r="G87" s="44">
        <v>9447.3773093697091</v>
      </c>
      <c r="H87" s="44">
        <v>9308.7245813912632</v>
      </c>
      <c r="I87" s="44">
        <v>9169.248177480611</v>
      </c>
      <c r="J87" s="44">
        <v>9029.7666170328412</v>
      </c>
      <c r="K87" s="44">
        <v>8890.2798670835837</v>
      </c>
      <c r="L87" s="44">
        <v>8750.8973435369408</v>
      </c>
      <c r="M87" s="44">
        <v>8613.7883367924405</v>
      </c>
      <c r="N87" s="44">
        <v>8478.9144619519193</v>
      </c>
      <c r="O87" s="19">
        <f t="shared" si="59"/>
        <v>8346.1524293581824</v>
      </c>
      <c r="P87" s="19">
        <f t="shared" si="59"/>
        <v>8215.4691719870898</v>
      </c>
      <c r="Q87" s="19">
        <f t="shared" si="59"/>
        <v>8086.8321405748047</v>
      </c>
      <c r="R87" s="19">
        <f t="shared" si="59"/>
        <v>7960.2092955107546</v>
      </c>
      <c r="S87" s="19">
        <f t="shared" si="59"/>
        <v>7835.5690988575288</v>
      </c>
      <c r="T87" s="19">
        <f t="shared" si="59"/>
        <v>7712.8805064957278</v>
      </c>
      <c r="U87" s="19">
        <f t="shared" si="59"/>
        <v>7592.1129603918071</v>
      </c>
      <c r="V87" s="19">
        <f t="shared" si="59"/>
        <v>7473.2363809869912</v>
      </c>
      <c r="W87" s="305">
        <f t="shared" si="60"/>
        <v>-1.5657904462828331E-2</v>
      </c>
    </row>
    <row r="88" spans="2:23" hidden="1" outlineLevel="1">
      <c r="B88" s="306" t="s">
        <v>80</v>
      </c>
      <c r="C88" s="44">
        <v>9906.9973971056115</v>
      </c>
      <c r="D88" s="44">
        <v>9855.7404414624143</v>
      </c>
      <c r="E88" s="44">
        <v>9804.6085668400738</v>
      </c>
      <c r="F88" s="44">
        <v>9753.3596622318273</v>
      </c>
      <c r="G88" s="44">
        <v>9702.3551975748287</v>
      </c>
      <c r="H88" s="44">
        <v>9772.6383894786177</v>
      </c>
      <c r="I88" s="44">
        <v>9842.0847781894336</v>
      </c>
      <c r="J88" s="44">
        <v>9911.5350324198262</v>
      </c>
      <c r="K88" s="44">
        <v>9980.9891768810412</v>
      </c>
      <c r="L88" s="44">
        <v>10050.572940937222</v>
      </c>
      <c r="M88" s="44">
        <v>10120.829716499848</v>
      </c>
      <c r="N88" s="44">
        <v>10191.766833333399</v>
      </c>
      <c r="O88" s="19">
        <f t="shared" si="59"/>
        <v>10263.201149970288</v>
      </c>
      <c r="P88" s="19">
        <f t="shared" si="59"/>
        <v>10335.13615129481</v>
      </c>
      <c r="Q88" s="19">
        <f t="shared" si="59"/>
        <v>10407.57534661689</v>
      </c>
      <c r="R88" s="19">
        <f t="shared" si="59"/>
        <v>10480.522269843286</v>
      </c>
      <c r="S88" s="19">
        <f t="shared" si="59"/>
        <v>10553.980479649983</v>
      </c>
      <c r="T88" s="19">
        <f t="shared" si="59"/>
        <v>10627.953559655805</v>
      </c>
      <c r="U88" s="19">
        <f t="shared" si="59"/>
        <v>10702.445118597238</v>
      </c>
      <c r="V88" s="19">
        <f t="shared" si="59"/>
        <v>10777.458790504481</v>
      </c>
      <c r="W88" s="305">
        <f t="shared" si="60"/>
        <v>7.0090218707961061E-3</v>
      </c>
    </row>
    <row r="89" spans="2:23" hidden="1" outlineLevel="1">
      <c r="B89" s="306" t="s">
        <v>79</v>
      </c>
      <c r="C89" s="44">
        <v>13487.801709724572</v>
      </c>
      <c r="D89" s="44">
        <v>13111.525820047234</v>
      </c>
      <c r="E89" s="44">
        <v>12735.45370196039</v>
      </c>
      <c r="F89" s="44">
        <v>12359.26728779268</v>
      </c>
      <c r="G89" s="44">
        <v>11983.424824117112</v>
      </c>
      <c r="H89" s="44">
        <v>11555.433563088856</v>
      </c>
      <c r="I89" s="44">
        <v>11126.386727807334</v>
      </c>
      <c r="J89" s="44">
        <v>10697.322491615878</v>
      </c>
      <c r="K89" s="44">
        <v>10268.240743275077</v>
      </c>
      <c r="L89" s="44">
        <v>9839.2644321611297</v>
      </c>
      <c r="M89" s="44">
        <v>9431.927774072783</v>
      </c>
      <c r="N89" s="44">
        <v>9045.025531877287</v>
      </c>
      <c r="O89" s="19">
        <f t="shared" si="59"/>
        <v>8673.9942069111821</v>
      </c>
      <c r="P89" s="19">
        <f t="shared" si="59"/>
        <v>8318.1827664684461</v>
      </c>
      <c r="Q89" s="19">
        <f t="shared" si="59"/>
        <v>7976.9668835197499</v>
      </c>
      <c r="R89" s="19">
        <f t="shared" si="59"/>
        <v>7649.7478412326691</v>
      </c>
      <c r="S89" s="19">
        <f t="shared" si="59"/>
        <v>7335.9514824290163</v>
      </c>
      <c r="T89" s="19">
        <f t="shared" si="59"/>
        <v>7035.0272021359369</v>
      </c>
      <c r="U89" s="19">
        <f t="shared" si="59"/>
        <v>6746.4469814630447</v>
      </c>
      <c r="V89" s="19">
        <f t="shared" si="59"/>
        <v>6469.704461110392</v>
      </c>
      <c r="W89" s="305">
        <f t="shared" si="60"/>
        <v>-4.1020483984095302E-2</v>
      </c>
    </row>
    <row r="90" spans="2:23" hidden="1" outlineLevel="1">
      <c r="B90" s="306" t="s">
        <v>78</v>
      </c>
      <c r="C90" s="44">
        <v>6213.3677971749694</v>
      </c>
      <c r="D90" s="44">
        <v>6383.862903623788</v>
      </c>
      <c r="E90" s="44">
        <v>6554.4143206184854</v>
      </c>
      <c r="F90" s="44">
        <v>6724.8625654522975</v>
      </c>
      <c r="G90" s="44">
        <v>6895.4567372077499</v>
      </c>
      <c r="H90" s="44">
        <v>6852.5995729596762</v>
      </c>
      <c r="I90" s="44">
        <v>6809.1437209048927</v>
      </c>
      <c r="J90" s="44">
        <v>6765.6866183416378</v>
      </c>
      <c r="K90" s="44">
        <v>6722.2282572757422</v>
      </c>
      <c r="L90" s="44">
        <v>6678.8521633286646</v>
      </c>
      <c r="M90" s="44">
        <v>6635.7580959658553</v>
      </c>
      <c r="N90" s="44">
        <v>6592.9442077615913</v>
      </c>
      <c r="O90" s="19">
        <f t="shared" si="59"/>
        <v>6550.4065546154261</v>
      </c>
      <c r="P90" s="19">
        <f t="shared" si="59"/>
        <v>6508.1433542597233</v>
      </c>
      <c r="Q90" s="19">
        <f t="shared" si="59"/>
        <v>6466.1528359260319</v>
      </c>
      <c r="R90" s="19">
        <f t="shared" si="59"/>
        <v>6424.4332402708915</v>
      </c>
      <c r="S90" s="19">
        <f t="shared" si="59"/>
        <v>6382.9828193021203</v>
      </c>
      <c r="T90" s="19">
        <f t="shared" si="59"/>
        <v>6341.7998363055767</v>
      </c>
      <c r="U90" s="19">
        <f t="shared" si="59"/>
        <v>6300.8825657723919</v>
      </c>
      <c r="V90" s="19">
        <f t="shared" si="59"/>
        <v>6260.2292933266745</v>
      </c>
      <c r="W90" s="305">
        <f t="shared" si="60"/>
        <v>-6.4519965292725301E-3</v>
      </c>
    </row>
    <row r="91" spans="2:23" hidden="1" outlineLevel="1">
      <c r="B91" s="306" t="s">
        <v>77</v>
      </c>
      <c r="C91" s="44">
        <v>5509.8172389570755</v>
      </c>
      <c r="D91" s="44">
        <v>5604.9901088928027</v>
      </c>
      <c r="E91" s="44">
        <v>5700.2190324684307</v>
      </c>
      <c r="F91" s="44">
        <v>5795.3646968852336</v>
      </c>
      <c r="G91" s="44">
        <v>5890.641804287302</v>
      </c>
      <c r="H91" s="44">
        <v>6060.4829338247437</v>
      </c>
      <c r="I91" s="44">
        <v>6229.8214538354641</v>
      </c>
      <c r="J91" s="44">
        <v>6399.1677986474497</v>
      </c>
      <c r="K91" s="44">
        <v>6568.5220182825833</v>
      </c>
      <c r="L91" s="44">
        <v>6737.9684362524995</v>
      </c>
      <c r="M91" s="44">
        <v>6911.7944849676896</v>
      </c>
      <c r="N91" s="44">
        <v>7090.1135812805469</v>
      </c>
      <c r="O91" s="19">
        <f t="shared" si="59"/>
        <v>7273.0331760860872</v>
      </c>
      <c r="P91" s="19">
        <f t="shared" si="59"/>
        <v>7460.671958783365</v>
      </c>
      <c r="Q91" s="19">
        <f t="shared" si="59"/>
        <v>7653.151680868611</v>
      </c>
      <c r="R91" s="19">
        <f t="shared" si="59"/>
        <v>7850.5972349350368</v>
      </c>
      <c r="S91" s="19">
        <f t="shared" si="59"/>
        <v>8053.1367357107711</v>
      </c>
      <c r="T91" s="19">
        <f t="shared" si="59"/>
        <v>8260.9016031875162</v>
      </c>
      <c r="U91" s="19">
        <f t="shared" si="59"/>
        <v>8474.0266478938647</v>
      </c>
      <c r="V91" s="19">
        <f t="shared" si="59"/>
        <v>8692.6501583685931</v>
      </c>
      <c r="W91" s="305">
        <f t="shared" si="60"/>
        <v>2.5799247460363439E-2</v>
      </c>
    </row>
    <row r="92" spans="2:23" hidden="1" outlineLevel="1">
      <c r="B92" s="306" t="s">
        <v>76</v>
      </c>
      <c r="C92" s="44">
        <v>4483.1997794261824</v>
      </c>
      <c r="D92" s="44">
        <v>4666.1514588389837</v>
      </c>
      <c r="E92" s="44">
        <v>4849.137221637392</v>
      </c>
      <c r="F92" s="44">
        <v>5032.0397355133218</v>
      </c>
      <c r="G92" s="44">
        <v>5215.0453594505561</v>
      </c>
      <c r="H92" s="44">
        <v>5311.0388369689072</v>
      </c>
      <c r="I92" s="44">
        <v>5406.5850220256452</v>
      </c>
      <c r="J92" s="44">
        <v>5502.1357925001921</v>
      </c>
      <c r="K92" s="44">
        <v>5597.6911777059122</v>
      </c>
      <c r="L92" s="44">
        <v>5693.3224146810426</v>
      </c>
      <c r="M92" s="44">
        <v>5790.6300781308637</v>
      </c>
      <c r="N92" s="44">
        <v>5889.6442682054203</v>
      </c>
      <c r="O92" s="19">
        <f t="shared" si="59"/>
        <v>5990.3515054447653</v>
      </c>
      <c r="P92" s="19">
        <f t="shared" si="59"/>
        <v>6092.7807393227076</v>
      </c>
      <c r="Q92" s="19">
        <f t="shared" si="59"/>
        <v>6196.9614143211393</v>
      </c>
      <c r="R92" s="19">
        <f t="shared" si="59"/>
        <v>6302.9234783941984</v>
      </c>
      <c r="S92" s="19">
        <f t="shared" si="59"/>
        <v>6410.6973915771578</v>
      </c>
      <c r="T92" s="19">
        <f t="shared" si="59"/>
        <v>6520.314134742518</v>
      </c>
      <c r="U92" s="19">
        <f t="shared" si="59"/>
        <v>6631.805218505825</v>
      </c>
      <c r="V92" s="19">
        <f t="shared" si="59"/>
        <v>6745.2026922837604</v>
      </c>
      <c r="W92" s="305">
        <f t="shared" si="60"/>
        <v>1.7099035638366455E-2</v>
      </c>
    </row>
    <row r="93" spans="2:23" hidden="1" outlineLevel="1">
      <c r="B93" s="306" t="s">
        <v>75</v>
      </c>
      <c r="C93" s="44">
        <v>4712.422792459668</v>
      </c>
      <c r="D93" s="44">
        <v>4552.7084503000351</v>
      </c>
      <c r="E93" s="44">
        <v>4393.0683886462484</v>
      </c>
      <c r="F93" s="44">
        <v>4233.3925445172463</v>
      </c>
      <c r="G93" s="44">
        <v>4073.8378997979366</v>
      </c>
      <c r="H93" s="44">
        <v>4251.801054084277</v>
      </c>
      <c r="I93" s="44">
        <v>4429.4192044687234</v>
      </c>
      <c r="J93" s="44">
        <v>4607.0453725906355</v>
      </c>
      <c r="K93" s="44">
        <v>4784.6796097052875</v>
      </c>
      <c r="L93" s="44">
        <v>4962.3840329938394</v>
      </c>
      <c r="M93" s="44">
        <v>5146.6915593139802</v>
      </c>
      <c r="N93" s="43">
        <v>5337.8476605503292</v>
      </c>
      <c r="O93" s="19">
        <f t="shared" si="59"/>
        <v>5536.1035956544674</v>
      </c>
      <c r="P93" s="19">
        <f t="shared" si="59"/>
        <v>5741.7230634600919</v>
      </c>
      <c r="Q93" s="19">
        <f t="shared" si="59"/>
        <v>5954.9795569842845</v>
      </c>
      <c r="R93" s="19">
        <f t="shared" si="59"/>
        <v>6176.1567271986596</v>
      </c>
      <c r="S93" s="19">
        <f t="shared" si="59"/>
        <v>6405.5487603115425</v>
      </c>
      <c r="T93" s="19">
        <f t="shared" si="59"/>
        <v>6643.4607690629855</v>
      </c>
      <c r="U93" s="19">
        <f t="shared" si="59"/>
        <v>6890.2091985530933</v>
      </c>
      <c r="V93" s="19">
        <f t="shared" si="59"/>
        <v>7146.1222471434385</v>
      </c>
      <c r="W93" s="305">
        <f t="shared" si="60"/>
        <v>3.7141549873998869E-2</v>
      </c>
    </row>
    <row r="94" spans="2:23" hidden="1" outlineLevel="1">
      <c r="B94" s="306" t="s">
        <v>74</v>
      </c>
      <c r="C94" s="44">
        <v>4682.1425138130362</v>
      </c>
      <c r="D94" s="44">
        <v>4632.477672792118</v>
      </c>
      <c r="E94" s="44">
        <v>4582.8747253507863</v>
      </c>
      <c r="F94" s="44">
        <v>4533.2202063959357</v>
      </c>
      <c r="G94" s="44">
        <v>4483.6821384259447</v>
      </c>
      <c r="H94" s="44">
        <v>4343.8216270732291</v>
      </c>
      <c r="I94" s="44">
        <v>4203.5670330759813</v>
      </c>
      <c r="J94" s="44">
        <v>4063.306801781458</v>
      </c>
      <c r="K94" s="44">
        <v>3923.0408971519087</v>
      </c>
      <c r="L94" s="44">
        <v>3782.8165952538329</v>
      </c>
      <c r="M94" s="44">
        <v>3647.6209891201952</v>
      </c>
      <c r="N94" s="43">
        <v>3517.273155019062</v>
      </c>
      <c r="O94" s="19">
        <f t="shared" si="59"/>
        <v>3391.583304273528</v>
      </c>
      <c r="P94" s="19">
        <f t="shared" si="59"/>
        <v>3270.3849837231655</v>
      </c>
      <c r="Q94" s="19">
        <f t="shared" si="59"/>
        <v>3153.5176884157095</v>
      </c>
      <c r="R94" s="19">
        <f t="shared" si="59"/>
        <v>3040.8266490476785</v>
      </c>
      <c r="S94" s="19">
        <f t="shared" si="59"/>
        <v>2932.1626270008114</v>
      </c>
      <c r="T94" s="19">
        <f t="shared" si="59"/>
        <v>2827.3817167028828</v>
      </c>
      <c r="U94" s="19">
        <f t="shared" si="59"/>
        <v>2726.3451550511591</v>
      </c>
      <c r="V94" s="19">
        <f t="shared" si="59"/>
        <v>2628.9191376461126</v>
      </c>
      <c r="W94" s="305">
        <f t="shared" si="60"/>
        <v>-3.573502688188368E-2</v>
      </c>
    </row>
    <row r="95" spans="2:23" hidden="1" outlineLevel="1">
      <c r="B95" s="306" t="s">
        <v>73</v>
      </c>
      <c r="C95" s="44">
        <v>3301.6855510231162</v>
      </c>
      <c r="D95" s="44">
        <v>3508.0327393500556</v>
      </c>
      <c r="E95" s="44">
        <v>3714.3972058906356</v>
      </c>
      <c r="F95" s="44">
        <v>3920.6898412153023</v>
      </c>
      <c r="G95" s="44">
        <v>4127.0558052761644</v>
      </c>
      <c r="H95" s="44">
        <v>4089.7789790478846</v>
      </c>
      <c r="I95" s="44">
        <v>4052.1433296951423</v>
      </c>
      <c r="J95" s="44">
        <v>4014.5064310922908</v>
      </c>
      <c r="K95" s="44">
        <v>3976.8682752532045</v>
      </c>
      <c r="L95" s="44">
        <v>3939.2781234299387</v>
      </c>
      <c r="M95" s="44">
        <v>3902.0780854289542</v>
      </c>
      <c r="N95" s="43">
        <v>3865.2638375469332</v>
      </c>
      <c r="O95" s="19">
        <f t="shared" si="59"/>
        <v>3828.796914556277</v>
      </c>
      <c r="P95" s="19">
        <f t="shared" si="59"/>
        <v>3792.6740396120927</v>
      </c>
      <c r="Q95" s="19">
        <f t="shared" si="59"/>
        <v>3756.8919667849577</v>
      </c>
      <c r="R95" s="19">
        <f t="shared" si="59"/>
        <v>3721.4474807692477</v>
      </c>
      <c r="S95" s="19">
        <f t="shared" si="59"/>
        <v>3686.3373965942146</v>
      </c>
      <c r="T95" s="19">
        <f t="shared" si="59"/>
        <v>3651.5585593377928</v>
      </c>
      <c r="U95" s="19">
        <f t="shared" si="59"/>
        <v>3617.1078438431027</v>
      </c>
      <c r="V95" s="19">
        <f t="shared" si="59"/>
        <v>3582.9821544376318</v>
      </c>
      <c r="W95" s="305">
        <f t="shared" si="60"/>
        <v>-9.4345236246019537E-3</v>
      </c>
    </row>
    <row r="96" spans="2:23" hidden="1" outlineLevel="1">
      <c r="B96" s="306" t="s">
        <v>72</v>
      </c>
      <c r="C96" s="44">
        <v>2329.9425742152989</v>
      </c>
      <c r="D96" s="44">
        <v>2351.9428714593851</v>
      </c>
      <c r="E96" s="44">
        <v>2373.9688653019916</v>
      </c>
      <c r="F96" s="44">
        <v>2395.9623321012482</v>
      </c>
      <c r="G96" s="44">
        <v>2418.0120466812696</v>
      </c>
      <c r="H96" s="44">
        <v>2591.7878770801144</v>
      </c>
      <c r="I96" s="44">
        <v>2765.3618484749973</v>
      </c>
      <c r="J96" s="44">
        <v>2938.9435142156913</v>
      </c>
      <c r="K96" s="44">
        <v>3112.5329234901155</v>
      </c>
      <c r="L96" s="44">
        <v>3286.1712266796221</v>
      </c>
      <c r="M96" s="44">
        <v>3470.0885513089961</v>
      </c>
      <c r="N96" s="43">
        <v>3664.8783027056329</v>
      </c>
      <c r="O96" s="19">
        <f t="shared" si="59"/>
        <v>3870.6023708172861</v>
      </c>
      <c r="P96" s="19">
        <f t="shared" si="59"/>
        <v>4087.8745419503034</v>
      </c>
      <c r="Q96" s="19">
        <f t="shared" si="59"/>
        <v>4317.3430566562947</v>
      </c>
      <c r="R96" s="19">
        <f t="shared" si="59"/>
        <v>4559.6925437847549</v>
      </c>
      <c r="S96" s="19">
        <f t="shared" si="59"/>
        <v>4815.6460631016871</v>
      </c>
      <c r="T96" s="19">
        <f t="shared" si="59"/>
        <v>5085.9672625684625</v>
      </c>
      <c r="U96" s="19">
        <f t="shared" si="59"/>
        <v>5371.4626567172463</v>
      </c>
      <c r="V96" s="19">
        <f t="shared" si="59"/>
        <v>5672.9840329206236</v>
      </c>
      <c r="W96" s="305">
        <f t="shared" si="60"/>
        <v>5.6133942554047467E-2</v>
      </c>
    </row>
    <row r="97" spans="2:23" hidden="1" outlineLevel="1">
      <c r="B97" s="306" t="s">
        <v>71</v>
      </c>
      <c r="C97" s="42">
        <v>1880.0275566262135</v>
      </c>
      <c r="D97" s="42">
        <v>1953.7162145248358</v>
      </c>
      <c r="E97" s="42">
        <v>2027.4194964916073</v>
      </c>
      <c r="F97" s="42">
        <v>2101.0883135669651</v>
      </c>
      <c r="G97" s="42">
        <v>2174.8004801936995</v>
      </c>
      <c r="H97" s="42">
        <v>2228.3525363273138</v>
      </c>
      <c r="I97" s="42">
        <v>2281.7186393582019</v>
      </c>
      <c r="J97" s="42">
        <v>2335.0872370204938</v>
      </c>
      <c r="K97" s="42">
        <v>2388.4583452617071</v>
      </c>
      <c r="L97" s="42">
        <v>2441.8625210080809</v>
      </c>
      <c r="M97" s="42">
        <v>2496.4607749316219</v>
      </c>
      <c r="N97" s="42">
        <v>2552.2798057440555</v>
      </c>
      <c r="O97" s="19">
        <f t="shared" si="59"/>
        <v>2609.3469091207076</v>
      </c>
      <c r="P97" s="19">
        <f t="shared" si="59"/>
        <v>2667.689991048172</v>
      </c>
      <c r="Q97" s="19">
        <f t="shared" si="59"/>
        <v>2727.3375814704236</v>
      </c>
      <c r="R97" s="19">
        <f t="shared" si="59"/>
        <v>2788.3188482400469</v>
      </c>
      <c r="S97" s="19">
        <f t="shared" si="59"/>
        <v>2850.6636113814038</v>
      </c>
      <c r="T97" s="19">
        <f t="shared" si="59"/>
        <v>2914.4023576727168</v>
      </c>
      <c r="U97" s="19">
        <f t="shared" si="59"/>
        <v>2979.5662555541958</v>
      </c>
      <c r="V97" s="19">
        <f t="shared" si="59"/>
        <v>3046.1871703694997</v>
      </c>
      <c r="W97" s="305">
        <f t="shared" si="60"/>
        <v>2.2359266115031362E-2</v>
      </c>
    </row>
    <row r="98" spans="2:23" hidden="1" outlineLevel="1">
      <c r="B98" s="313" t="s">
        <v>84</v>
      </c>
      <c r="C98" s="19">
        <f t="shared" ref="C98:V98" si="61">SUM(C86:C97)</f>
        <v>81439.999999999971</v>
      </c>
      <c r="D98" s="19">
        <f t="shared" si="61"/>
        <v>81276.999999999985</v>
      </c>
      <c r="E98" s="19">
        <f t="shared" si="61"/>
        <v>81115</v>
      </c>
      <c r="F98" s="19">
        <f t="shared" si="61"/>
        <v>80952.000000000044</v>
      </c>
      <c r="G98" s="19">
        <f t="shared" si="61"/>
        <v>80791</v>
      </c>
      <c r="H98" s="19">
        <f t="shared" si="61"/>
        <v>80629.000000000015</v>
      </c>
      <c r="I98" s="19">
        <f t="shared" si="61"/>
        <v>80460.000000000029</v>
      </c>
      <c r="J98" s="19">
        <f t="shared" si="61"/>
        <v>80290.999999999985</v>
      </c>
      <c r="K98" s="19">
        <f t="shared" si="61"/>
        <v>80121.999999999985</v>
      </c>
      <c r="L98" s="19">
        <f t="shared" si="61"/>
        <v>79954.000000000015</v>
      </c>
      <c r="M98" s="19">
        <f t="shared" si="61"/>
        <v>79841.839304506546</v>
      </c>
      <c r="N98" s="19">
        <f t="shared" si="61"/>
        <v>79785.084620607726</v>
      </c>
      <c r="O98" s="19">
        <f t="shared" si="61"/>
        <v>79778.634997278103</v>
      </c>
      <c r="P98" s="19">
        <f t="shared" si="61"/>
        <v>79822.683195594378</v>
      </c>
      <c r="Q98" s="19">
        <f t="shared" si="61"/>
        <v>79917.503713105252</v>
      </c>
      <c r="R98" s="19">
        <f t="shared" si="61"/>
        <v>80063.453866153242</v>
      </c>
      <c r="S98" s="19">
        <f t="shared" si="61"/>
        <v>80260.975049437606</v>
      </c>
      <c r="T98" s="19">
        <f t="shared" si="61"/>
        <v>80510.594177359279</v>
      </c>
      <c r="U98" s="19">
        <f t="shared" si="61"/>
        <v>80812.925312137188</v>
      </c>
      <c r="V98" s="19">
        <f t="shared" si="61"/>
        <v>81168.671484148566</v>
      </c>
      <c r="W98" s="305">
        <f t="shared" si="60"/>
        <v>-7.1083888338752121E-4</v>
      </c>
    </row>
    <row r="99" spans="2:23" hidden="1" outlineLevel="1">
      <c r="P99" s="26"/>
    </row>
    <row r="100" spans="2:23" hidden="1" outlineLevel="1">
      <c r="B100" s="307" t="s">
        <v>82</v>
      </c>
      <c r="C100" s="13">
        <f t="shared" ref="C100:V100" si="62">0.1/100000</f>
        <v>9.9999999999999995E-7</v>
      </c>
      <c r="D100" s="13">
        <f t="shared" si="62"/>
        <v>9.9999999999999995E-7</v>
      </c>
      <c r="E100" s="13">
        <f t="shared" si="62"/>
        <v>9.9999999999999995E-7</v>
      </c>
      <c r="F100" s="13">
        <f t="shared" si="62"/>
        <v>9.9999999999999995E-7</v>
      </c>
      <c r="G100" s="13">
        <f t="shared" si="62"/>
        <v>9.9999999999999995E-7</v>
      </c>
      <c r="H100" s="13">
        <f t="shared" si="62"/>
        <v>9.9999999999999995E-7</v>
      </c>
      <c r="I100" s="13">
        <f t="shared" si="62"/>
        <v>9.9999999999999995E-7</v>
      </c>
      <c r="J100" s="13">
        <f t="shared" si="62"/>
        <v>9.9999999999999995E-7</v>
      </c>
      <c r="K100" s="13">
        <f t="shared" si="62"/>
        <v>9.9999999999999995E-7</v>
      </c>
      <c r="L100" s="13">
        <f t="shared" si="62"/>
        <v>9.9999999999999995E-7</v>
      </c>
      <c r="M100" s="13">
        <f t="shared" si="62"/>
        <v>9.9999999999999995E-7</v>
      </c>
      <c r="N100" s="13">
        <f t="shared" si="62"/>
        <v>9.9999999999999995E-7</v>
      </c>
      <c r="O100" s="13">
        <f t="shared" si="62"/>
        <v>9.9999999999999995E-7</v>
      </c>
      <c r="P100" s="13">
        <f t="shared" si="62"/>
        <v>9.9999999999999995E-7</v>
      </c>
      <c r="Q100" s="13">
        <f t="shared" si="62"/>
        <v>9.9999999999999995E-7</v>
      </c>
      <c r="R100" s="13">
        <f t="shared" si="62"/>
        <v>9.9999999999999995E-7</v>
      </c>
      <c r="S100" s="13">
        <f t="shared" si="62"/>
        <v>9.9999999999999995E-7</v>
      </c>
      <c r="T100" s="13">
        <f t="shared" si="62"/>
        <v>9.9999999999999995E-7</v>
      </c>
      <c r="U100" s="13">
        <f t="shared" si="62"/>
        <v>9.9999999999999995E-7</v>
      </c>
      <c r="V100" s="13">
        <f t="shared" si="62"/>
        <v>9.9999999999999995E-7</v>
      </c>
    </row>
    <row r="101" spans="2:23" hidden="1" outlineLevel="1">
      <c r="B101" s="307" t="s">
        <v>81</v>
      </c>
      <c r="C101" s="13">
        <f t="shared" ref="C101:V101" si="63">0.15/100000</f>
        <v>1.5E-6</v>
      </c>
      <c r="D101" s="13">
        <f t="shared" si="63"/>
        <v>1.5E-6</v>
      </c>
      <c r="E101" s="13">
        <f t="shared" si="63"/>
        <v>1.5E-6</v>
      </c>
      <c r="F101" s="13">
        <f t="shared" si="63"/>
        <v>1.5E-6</v>
      </c>
      <c r="G101" s="13">
        <f t="shared" si="63"/>
        <v>1.5E-6</v>
      </c>
      <c r="H101" s="13">
        <f t="shared" si="63"/>
        <v>1.5E-6</v>
      </c>
      <c r="I101" s="13">
        <f t="shared" si="63"/>
        <v>1.5E-6</v>
      </c>
      <c r="J101" s="13">
        <f t="shared" si="63"/>
        <v>1.5E-6</v>
      </c>
      <c r="K101" s="13">
        <f t="shared" si="63"/>
        <v>1.5E-6</v>
      </c>
      <c r="L101" s="13">
        <f t="shared" si="63"/>
        <v>1.5E-6</v>
      </c>
      <c r="M101" s="13">
        <f t="shared" si="63"/>
        <v>1.5E-6</v>
      </c>
      <c r="N101" s="13">
        <f t="shared" si="63"/>
        <v>1.5E-6</v>
      </c>
      <c r="O101" s="13">
        <f t="shared" si="63"/>
        <v>1.5E-6</v>
      </c>
      <c r="P101" s="13">
        <f t="shared" si="63"/>
        <v>1.5E-6</v>
      </c>
      <c r="Q101" s="13">
        <f t="shared" si="63"/>
        <v>1.5E-6</v>
      </c>
      <c r="R101" s="13">
        <f t="shared" si="63"/>
        <v>1.5E-6</v>
      </c>
      <c r="S101" s="13">
        <f t="shared" si="63"/>
        <v>1.5E-6</v>
      </c>
      <c r="T101" s="13">
        <f t="shared" si="63"/>
        <v>1.5E-6</v>
      </c>
      <c r="U101" s="13">
        <f t="shared" si="63"/>
        <v>1.5E-6</v>
      </c>
      <c r="V101" s="13">
        <f t="shared" si="63"/>
        <v>1.5E-6</v>
      </c>
    </row>
    <row r="102" spans="2:23" hidden="1" outlineLevel="1">
      <c r="B102" s="307" t="s">
        <v>80</v>
      </c>
      <c r="C102" s="13">
        <f t="shared" ref="C102:V102" si="64">0.25/100000</f>
        <v>2.5000000000000002E-6</v>
      </c>
      <c r="D102" s="13">
        <f t="shared" si="64"/>
        <v>2.5000000000000002E-6</v>
      </c>
      <c r="E102" s="13">
        <f t="shared" si="64"/>
        <v>2.5000000000000002E-6</v>
      </c>
      <c r="F102" s="13">
        <f t="shared" si="64"/>
        <v>2.5000000000000002E-6</v>
      </c>
      <c r="G102" s="13">
        <f t="shared" si="64"/>
        <v>2.5000000000000002E-6</v>
      </c>
      <c r="H102" s="13">
        <f t="shared" si="64"/>
        <v>2.5000000000000002E-6</v>
      </c>
      <c r="I102" s="13">
        <f t="shared" si="64"/>
        <v>2.5000000000000002E-6</v>
      </c>
      <c r="J102" s="13">
        <f t="shared" si="64"/>
        <v>2.5000000000000002E-6</v>
      </c>
      <c r="K102" s="13">
        <f t="shared" si="64"/>
        <v>2.5000000000000002E-6</v>
      </c>
      <c r="L102" s="13">
        <f t="shared" si="64"/>
        <v>2.5000000000000002E-6</v>
      </c>
      <c r="M102" s="13">
        <f t="shared" si="64"/>
        <v>2.5000000000000002E-6</v>
      </c>
      <c r="N102" s="13">
        <f t="shared" si="64"/>
        <v>2.5000000000000002E-6</v>
      </c>
      <c r="O102" s="13">
        <f t="shared" si="64"/>
        <v>2.5000000000000002E-6</v>
      </c>
      <c r="P102" s="13">
        <f t="shared" si="64"/>
        <v>2.5000000000000002E-6</v>
      </c>
      <c r="Q102" s="13">
        <f t="shared" si="64"/>
        <v>2.5000000000000002E-6</v>
      </c>
      <c r="R102" s="13">
        <f t="shared" si="64"/>
        <v>2.5000000000000002E-6</v>
      </c>
      <c r="S102" s="13">
        <f t="shared" si="64"/>
        <v>2.5000000000000002E-6</v>
      </c>
      <c r="T102" s="13">
        <f t="shared" si="64"/>
        <v>2.5000000000000002E-6</v>
      </c>
      <c r="U102" s="13">
        <f t="shared" si="64"/>
        <v>2.5000000000000002E-6</v>
      </c>
      <c r="V102" s="13">
        <f t="shared" si="64"/>
        <v>2.5000000000000002E-6</v>
      </c>
    </row>
    <row r="103" spans="2:23" hidden="1" outlineLevel="1">
      <c r="B103" s="307" t="s">
        <v>79</v>
      </c>
      <c r="C103" s="13">
        <f t="shared" ref="C103:V103" si="65">0.8/100000</f>
        <v>7.9999999999999996E-6</v>
      </c>
      <c r="D103" s="13">
        <f t="shared" si="65"/>
        <v>7.9999999999999996E-6</v>
      </c>
      <c r="E103" s="13">
        <f t="shared" si="65"/>
        <v>7.9999999999999996E-6</v>
      </c>
      <c r="F103" s="13">
        <f t="shared" si="65"/>
        <v>7.9999999999999996E-6</v>
      </c>
      <c r="G103" s="13">
        <f t="shared" si="65"/>
        <v>7.9999999999999996E-6</v>
      </c>
      <c r="H103" s="13">
        <f t="shared" si="65"/>
        <v>7.9999999999999996E-6</v>
      </c>
      <c r="I103" s="13">
        <f t="shared" si="65"/>
        <v>7.9999999999999996E-6</v>
      </c>
      <c r="J103" s="13">
        <f t="shared" si="65"/>
        <v>7.9999999999999996E-6</v>
      </c>
      <c r="K103" s="13">
        <f t="shared" si="65"/>
        <v>7.9999999999999996E-6</v>
      </c>
      <c r="L103" s="13">
        <f t="shared" si="65"/>
        <v>7.9999999999999996E-6</v>
      </c>
      <c r="M103" s="13">
        <f t="shared" si="65"/>
        <v>7.9999999999999996E-6</v>
      </c>
      <c r="N103" s="13">
        <f t="shared" si="65"/>
        <v>7.9999999999999996E-6</v>
      </c>
      <c r="O103" s="13">
        <f t="shared" si="65"/>
        <v>7.9999999999999996E-6</v>
      </c>
      <c r="P103" s="13">
        <f t="shared" si="65"/>
        <v>7.9999999999999996E-6</v>
      </c>
      <c r="Q103" s="13">
        <f t="shared" si="65"/>
        <v>7.9999999999999996E-6</v>
      </c>
      <c r="R103" s="13">
        <f t="shared" si="65"/>
        <v>7.9999999999999996E-6</v>
      </c>
      <c r="S103" s="13">
        <f t="shared" si="65"/>
        <v>7.9999999999999996E-6</v>
      </c>
      <c r="T103" s="13">
        <f t="shared" si="65"/>
        <v>7.9999999999999996E-6</v>
      </c>
      <c r="U103" s="13">
        <f t="shared" si="65"/>
        <v>7.9999999999999996E-6</v>
      </c>
      <c r="V103" s="13">
        <f t="shared" si="65"/>
        <v>7.9999999999999996E-6</v>
      </c>
    </row>
    <row r="104" spans="2:23" hidden="1" outlineLevel="1">
      <c r="B104" s="307" t="s">
        <v>78</v>
      </c>
      <c r="C104" s="13">
        <f t="shared" ref="C104:V104" si="66">1.7/100000</f>
        <v>1.7E-5</v>
      </c>
      <c r="D104" s="13">
        <f t="shared" si="66"/>
        <v>1.7E-5</v>
      </c>
      <c r="E104" s="13">
        <f t="shared" si="66"/>
        <v>1.7E-5</v>
      </c>
      <c r="F104" s="13">
        <f t="shared" si="66"/>
        <v>1.7E-5</v>
      </c>
      <c r="G104" s="13">
        <f t="shared" si="66"/>
        <v>1.7E-5</v>
      </c>
      <c r="H104" s="13">
        <f t="shared" si="66"/>
        <v>1.7E-5</v>
      </c>
      <c r="I104" s="13">
        <f t="shared" si="66"/>
        <v>1.7E-5</v>
      </c>
      <c r="J104" s="13">
        <f t="shared" si="66"/>
        <v>1.7E-5</v>
      </c>
      <c r="K104" s="13">
        <f t="shared" si="66"/>
        <v>1.7E-5</v>
      </c>
      <c r="L104" s="13">
        <f t="shared" si="66"/>
        <v>1.7E-5</v>
      </c>
      <c r="M104" s="13">
        <f t="shared" si="66"/>
        <v>1.7E-5</v>
      </c>
      <c r="N104" s="13">
        <f t="shared" si="66"/>
        <v>1.7E-5</v>
      </c>
      <c r="O104" s="13">
        <f t="shared" si="66"/>
        <v>1.7E-5</v>
      </c>
      <c r="P104" s="13">
        <f t="shared" si="66"/>
        <v>1.7E-5</v>
      </c>
      <c r="Q104" s="13">
        <f t="shared" si="66"/>
        <v>1.7E-5</v>
      </c>
      <c r="R104" s="13">
        <f t="shared" si="66"/>
        <v>1.7E-5</v>
      </c>
      <c r="S104" s="13">
        <f t="shared" si="66"/>
        <v>1.7E-5</v>
      </c>
      <c r="T104" s="13">
        <f t="shared" si="66"/>
        <v>1.7E-5</v>
      </c>
      <c r="U104" s="13">
        <f t="shared" si="66"/>
        <v>1.7E-5</v>
      </c>
      <c r="V104" s="13">
        <f t="shared" si="66"/>
        <v>1.7E-5</v>
      </c>
    </row>
    <row r="105" spans="2:23" hidden="1" outlineLevel="1">
      <c r="B105" s="307" t="s">
        <v>77</v>
      </c>
      <c r="C105" s="13">
        <f t="shared" ref="C105:V105" si="67">3.3/100000</f>
        <v>3.2999999999999996E-5</v>
      </c>
      <c r="D105" s="13">
        <f t="shared" si="67"/>
        <v>3.2999999999999996E-5</v>
      </c>
      <c r="E105" s="13">
        <f t="shared" si="67"/>
        <v>3.2999999999999996E-5</v>
      </c>
      <c r="F105" s="13">
        <f t="shared" si="67"/>
        <v>3.2999999999999996E-5</v>
      </c>
      <c r="G105" s="13">
        <f t="shared" si="67"/>
        <v>3.2999999999999996E-5</v>
      </c>
      <c r="H105" s="13">
        <f t="shared" si="67"/>
        <v>3.2999999999999996E-5</v>
      </c>
      <c r="I105" s="13">
        <f t="shared" si="67"/>
        <v>3.2999999999999996E-5</v>
      </c>
      <c r="J105" s="13">
        <f t="shared" si="67"/>
        <v>3.2999999999999996E-5</v>
      </c>
      <c r="K105" s="13">
        <f t="shared" si="67"/>
        <v>3.2999999999999996E-5</v>
      </c>
      <c r="L105" s="13">
        <f t="shared" si="67"/>
        <v>3.2999999999999996E-5</v>
      </c>
      <c r="M105" s="13">
        <f t="shared" si="67"/>
        <v>3.2999999999999996E-5</v>
      </c>
      <c r="N105" s="13">
        <f t="shared" si="67"/>
        <v>3.2999999999999996E-5</v>
      </c>
      <c r="O105" s="13">
        <f t="shared" si="67"/>
        <v>3.2999999999999996E-5</v>
      </c>
      <c r="P105" s="13">
        <f t="shared" si="67"/>
        <v>3.2999999999999996E-5</v>
      </c>
      <c r="Q105" s="13">
        <f t="shared" si="67"/>
        <v>3.2999999999999996E-5</v>
      </c>
      <c r="R105" s="13">
        <f t="shared" si="67"/>
        <v>3.2999999999999996E-5</v>
      </c>
      <c r="S105" s="13">
        <f t="shared" si="67"/>
        <v>3.2999999999999996E-5</v>
      </c>
      <c r="T105" s="13">
        <f t="shared" si="67"/>
        <v>3.2999999999999996E-5</v>
      </c>
      <c r="U105" s="13">
        <f t="shared" si="67"/>
        <v>3.2999999999999996E-5</v>
      </c>
      <c r="V105" s="13">
        <f t="shared" si="67"/>
        <v>3.2999999999999996E-5</v>
      </c>
    </row>
    <row r="106" spans="2:23" hidden="1" outlineLevel="1">
      <c r="B106" s="307" t="s">
        <v>76</v>
      </c>
      <c r="C106" s="13">
        <f t="shared" ref="C106:V106" si="68">6.4/100000</f>
        <v>6.3999999999999997E-5</v>
      </c>
      <c r="D106" s="13">
        <f t="shared" si="68"/>
        <v>6.3999999999999997E-5</v>
      </c>
      <c r="E106" s="13">
        <f t="shared" si="68"/>
        <v>6.3999999999999997E-5</v>
      </c>
      <c r="F106" s="13">
        <f t="shared" si="68"/>
        <v>6.3999999999999997E-5</v>
      </c>
      <c r="G106" s="13">
        <f t="shared" si="68"/>
        <v>6.3999999999999997E-5</v>
      </c>
      <c r="H106" s="13">
        <f t="shared" si="68"/>
        <v>6.3999999999999997E-5</v>
      </c>
      <c r="I106" s="13">
        <f t="shared" si="68"/>
        <v>6.3999999999999997E-5</v>
      </c>
      <c r="J106" s="13">
        <f t="shared" si="68"/>
        <v>6.3999999999999997E-5</v>
      </c>
      <c r="K106" s="13">
        <f t="shared" si="68"/>
        <v>6.3999999999999997E-5</v>
      </c>
      <c r="L106" s="13">
        <f t="shared" si="68"/>
        <v>6.3999999999999997E-5</v>
      </c>
      <c r="M106" s="13">
        <f t="shared" si="68"/>
        <v>6.3999999999999997E-5</v>
      </c>
      <c r="N106" s="13">
        <f t="shared" si="68"/>
        <v>6.3999999999999997E-5</v>
      </c>
      <c r="O106" s="13">
        <f t="shared" si="68"/>
        <v>6.3999999999999997E-5</v>
      </c>
      <c r="P106" s="13">
        <f t="shared" si="68"/>
        <v>6.3999999999999997E-5</v>
      </c>
      <c r="Q106" s="13">
        <f t="shared" si="68"/>
        <v>6.3999999999999997E-5</v>
      </c>
      <c r="R106" s="13">
        <f t="shared" si="68"/>
        <v>6.3999999999999997E-5</v>
      </c>
      <c r="S106" s="13">
        <f t="shared" si="68"/>
        <v>6.3999999999999997E-5</v>
      </c>
      <c r="T106" s="13">
        <f t="shared" si="68"/>
        <v>6.3999999999999997E-5</v>
      </c>
      <c r="U106" s="13">
        <f t="shared" si="68"/>
        <v>6.3999999999999997E-5</v>
      </c>
      <c r="V106" s="13">
        <f t="shared" si="68"/>
        <v>6.3999999999999997E-5</v>
      </c>
    </row>
    <row r="107" spans="2:23" hidden="1" outlineLevel="1">
      <c r="B107" s="307" t="s">
        <v>75</v>
      </c>
      <c r="C107" s="13">
        <f t="shared" ref="C107:V107" si="69">11.9/100000</f>
        <v>1.1900000000000001E-4</v>
      </c>
      <c r="D107" s="13">
        <f t="shared" si="69"/>
        <v>1.1900000000000001E-4</v>
      </c>
      <c r="E107" s="13">
        <f t="shared" si="69"/>
        <v>1.1900000000000001E-4</v>
      </c>
      <c r="F107" s="13">
        <f t="shared" si="69"/>
        <v>1.1900000000000001E-4</v>
      </c>
      <c r="G107" s="13">
        <f t="shared" si="69"/>
        <v>1.1900000000000001E-4</v>
      </c>
      <c r="H107" s="13">
        <f t="shared" si="69"/>
        <v>1.1900000000000001E-4</v>
      </c>
      <c r="I107" s="13">
        <f t="shared" si="69"/>
        <v>1.1900000000000001E-4</v>
      </c>
      <c r="J107" s="13">
        <f t="shared" si="69"/>
        <v>1.1900000000000001E-4</v>
      </c>
      <c r="K107" s="13">
        <f t="shared" si="69"/>
        <v>1.1900000000000001E-4</v>
      </c>
      <c r="L107" s="13">
        <f t="shared" si="69"/>
        <v>1.1900000000000001E-4</v>
      </c>
      <c r="M107" s="13">
        <f t="shared" si="69"/>
        <v>1.1900000000000001E-4</v>
      </c>
      <c r="N107" s="13">
        <f t="shared" si="69"/>
        <v>1.1900000000000001E-4</v>
      </c>
      <c r="O107" s="13">
        <f t="shared" si="69"/>
        <v>1.1900000000000001E-4</v>
      </c>
      <c r="P107" s="13">
        <f t="shared" si="69"/>
        <v>1.1900000000000001E-4</v>
      </c>
      <c r="Q107" s="13">
        <f t="shared" si="69"/>
        <v>1.1900000000000001E-4</v>
      </c>
      <c r="R107" s="13">
        <f t="shared" si="69"/>
        <v>1.1900000000000001E-4</v>
      </c>
      <c r="S107" s="13">
        <f t="shared" si="69"/>
        <v>1.1900000000000001E-4</v>
      </c>
      <c r="T107" s="13">
        <f t="shared" si="69"/>
        <v>1.1900000000000001E-4</v>
      </c>
      <c r="U107" s="13">
        <f t="shared" si="69"/>
        <v>1.1900000000000001E-4</v>
      </c>
      <c r="V107" s="13">
        <f t="shared" si="69"/>
        <v>1.1900000000000001E-4</v>
      </c>
    </row>
    <row r="108" spans="2:23" hidden="1" outlineLevel="1">
      <c r="B108" s="307" t="s">
        <v>74</v>
      </c>
      <c r="C108" s="13">
        <f t="shared" ref="C108:V108" si="70">20.1/100000</f>
        <v>2.0100000000000001E-4</v>
      </c>
      <c r="D108" s="13">
        <f t="shared" si="70"/>
        <v>2.0100000000000001E-4</v>
      </c>
      <c r="E108" s="13">
        <f t="shared" si="70"/>
        <v>2.0100000000000001E-4</v>
      </c>
      <c r="F108" s="13">
        <f t="shared" si="70"/>
        <v>2.0100000000000001E-4</v>
      </c>
      <c r="G108" s="13">
        <f t="shared" si="70"/>
        <v>2.0100000000000001E-4</v>
      </c>
      <c r="H108" s="13">
        <f t="shared" si="70"/>
        <v>2.0100000000000001E-4</v>
      </c>
      <c r="I108" s="13">
        <f t="shared" si="70"/>
        <v>2.0100000000000001E-4</v>
      </c>
      <c r="J108" s="13">
        <f t="shared" si="70"/>
        <v>2.0100000000000001E-4</v>
      </c>
      <c r="K108" s="13">
        <f t="shared" si="70"/>
        <v>2.0100000000000001E-4</v>
      </c>
      <c r="L108" s="13">
        <f t="shared" si="70"/>
        <v>2.0100000000000001E-4</v>
      </c>
      <c r="M108" s="13">
        <f t="shared" si="70"/>
        <v>2.0100000000000001E-4</v>
      </c>
      <c r="N108" s="13">
        <f t="shared" si="70"/>
        <v>2.0100000000000001E-4</v>
      </c>
      <c r="O108" s="13">
        <f t="shared" si="70"/>
        <v>2.0100000000000001E-4</v>
      </c>
      <c r="P108" s="13">
        <f t="shared" si="70"/>
        <v>2.0100000000000001E-4</v>
      </c>
      <c r="Q108" s="13">
        <f t="shared" si="70"/>
        <v>2.0100000000000001E-4</v>
      </c>
      <c r="R108" s="13">
        <f t="shared" si="70"/>
        <v>2.0100000000000001E-4</v>
      </c>
      <c r="S108" s="13">
        <f t="shared" si="70"/>
        <v>2.0100000000000001E-4</v>
      </c>
      <c r="T108" s="13">
        <f t="shared" si="70"/>
        <v>2.0100000000000001E-4</v>
      </c>
      <c r="U108" s="13">
        <f t="shared" si="70"/>
        <v>2.0100000000000001E-4</v>
      </c>
      <c r="V108" s="13">
        <f t="shared" si="70"/>
        <v>2.0100000000000001E-4</v>
      </c>
    </row>
    <row r="109" spans="2:23" hidden="1" outlineLevel="1">
      <c r="B109" s="307" t="s">
        <v>73</v>
      </c>
      <c r="C109" s="13">
        <f t="shared" ref="C109:V109" si="71">32.1/100000</f>
        <v>3.21E-4</v>
      </c>
      <c r="D109" s="13">
        <f t="shared" si="71"/>
        <v>3.21E-4</v>
      </c>
      <c r="E109" s="13">
        <f t="shared" si="71"/>
        <v>3.21E-4</v>
      </c>
      <c r="F109" s="13">
        <f t="shared" si="71"/>
        <v>3.21E-4</v>
      </c>
      <c r="G109" s="13">
        <f t="shared" si="71"/>
        <v>3.21E-4</v>
      </c>
      <c r="H109" s="13">
        <f t="shared" si="71"/>
        <v>3.21E-4</v>
      </c>
      <c r="I109" s="13">
        <f t="shared" si="71"/>
        <v>3.21E-4</v>
      </c>
      <c r="J109" s="13">
        <f t="shared" si="71"/>
        <v>3.21E-4</v>
      </c>
      <c r="K109" s="13">
        <f t="shared" si="71"/>
        <v>3.21E-4</v>
      </c>
      <c r="L109" s="13">
        <f t="shared" si="71"/>
        <v>3.21E-4</v>
      </c>
      <c r="M109" s="13">
        <f t="shared" si="71"/>
        <v>3.21E-4</v>
      </c>
      <c r="N109" s="13">
        <f t="shared" si="71"/>
        <v>3.21E-4</v>
      </c>
      <c r="O109" s="13">
        <f t="shared" si="71"/>
        <v>3.21E-4</v>
      </c>
      <c r="P109" s="13">
        <f t="shared" si="71"/>
        <v>3.21E-4</v>
      </c>
      <c r="Q109" s="13">
        <f t="shared" si="71"/>
        <v>3.21E-4</v>
      </c>
      <c r="R109" s="13">
        <f t="shared" si="71"/>
        <v>3.21E-4</v>
      </c>
      <c r="S109" s="13">
        <f t="shared" si="71"/>
        <v>3.21E-4</v>
      </c>
      <c r="T109" s="13">
        <f t="shared" si="71"/>
        <v>3.21E-4</v>
      </c>
      <c r="U109" s="13">
        <f t="shared" si="71"/>
        <v>3.21E-4</v>
      </c>
      <c r="V109" s="13">
        <f t="shared" si="71"/>
        <v>3.21E-4</v>
      </c>
    </row>
    <row r="110" spans="2:23" hidden="1" outlineLevel="1">
      <c r="B110" s="307" t="s">
        <v>72</v>
      </c>
      <c r="C110" s="13">
        <f t="shared" ref="C110:V110" si="72">44.5/100000</f>
        <v>4.4499999999999997E-4</v>
      </c>
      <c r="D110" s="13">
        <f t="shared" si="72"/>
        <v>4.4499999999999997E-4</v>
      </c>
      <c r="E110" s="13">
        <f t="shared" si="72"/>
        <v>4.4499999999999997E-4</v>
      </c>
      <c r="F110" s="13">
        <f t="shared" si="72"/>
        <v>4.4499999999999997E-4</v>
      </c>
      <c r="G110" s="13">
        <f t="shared" si="72"/>
        <v>4.4499999999999997E-4</v>
      </c>
      <c r="H110" s="13">
        <f t="shared" si="72"/>
        <v>4.4499999999999997E-4</v>
      </c>
      <c r="I110" s="13">
        <f t="shared" si="72"/>
        <v>4.4499999999999997E-4</v>
      </c>
      <c r="J110" s="13">
        <f t="shared" si="72"/>
        <v>4.4499999999999997E-4</v>
      </c>
      <c r="K110" s="13">
        <f t="shared" si="72"/>
        <v>4.4499999999999997E-4</v>
      </c>
      <c r="L110" s="13">
        <f t="shared" si="72"/>
        <v>4.4499999999999997E-4</v>
      </c>
      <c r="M110" s="13">
        <f t="shared" si="72"/>
        <v>4.4499999999999997E-4</v>
      </c>
      <c r="N110" s="13">
        <f t="shared" si="72"/>
        <v>4.4499999999999997E-4</v>
      </c>
      <c r="O110" s="13">
        <f t="shared" si="72"/>
        <v>4.4499999999999997E-4</v>
      </c>
      <c r="P110" s="13">
        <f t="shared" si="72"/>
        <v>4.4499999999999997E-4</v>
      </c>
      <c r="Q110" s="13">
        <f t="shared" si="72"/>
        <v>4.4499999999999997E-4</v>
      </c>
      <c r="R110" s="13">
        <f t="shared" si="72"/>
        <v>4.4499999999999997E-4</v>
      </c>
      <c r="S110" s="13">
        <f t="shared" si="72"/>
        <v>4.4499999999999997E-4</v>
      </c>
      <c r="T110" s="13">
        <f t="shared" si="72"/>
        <v>4.4499999999999997E-4</v>
      </c>
      <c r="U110" s="13">
        <f t="shared" si="72"/>
        <v>4.4499999999999997E-4</v>
      </c>
      <c r="V110" s="13">
        <f t="shared" si="72"/>
        <v>4.4499999999999997E-4</v>
      </c>
    </row>
    <row r="111" spans="2:23" hidden="1" outlineLevel="1">
      <c r="B111" s="308" t="s">
        <v>71</v>
      </c>
      <c r="C111" s="13">
        <f t="shared" ref="C111:V111" si="73">49.7/100000</f>
        <v>4.9700000000000005E-4</v>
      </c>
      <c r="D111" s="13">
        <f t="shared" si="73"/>
        <v>4.9700000000000005E-4</v>
      </c>
      <c r="E111" s="13">
        <f t="shared" si="73"/>
        <v>4.9700000000000005E-4</v>
      </c>
      <c r="F111" s="13">
        <f t="shared" si="73"/>
        <v>4.9700000000000005E-4</v>
      </c>
      <c r="G111" s="13">
        <f t="shared" si="73"/>
        <v>4.9700000000000005E-4</v>
      </c>
      <c r="H111" s="13">
        <f t="shared" si="73"/>
        <v>4.9700000000000005E-4</v>
      </c>
      <c r="I111" s="13">
        <f t="shared" si="73"/>
        <v>4.9700000000000005E-4</v>
      </c>
      <c r="J111" s="13">
        <f t="shared" si="73"/>
        <v>4.9700000000000005E-4</v>
      </c>
      <c r="K111" s="13">
        <f t="shared" si="73"/>
        <v>4.9700000000000005E-4</v>
      </c>
      <c r="L111" s="13">
        <f t="shared" si="73"/>
        <v>4.9700000000000005E-4</v>
      </c>
      <c r="M111" s="13">
        <f t="shared" si="73"/>
        <v>4.9700000000000005E-4</v>
      </c>
      <c r="N111" s="13">
        <f t="shared" si="73"/>
        <v>4.9700000000000005E-4</v>
      </c>
      <c r="O111" s="13">
        <f t="shared" si="73"/>
        <v>4.9700000000000005E-4</v>
      </c>
      <c r="P111" s="13">
        <f t="shared" si="73"/>
        <v>4.9700000000000005E-4</v>
      </c>
      <c r="Q111" s="13">
        <f t="shared" si="73"/>
        <v>4.9700000000000005E-4</v>
      </c>
      <c r="R111" s="13">
        <f t="shared" si="73"/>
        <v>4.9700000000000005E-4</v>
      </c>
      <c r="S111" s="13">
        <f t="shared" si="73"/>
        <v>4.9700000000000005E-4</v>
      </c>
      <c r="T111" s="13">
        <f t="shared" si="73"/>
        <v>4.9700000000000005E-4</v>
      </c>
      <c r="U111" s="13">
        <f t="shared" si="73"/>
        <v>4.9700000000000005E-4</v>
      </c>
      <c r="V111" s="13">
        <f t="shared" si="73"/>
        <v>4.9700000000000005E-4</v>
      </c>
    </row>
    <row r="112" spans="2:23" hidden="1" outlineLevel="1"/>
    <row r="113" spans="2:22" hidden="1" outlineLevel="1">
      <c r="B113" s="309" t="s">
        <v>83</v>
      </c>
    </row>
    <row r="114" spans="2:22" hidden="1" outlineLevel="1">
      <c r="B114" s="307" t="s">
        <v>82</v>
      </c>
      <c r="C114" s="5">
        <f t="shared" ref="C114:V114" si="74">C100*C86*1000</f>
        <v>15.126477850868694</v>
      </c>
      <c r="D114" s="5">
        <f t="shared" si="74"/>
        <v>14.939520910447241</v>
      </c>
      <c r="E114" s="5">
        <f t="shared" si="74"/>
        <v>14.75276682352688</v>
      </c>
      <c r="F114" s="5">
        <f t="shared" si="74"/>
        <v>14.565850020410933</v>
      </c>
      <c r="G114" s="5">
        <f t="shared" si="74"/>
        <v>14.379310397617736</v>
      </c>
      <c r="H114" s="5">
        <f t="shared" si="74"/>
        <v>14.262540048675126</v>
      </c>
      <c r="I114" s="5">
        <f t="shared" si="74"/>
        <v>14.144520064683586</v>
      </c>
      <c r="J114" s="5">
        <f t="shared" si="74"/>
        <v>14.026496292741609</v>
      </c>
      <c r="K114" s="5">
        <f t="shared" si="74"/>
        <v>13.908468708633826</v>
      </c>
      <c r="L114" s="5">
        <f t="shared" si="74"/>
        <v>13.790609769737197</v>
      </c>
      <c r="M114" s="5">
        <f t="shared" si="74"/>
        <v>13.674170857973321</v>
      </c>
      <c r="N114" s="5">
        <f t="shared" si="74"/>
        <v>13.559132974631538</v>
      </c>
      <c r="O114" s="5">
        <f t="shared" si="74"/>
        <v>13.4450628804699</v>
      </c>
      <c r="P114" s="5">
        <f t="shared" si="74"/>
        <v>13.331952433684412</v>
      </c>
      <c r="Q114" s="5">
        <f t="shared" si="74"/>
        <v>13.219793560966357</v>
      </c>
      <c r="R114" s="5">
        <f t="shared" si="74"/>
        <v>13.10857825692603</v>
      </c>
      <c r="S114" s="5">
        <f t="shared" si="74"/>
        <v>12.998298583521365</v>
      </c>
      <c r="T114" s="5">
        <f t="shared" si="74"/>
        <v>12.888946669491355</v>
      </c>
      <c r="U114" s="5">
        <f t="shared" si="74"/>
        <v>12.780514709794229</v>
      </c>
      <c r="V114" s="5">
        <f t="shared" si="74"/>
        <v>12.672994965050368</v>
      </c>
    </row>
    <row r="115" spans="2:22" hidden="1" outlineLevel="1">
      <c r="B115" s="307" t="s">
        <v>81</v>
      </c>
      <c r="C115" s="5">
        <f t="shared" ref="C115:V115" si="75">C101*C87*1000</f>
        <v>14.709175857908312</v>
      </c>
      <c r="D115" s="5">
        <f t="shared" si="75"/>
        <v>14.574495612391665</v>
      </c>
      <c r="E115" s="5">
        <f t="shared" si="75"/>
        <v>14.440007476900615</v>
      </c>
      <c r="F115" s="5">
        <f t="shared" si="75"/>
        <v>14.305354190875546</v>
      </c>
      <c r="G115" s="5">
        <f t="shared" si="75"/>
        <v>14.171065964054563</v>
      </c>
      <c r="H115" s="5">
        <f t="shared" si="75"/>
        <v>13.963086872086896</v>
      </c>
      <c r="I115" s="5">
        <f t="shared" si="75"/>
        <v>13.753872266220917</v>
      </c>
      <c r="J115" s="5">
        <f t="shared" si="75"/>
        <v>13.544649925549264</v>
      </c>
      <c r="K115" s="5">
        <f t="shared" si="75"/>
        <v>13.335419800625376</v>
      </c>
      <c r="L115" s="5">
        <f t="shared" si="75"/>
        <v>13.126346015305412</v>
      </c>
      <c r="M115" s="5">
        <f t="shared" si="75"/>
        <v>12.920682505188662</v>
      </c>
      <c r="N115" s="5">
        <f t="shared" si="75"/>
        <v>12.71837169292788</v>
      </c>
      <c r="O115" s="5">
        <f t="shared" si="75"/>
        <v>12.519228644037273</v>
      </c>
      <c r="P115" s="5">
        <f t="shared" si="75"/>
        <v>12.323203757980634</v>
      </c>
      <c r="Q115" s="5">
        <f t="shared" si="75"/>
        <v>12.130248210862208</v>
      </c>
      <c r="R115" s="5">
        <f t="shared" si="75"/>
        <v>11.940313943266133</v>
      </c>
      <c r="S115" s="5">
        <f t="shared" si="75"/>
        <v>11.753353648286295</v>
      </c>
      <c r="T115" s="5">
        <f t="shared" si="75"/>
        <v>11.569320759743592</v>
      </c>
      <c r="U115" s="5">
        <f t="shared" si="75"/>
        <v>11.38816944058771</v>
      </c>
      <c r="V115" s="5">
        <f t="shared" si="75"/>
        <v>11.209854571480488</v>
      </c>
    </row>
    <row r="116" spans="2:22" hidden="1" outlineLevel="1">
      <c r="B116" s="307" t="s">
        <v>80</v>
      </c>
      <c r="C116" s="5">
        <f t="shared" ref="C116:V116" si="76">C102*C88*1000</f>
        <v>24.767493492764032</v>
      </c>
      <c r="D116" s="5">
        <f t="shared" si="76"/>
        <v>24.63935110365604</v>
      </c>
      <c r="E116" s="5">
        <f t="shared" si="76"/>
        <v>24.511521417100187</v>
      </c>
      <c r="F116" s="5">
        <f t="shared" si="76"/>
        <v>24.383399155579571</v>
      </c>
      <c r="G116" s="5">
        <f t="shared" si="76"/>
        <v>24.255887993937076</v>
      </c>
      <c r="H116" s="5">
        <f t="shared" si="76"/>
        <v>24.431595973696549</v>
      </c>
      <c r="I116" s="5">
        <f t="shared" si="76"/>
        <v>24.605211945473588</v>
      </c>
      <c r="J116" s="5">
        <f t="shared" si="76"/>
        <v>24.778837581049569</v>
      </c>
      <c r="K116" s="5">
        <f t="shared" si="76"/>
        <v>24.952472942202604</v>
      </c>
      <c r="L116" s="5">
        <f t="shared" si="76"/>
        <v>25.126432352343055</v>
      </c>
      <c r="M116" s="5">
        <f t="shared" si="76"/>
        <v>25.302074291249621</v>
      </c>
      <c r="N116" s="5">
        <f t="shared" si="76"/>
        <v>25.479417083333498</v>
      </c>
      <c r="O116" s="5">
        <f t="shared" si="76"/>
        <v>25.658002874925721</v>
      </c>
      <c r="P116" s="5">
        <f t="shared" si="76"/>
        <v>25.837840378237026</v>
      </c>
      <c r="Q116" s="5">
        <f t="shared" si="76"/>
        <v>26.018938366542226</v>
      </c>
      <c r="R116" s="5">
        <f t="shared" si="76"/>
        <v>26.201305674608218</v>
      </c>
      <c r="S116" s="5">
        <f t="shared" si="76"/>
        <v>26.384951199124959</v>
      </c>
      <c r="T116" s="5">
        <f t="shared" si="76"/>
        <v>26.569883899139516</v>
      </c>
      <c r="U116" s="5">
        <f t="shared" si="76"/>
        <v>26.756112796493095</v>
      </c>
      <c r="V116" s="5">
        <f t="shared" si="76"/>
        <v>26.943646976261206</v>
      </c>
    </row>
    <row r="117" spans="2:22" hidden="1" outlineLevel="1">
      <c r="B117" s="307" t="s">
        <v>79</v>
      </c>
      <c r="C117" s="5">
        <f t="shared" ref="C117:V117" si="77">C103*C89*1000</f>
        <v>107.90241367779657</v>
      </c>
      <c r="D117" s="5">
        <f t="shared" si="77"/>
        <v>104.89220656037787</v>
      </c>
      <c r="E117" s="5">
        <f t="shared" si="77"/>
        <v>101.88362961568312</v>
      </c>
      <c r="F117" s="5">
        <f t="shared" si="77"/>
        <v>98.874138302341436</v>
      </c>
      <c r="G117" s="5">
        <f t="shared" si="77"/>
        <v>95.86739859293688</v>
      </c>
      <c r="H117" s="5">
        <f t="shared" si="77"/>
        <v>92.44346850471085</v>
      </c>
      <c r="I117" s="5">
        <f t="shared" si="77"/>
        <v>89.011093822458676</v>
      </c>
      <c r="J117" s="5">
        <f t="shared" si="77"/>
        <v>85.578579932927013</v>
      </c>
      <c r="K117" s="5">
        <f t="shared" si="77"/>
        <v>82.145925946200606</v>
      </c>
      <c r="L117" s="5">
        <f t="shared" si="77"/>
        <v>78.714115457289026</v>
      </c>
      <c r="M117" s="5">
        <f t="shared" si="77"/>
        <v>75.455422192582262</v>
      </c>
      <c r="N117" s="5">
        <f t="shared" si="77"/>
        <v>72.360204255018289</v>
      </c>
      <c r="O117" s="5">
        <f t="shared" si="77"/>
        <v>69.391953655289456</v>
      </c>
      <c r="P117" s="5">
        <f t="shared" si="77"/>
        <v>66.54546213174757</v>
      </c>
      <c r="Q117" s="5">
        <f t="shared" si="77"/>
        <v>63.815735068157991</v>
      </c>
      <c r="R117" s="5">
        <f t="shared" si="77"/>
        <v>61.197982729861351</v>
      </c>
      <c r="S117" s="5">
        <f t="shared" si="77"/>
        <v>58.687611859432131</v>
      </c>
      <c r="T117" s="5">
        <f t="shared" si="77"/>
        <v>56.280217617087494</v>
      </c>
      <c r="U117" s="5">
        <f t="shared" si="77"/>
        <v>53.971575851704351</v>
      </c>
      <c r="V117" s="5">
        <f t="shared" si="77"/>
        <v>51.757635688883134</v>
      </c>
    </row>
    <row r="118" spans="2:22" hidden="1" outlineLevel="1">
      <c r="B118" s="307" t="s">
        <v>78</v>
      </c>
      <c r="C118" s="5">
        <f t="shared" ref="C118:V118" si="78">C104*C90*1000</f>
        <v>105.62725255197448</v>
      </c>
      <c r="D118" s="5">
        <f t="shared" si="78"/>
        <v>108.52566936160439</v>
      </c>
      <c r="E118" s="5">
        <f t="shared" si="78"/>
        <v>111.42504345051425</v>
      </c>
      <c r="F118" s="5">
        <f t="shared" si="78"/>
        <v>114.32266361268906</v>
      </c>
      <c r="G118" s="5">
        <f t="shared" si="78"/>
        <v>117.22276453253174</v>
      </c>
      <c r="H118" s="5">
        <f t="shared" si="78"/>
        <v>116.4941927403145</v>
      </c>
      <c r="I118" s="5">
        <f t="shared" si="78"/>
        <v>115.75544325538317</v>
      </c>
      <c r="J118" s="5">
        <f t="shared" si="78"/>
        <v>115.01667251180784</v>
      </c>
      <c r="K118" s="5">
        <f t="shared" si="78"/>
        <v>114.27788037368762</v>
      </c>
      <c r="L118" s="5">
        <f t="shared" si="78"/>
        <v>113.54048677658729</v>
      </c>
      <c r="M118" s="5">
        <f t="shared" si="78"/>
        <v>112.80788763141953</v>
      </c>
      <c r="N118" s="5">
        <f t="shared" si="78"/>
        <v>112.08005153194705</v>
      </c>
      <c r="O118" s="5">
        <f t="shared" si="78"/>
        <v>111.35691142846224</v>
      </c>
      <c r="P118" s="5">
        <f t="shared" si="78"/>
        <v>110.6384370224153</v>
      </c>
      <c r="Q118" s="5">
        <f t="shared" si="78"/>
        <v>109.92459821074254</v>
      </c>
      <c r="R118" s="5">
        <f t="shared" si="78"/>
        <v>109.21536508460515</v>
      </c>
      <c r="S118" s="5">
        <f t="shared" si="78"/>
        <v>108.51070792813604</v>
      </c>
      <c r="T118" s="5">
        <f t="shared" si="78"/>
        <v>107.8105972171948</v>
      </c>
      <c r="U118" s="5">
        <f t="shared" si="78"/>
        <v>107.11500361813066</v>
      </c>
      <c r="V118" s="5">
        <f t="shared" si="78"/>
        <v>106.42389798655347</v>
      </c>
    </row>
    <row r="119" spans="2:22" hidden="1" outlineLevel="1">
      <c r="B119" s="307" t="s">
        <v>77</v>
      </c>
      <c r="C119" s="5">
        <f t="shared" ref="C119:V119" si="79">C105*C91*1000</f>
        <v>181.82396888558347</v>
      </c>
      <c r="D119" s="5">
        <f t="shared" si="79"/>
        <v>184.96467359346246</v>
      </c>
      <c r="E119" s="5">
        <f t="shared" si="79"/>
        <v>188.1072280714582</v>
      </c>
      <c r="F119" s="5">
        <f t="shared" si="79"/>
        <v>191.24703499721269</v>
      </c>
      <c r="G119" s="5">
        <f t="shared" si="79"/>
        <v>194.39117954148094</v>
      </c>
      <c r="H119" s="5">
        <f t="shared" si="79"/>
        <v>199.99593681621653</v>
      </c>
      <c r="I119" s="5">
        <f t="shared" si="79"/>
        <v>205.58410797657029</v>
      </c>
      <c r="J119" s="5">
        <f t="shared" si="79"/>
        <v>211.17253735536582</v>
      </c>
      <c r="K119" s="5">
        <f t="shared" si="79"/>
        <v>216.76122660332521</v>
      </c>
      <c r="L119" s="5">
        <f t="shared" si="79"/>
        <v>222.35295839633247</v>
      </c>
      <c r="M119" s="5">
        <f t="shared" si="79"/>
        <v>228.08921800393372</v>
      </c>
      <c r="N119" s="5">
        <f t="shared" si="79"/>
        <v>233.97374818225802</v>
      </c>
      <c r="O119" s="5">
        <f t="shared" si="79"/>
        <v>240.01009481084085</v>
      </c>
      <c r="P119" s="5">
        <f t="shared" si="79"/>
        <v>246.20217463985099</v>
      </c>
      <c r="Q119" s="5">
        <f t="shared" si="79"/>
        <v>252.55400546866414</v>
      </c>
      <c r="R119" s="5">
        <f t="shared" si="79"/>
        <v>259.06970875285617</v>
      </c>
      <c r="S119" s="5">
        <f t="shared" si="79"/>
        <v>265.75351227845539</v>
      </c>
      <c r="T119" s="5">
        <f t="shared" si="79"/>
        <v>272.60975290518803</v>
      </c>
      <c r="U119" s="5">
        <f t="shared" si="79"/>
        <v>279.6428793804975</v>
      </c>
      <c r="V119" s="5">
        <f t="shared" si="79"/>
        <v>286.85745522616349</v>
      </c>
    </row>
    <row r="120" spans="2:22" hidden="1" outlineLevel="1">
      <c r="B120" s="307" t="s">
        <v>76</v>
      </c>
      <c r="C120" s="5">
        <f t="shared" ref="C120:V120" si="80">C106*C92*1000</f>
        <v>286.92478588327572</v>
      </c>
      <c r="D120" s="5">
        <f t="shared" si="80"/>
        <v>298.63369336569497</v>
      </c>
      <c r="E120" s="5">
        <f t="shared" si="80"/>
        <v>310.34478218479308</v>
      </c>
      <c r="F120" s="5">
        <f t="shared" si="80"/>
        <v>322.05054307285258</v>
      </c>
      <c r="G120" s="5">
        <f t="shared" si="80"/>
        <v>333.76290300483555</v>
      </c>
      <c r="H120" s="5">
        <f t="shared" si="80"/>
        <v>339.90648556601008</v>
      </c>
      <c r="I120" s="5">
        <f t="shared" si="80"/>
        <v>346.02144140964128</v>
      </c>
      <c r="J120" s="5">
        <f t="shared" si="80"/>
        <v>352.13669072001233</v>
      </c>
      <c r="K120" s="5">
        <f t="shared" si="80"/>
        <v>358.25223537317834</v>
      </c>
      <c r="L120" s="5">
        <f t="shared" si="80"/>
        <v>364.37263453958667</v>
      </c>
      <c r="M120" s="5">
        <f t="shared" si="80"/>
        <v>370.60032500037528</v>
      </c>
      <c r="N120" s="5">
        <f t="shared" si="80"/>
        <v>376.93723316514689</v>
      </c>
      <c r="O120" s="5">
        <f t="shared" si="80"/>
        <v>383.38249634846494</v>
      </c>
      <c r="P120" s="5">
        <f t="shared" si="80"/>
        <v>389.93796731665327</v>
      </c>
      <c r="Q120" s="5">
        <f t="shared" si="80"/>
        <v>396.6055305165529</v>
      </c>
      <c r="R120" s="5">
        <f t="shared" si="80"/>
        <v>403.38710261722866</v>
      </c>
      <c r="S120" s="5">
        <f t="shared" si="80"/>
        <v>410.28463306093812</v>
      </c>
      <c r="T120" s="5">
        <f t="shared" si="80"/>
        <v>417.30010462352112</v>
      </c>
      <c r="U120" s="5">
        <f t="shared" si="80"/>
        <v>424.4355339843728</v>
      </c>
      <c r="V120" s="5">
        <f t="shared" si="80"/>
        <v>431.69297230616064</v>
      </c>
    </row>
    <row r="121" spans="2:22" hidden="1" outlineLevel="1">
      <c r="B121" s="307" t="s">
        <v>75</v>
      </c>
      <c r="C121" s="5">
        <f t="shared" ref="C121:V121" si="81">C107*C93*1000</f>
        <v>560.77831230270044</v>
      </c>
      <c r="D121" s="5">
        <f t="shared" si="81"/>
        <v>541.7723055857042</v>
      </c>
      <c r="E121" s="5">
        <f t="shared" si="81"/>
        <v>522.77513824890354</v>
      </c>
      <c r="F121" s="5">
        <f t="shared" si="81"/>
        <v>503.77371279755232</v>
      </c>
      <c r="G121" s="5">
        <f t="shared" si="81"/>
        <v>484.78671007595449</v>
      </c>
      <c r="H121" s="5">
        <f t="shared" si="81"/>
        <v>505.96432543602896</v>
      </c>
      <c r="I121" s="5">
        <f t="shared" si="81"/>
        <v>527.10088533177816</v>
      </c>
      <c r="J121" s="5">
        <f t="shared" si="81"/>
        <v>548.23839933828572</v>
      </c>
      <c r="K121" s="5">
        <f t="shared" si="81"/>
        <v>569.37687355492926</v>
      </c>
      <c r="L121" s="5">
        <f t="shared" si="81"/>
        <v>590.523699926267</v>
      </c>
      <c r="M121" s="5">
        <f t="shared" si="81"/>
        <v>612.45629555836365</v>
      </c>
      <c r="N121" s="5">
        <f t="shared" si="81"/>
        <v>635.20387160548921</v>
      </c>
      <c r="O121" s="5">
        <f t="shared" si="81"/>
        <v>658.79632788288166</v>
      </c>
      <c r="P121" s="5">
        <f t="shared" si="81"/>
        <v>683.26504455175098</v>
      </c>
      <c r="Q121" s="5">
        <f t="shared" si="81"/>
        <v>708.6425672811298</v>
      </c>
      <c r="R121" s="5">
        <f t="shared" si="81"/>
        <v>734.96265053664058</v>
      </c>
      <c r="S121" s="5">
        <f t="shared" si="81"/>
        <v>762.26030247707354</v>
      </c>
      <c r="T121" s="5">
        <f t="shared" si="81"/>
        <v>790.57183151849529</v>
      </c>
      <c r="U121" s="5">
        <f t="shared" si="81"/>
        <v>819.93489462781815</v>
      </c>
      <c r="V121" s="5">
        <f t="shared" si="81"/>
        <v>850.38854741006924</v>
      </c>
    </row>
    <row r="122" spans="2:22" hidden="1" outlineLevel="1">
      <c r="B122" s="307" t="s">
        <v>74</v>
      </c>
      <c r="C122" s="5">
        <f t="shared" ref="C122:V122" si="82">C108*C94*1000</f>
        <v>941.11064527642031</v>
      </c>
      <c r="D122" s="5">
        <f t="shared" si="82"/>
        <v>931.12801223121573</v>
      </c>
      <c r="E122" s="5">
        <f t="shared" si="82"/>
        <v>921.15781979550809</v>
      </c>
      <c r="F122" s="5">
        <f t="shared" si="82"/>
        <v>911.17726148558313</v>
      </c>
      <c r="G122" s="5">
        <f t="shared" si="82"/>
        <v>901.22010982361485</v>
      </c>
      <c r="H122" s="5">
        <f t="shared" si="82"/>
        <v>873.10814704171912</v>
      </c>
      <c r="I122" s="5">
        <f t="shared" si="82"/>
        <v>844.91697364827223</v>
      </c>
      <c r="J122" s="5">
        <f t="shared" si="82"/>
        <v>816.72466715807309</v>
      </c>
      <c r="K122" s="5">
        <f t="shared" si="82"/>
        <v>788.53122032753367</v>
      </c>
      <c r="L122" s="5">
        <f t="shared" si="82"/>
        <v>760.34613564602046</v>
      </c>
      <c r="M122" s="5">
        <f t="shared" si="82"/>
        <v>733.17181881315935</v>
      </c>
      <c r="N122" s="5">
        <f t="shared" si="82"/>
        <v>706.97190415883153</v>
      </c>
      <c r="O122" s="5">
        <f t="shared" si="82"/>
        <v>681.70824415897914</v>
      </c>
      <c r="P122" s="5">
        <f t="shared" si="82"/>
        <v>657.34738172835625</v>
      </c>
      <c r="Q122" s="5">
        <f t="shared" si="82"/>
        <v>633.85705537155764</v>
      </c>
      <c r="R122" s="5">
        <f t="shared" si="82"/>
        <v>611.20615645858345</v>
      </c>
      <c r="S122" s="5">
        <f t="shared" si="82"/>
        <v>589.36468802716308</v>
      </c>
      <c r="T122" s="5">
        <f t="shared" si="82"/>
        <v>568.30372505727939</v>
      </c>
      <c r="U122" s="5">
        <f t="shared" si="82"/>
        <v>547.99537616528301</v>
      </c>
      <c r="V122" s="5">
        <f t="shared" si="82"/>
        <v>528.41274666686866</v>
      </c>
    </row>
    <row r="123" spans="2:22" hidden="1" outlineLevel="1">
      <c r="B123" s="307" t="s">
        <v>73</v>
      </c>
      <c r="C123" s="5">
        <f t="shared" ref="C123:V123" si="83">C109*C95*1000</f>
        <v>1059.8410618784203</v>
      </c>
      <c r="D123" s="5">
        <f t="shared" si="83"/>
        <v>1126.078509331368</v>
      </c>
      <c r="E123" s="5">
        <f t="shared" si="83"/>
        <v>1192.3215030908941</v>
      </c>
      <c r="F123" s="5">
        <f t="shared" si="83"/>
        <v>1258.5414390301119</v>
      </c>
      <c r="G123" s="5">
        <f t="shared" si="83"/>
        <v>1324.7849134936487</v>
      </c>
      <c r="H123" s="5">
        <f t="shared" si="83"/>
        <v>1312.819052274371</v>
      </c>
      <c r="I123" s="5">
        <f t="shared" si="83"/>
        <v>1300.7380088321408</v>
      </c>
      <c r="J123" s="5">
        <f t="shared" si="83"/>
        <v>1288.6565643806255</v>
      </c>
      <c r="K123" s="5">
        <f t="shared" si="83"/>
        <v>1276.5747163562787</v>
      </c>
      <c r="L123" s="5">
        <f t="shared" si="83"/>
        <v>1264.5082776210104</v>
      </c>
      <c r="M123" s="5">
        <f t="shared" si="83"/>
        <v>1252.5670654226944</v>
      </c>
      <c r="N123" s="5">
        <f t="shared" si="83"/>
        <v>1240.7496918525655</v>
      </c>
      <c r="O123" s="5">
        <f t="shared" si="83"/>
        <v>1229.0438095725649</v>
      </c>
      <c r="P123" s="5">
        <f t="shared" si="83"/>
        <v>1217.4483667154816</v>
      </c>
      <c r="Q123" s="5">
        <f t="shared" si="83"/>
        <v>1205.9623213379714</v>
      </c>
      <c r="R123" s="5">
        <f t="shared" si="83"/>
        <v>1194.5846413269285</v>
      </c>
      <c r="S123" s="5">
        <f t="shared" si="83"/>
        <v>1183.314304306743</v>
      </c>
      <c r="T123" s="5">
        <f t="shared" si="83"/>
        <v>1172.1502975474314</v>
      </c>
      <c r="U123" s="5">
        <f t="shared" si="83"/>
        <v>1161.0916178736359</v>
      </c>
      <c r="V123" s="5">
        <f t="shared" si="83"/>
        <v>1150.1372715744797</v>
      </c>
    </row>
    <row r="124" spans="2:22" hidden="1" outlineLevel="1">
      <c r="B124" s="307" t="s">
        <v>72</v>
      </c>
      <c r="C124" s="5">
        <f t="shared" ref="C124:V124" si="84">C110*C96*1000</f>
        <v>1036.824445525808</v>
      </c>
      <c r="D124" s="5">
        <f t="shared" si="84"/>
        <v>1046.6145777994263</v>
      </c>
      <c r="E124" s="5">
        <f t="shared" si="84"/>
        <v>1056.4161450593863</v>
      </c>
      <c r="F124" s="5">
        <f t="shared" si="84"/>
        <v>1066.2032377850555</v>
      </c>
      <c r="G124" s="5">
        <f t="shared" si="84"/>
        <v>1076.0153607731647</v>
      </c>
      <c r="H124" s="5">
        <f t="shared" si="84"/>
        <v>1153.3456053006507</v>
      </c>
      <c r="I124" s="5">
        <f t="shared" si="84"/>
        <v>1230.5860225713736</v>
      </c>
      <c r="J124" s="5">
        <f t="shared" si="84"/>
        <v>1307.8298638259823</v>
      </c>
      <c r="K124" s="5">
        <f t="shared" si="84"/>
        <v>1385.0771509531012</v>
      </c>
      <c r="L124" s="5">
        <f t="shared" si="84"/>
        <v>1462.3461958724317</v>
      </c>
      <c r="M124" s="5">
        <f t="shared" si="84"/>
        <v>1544.1894053325032</v>
      </c>
      <c r="N124" s="5">
        <f t="shared" si="84"/>
        <v>1630.8708447040065</v>
      </c>
      <c r="O124" s="5">
        <f t="shared" si="84"/>
        <v>1722.4180550136923</v>
      </c>
      <c r="P124" s="5">
        <f t="shared" si="84"/>
        <v>1819.1041711678847</v>
      </c>
      <c r="Q124" s="5">
        <f t="shared" si="84"/>
        <v>1921.217660212051</v>
      </c>
      <c r="R124" s="5">
        <f t="shared" si="84"/>
        <v>2029.063181984216</v>
      </c>
      <c r="S124" s="5">
        <f t="shared" si="84"/>
        <v>2142.9624980802505</v>
      </c>
      <c r="T124" s="5">
        <f t="shared" si="84"/>
        <v>2263.2554318429657</v>
      </c>
      <c r="U124" s="5">
        <f t="shared" si="84"/>
        <v>2390.3008822391744</v>
      </c>
      <c r="V124" s="5">
        <f t="shared" si="84"/>
        <v>2524.4778946496776</v>
      </c>
    </row>
    <row r="125" spans="2:22" hidden="1" outlineLevel="1">
      <c r="B125" s="308" t="s">
        <v>71</v>
      </c>
      <c r="C125" s="5">
        <f t="shared" ref="C125:V125" si="85">C111*C97*1000</f>
        <v>934.37369564322819</v>
      </c>
      <c r="D125" s="5">
        <f t="shared" si="85"/>
        <v>970.99695861884345</v>
      </c>
      <c r="E125" s="5">
        <f t="shared" si="85"/>
        <v>1007.6274897563288</v>
      </c>
      <c r="F125" s="5">
        <f t="shared" si="85"/>
        <v>1044.2408918427816</v>
      </c>
      <c r="G125" s="5">
        <f t="shared" si="85"/>
        <v>1080.8758386562686</v>
      </c>
      <c r="H125" s="5">
        <f t="shared" si="85"/>
        <v>1107.491210554675</v>
      </c>
      <c r="I125" s="5">
        <f t="shared" si="85"/>
        <v>1134.0141637610263</v>
      </c>
      <c r="J125" s="5">
        <f t="shared" si="85"/>
        <v>1160.5383567991855</v>
      </c>
      <c r="K125" s="5">
        <f t="shared" si="85"/>
        <v>1187.0637975950685</v>
      </c>
      <c r="L125" s="5">
        <f t="shared" si="85"/>
        <v>1213.6056729410163</v>
      </c>
      <c r="M125" s="5">
        <f t="shared" si="85"/>
        <v>1240.7410051410161</v>
      </c>
      <c r="N125" s="5">
        <f t="shared" si="85"/>
        <v>1268.4830634547957</v>
      </c>
      <c r="O125" s="5">
        <f t="shared" si="85"/>
        <v>1296.8454138329917</v>
      </c>
      <c r="P125" s="5">
        <f t="shared" si="85"/>
        <v>1325.8419255509418</v>
      </c>
      <c r="Q125" s="5">
        <f t="shared" si="85"/>
        <v>1355.4867779908006</v>
      </c>
      <c r="R125" s="5">
        <f t="shared" si="85"/>
        <v>1385.7944675753035</v>
      </c>
      <c r="S125" s="5">
        <f t="shared" si="85"/>
        <v>1416.7798148565578</v>
      </c>
      <c r="T125" s="5">
        <f t="shared" si="85"/>
        <v>1448.4579717633403</v>
      </c>
      <c r="U125" s="5">
        <f t="shared" si="85"/>
        <v>1480.8444290104355</v>
      </c>
      <c r="V125" s="5">
        <f t="shared" si="85"/>
        <v>1513.9550236736413</v>
      </c>
    </row>
    <row r="126" spans="2:22" hidden="1" outlineLevel="1"/>
    <row r="127" spans="2:22" hidden="1" outlineLevel="1">
      <c r="B127" s="307" t="s">
        <v>317</v>
      </c>
      <c r="C127" s="5">
        <f t="shared" ref="C127:V127" si="86">SUM(C114:C119)</f>
        <v>449.95678231689556</v>
      </c>
      <c r="D127" s="5">
        <f t="shared" si="86"/>
        <v>452.53591714193965</v>
      </c>
      <c r="E127" s="5">
        <f t="shared" si="86"/>
        <v>455.12019685518328</v>
      </c>
      <c r="F127" s="5">
        <f t="shared" si="86"/>
        <v>457.69844027910926</v>
      </c>
      <c r="G127" s="5">
        <f t="shared" si="86"/>
        <v>460.28760702255892</v>
      </c>
      <c r="H127" s="5">
        <f t="shared" si="86"/>
        <v>461.59082095570045</v>
      </c>
      <c r="I127" s="5">
        <f t="shared" si="86"/>
        <v>462.85424933079025</v>
      </c>
      <c r="J127" s="5">
        <f t="shared" si="86"/>
        <v>464.11777359944108</v>
      </c>
      <c r="K127" s="5">
        <f t="shared" si="86"/>
        <v>465.38139437467521</v>
      </c>
      <c r="L127" s="5">
        <f t="shared" si="86"/>
        <v>466.6509487675944</v>
      </c>
      <c r="M127" s="5">
        <f t="shared" si="86"/>
        <v>468.24945548234712</v>
      </c>
      <c r="N127" s="5">
        <f t="shared" si="86"/>
        <v>470.17092572011626</v>
      </c>
      <c r="O127" s="5">
        <f t="shared" si="86"/>
        <v>472.38125429402544</v>
      </c>
      <c r="P127" s="5">
        <f t="shared" si="86"/>
        <v>474.87907036391596</v>
      </c>
      <c r="Q127" s="5">
        <f t="shared" si="86"/>
        <v>477.6633188859355</v>
      </c>
      <c r="R127" s="5">
        <f t="shared" si="86"/>
        <v>480.73325444212304</v>
      </c>
      <c r="S127" s="5">
        <f t="shared" si="86"/>
        <v>484.08843549695621</v>
      </c>
      <c r="T127" s="5">
        <f t="shared" si="86"/>
        <v>487.72871906784479</v>
      </c>
      <c r="U127" s="5">
        <f t="shared" si="86"/>
        <v>491.65425579720755</v>
      </c>
      <c r="V127" s="5">
        <f t="shared" si="86"/>
        <v>495.8654854143922</v>
      </c>
    </row>
    <row r="128" spans="2:22" hidden="1" outlineLevel="1">
      <c r="B128" s="307" t="s">
        <v>313</v>
      </c>
      <c r="C128" s="5">
        <f t="shared" ref="C128:V128" si="87">SUM(C120:C122)</f>
        <v>1788.8137434623964</v>
      </c>
      <c r="D128" s="5">
        <f t="shared" si="87"/>
        <v>1771.5340111826149</v>
      </c>
      <c r="E128" s="5">
        <f t="shared" si="87"/>
        <v>1754.2777402292047</v>
      </c>
      <c r="F128" s="5">
        <f t="shared" si="87"/>
        <v>1737.001517355988</v>
      </c>
      <c r="G128" s="5">
        <f t="shared" si="87"/>
        <v>1719.7697229044049</v>
      </c>
      <c r="H128" s="5">
        <f t="shared" si="87"/>
        <v>1718.9789580437582</v>
      </c>
      <c r="I128" s="5">
        <f t="shared" si="87"/>
        <v>1718.0393003896916</v>
      </c>
      <c r="J128" s="5">
        <f t="shared" si="87"/>
        <v>1717.099757216371</v>
      </c>
      <c r="K128" s="5">
        <f t="shared" si="87"/>
        <v>1716.1603292556413</v>
      </c>
      <c r="L128" s="5">
        <f t="shared" si="87"/>
        <v>1715.2424701118741</v>
      </c>
      <c r="M128" s="5">
        <f t="shared" si="87"/>
        <v>1716.2284393718983</v>
      </c>
      <c r="N128" s="5">
        <f t="shared" si="87"/>
        <v>1719.1130089294675</v>
      </c>
      <c r="O128" s="5">
        <f t="shared" si="87"/>
        <v>1723.8870683903258</v>
      </c>
      <c r="P128" s="5">
        <f t="shared" si="87"/>
        <v>1730.5503935967604</v>
      </c>
      <c r="Q128" s="5">
        <f t="shared" si="87"/>
        <v>1739.1051531692403</v>
      </c>
      <c r="R128" s="5">
        <f t="shared" si="87"/>
        <v>1749.5559096124525</v>
      </c>
      <c r="S128" s="5">
        <f t="shared" si="87"/>
        <v>1761.9096235651748</v>
      </c>
      <c r="T128" s="5">
        <f t="shared" si="87"/>
        <v>1776.175661199296</v>
      </c>
      <c r="U128" s="5">
        <f t="shared" si="87"/>
        <v>1792.3658047774741</v>
      </c>
      <c r="V128" s="5">
        <f t="shared" si="87"/>
        <v>1810.4942663830984</v>
      </c>
    </row>
    <row r="129" spans="2:22" hidden="1" outlineLevel="1">
      <c r="B129" s="307" t="s">
        <v>315</v>
      </c>
      <c r="C129" s="5">
        <f t="shared" ref="C129:V129" si="88">SUM(C123:C125)</f>
        <v>3031.0392030474563</v>
      </c>
      <c r="D129" s="5">
        <f t="shared" si="88"/>
        <v>3143.6900457496376</v>
      </c>
      <c r="E129" s="5">
        <f t="shared" si="88"/>
        <v>3256.3651379066096</v>
      </c>
      <c r="F129" s="5">
        <f t="shared" si="88"/>
        <v>3368.9855686579494</v>
      </c>
      <c r="G129" s="5">
        <f t="shared" si="88"/>
        <v>3481.6761129230817</v>
      </c>
      <c r="H129" s="5">
        <f t="shared" si="88"/>
        <v>3573.655868129697</v>
      </c>
      <c r="I129" s="5">
        <f t="shared" si="88"/>
        <v>3665.338195164541</v>
      </c>
      <c r="J129" s="5">
        <f t="shared" si="88"/>
        <v>3757.0247850057931</v>
      </c>
      <c r="K129" s="5">
        <f t="shared" si="88"/>
        <v>3848.7156649044482</v>
      </c>
      <c r="L129" s="5">
        <f t="shared" si="88"/>
        <v>3940.4601464344587</v>
      </c>
      <c r="M129" s="5">
        <f t="shared" si="88"/>
        <v>4037.4974758962135</v>
      </c>
      <c r="N129" s="5">
        <f t="shared" si="88"/>
        <v>4140.1036000113672</v>
      </c>
      <c r="O129" s="5">
        <f t="shared" si="88"/>
        <v>4248.3072784192491</v>
      </c>
      <c r="P129" s="5">
        <f t="shared" si="88"/>
        <v>4362.3944634343079</v>
      </c>
      <c r="Q129" s="5">
        <f t="shared" si="88"/>
        <v>4482.6667595408235</v>
      </c>
      <c r="R129" s="5">
        <f t="shared" si="88"/>
        <v>4609.4422908864481</v>
      </c>
      <c r="S129" s="5">
        <f t="shared" si="88"/>
        <v>4743.056617243551</v>
      </c>
      <c r="T129" s="5">
        <f t="shared" si="88"/>
        <v>4883.8637011537376</v>
      </c>
      <c r="U129" s="5">
        <f t="shared" si="88"/>
        <v>5032.2369291232453</v>
      </c>
      <c r="V129" s="5">
        <f t="shared" si="88"/>
        <v>5188.5701898977986</v>
      </c>
    </row>
    <row r="130" spans="2:22" hidden="1" outlineLevel="1">
      <c r="B130" s="306"/>
      <c r="C130" s="5"/>
    </row>
    <row r="131" spans="2:22" hidden="1" outlineLevel="1">
      <c r="B131" s="307" t="s">
        <v>317</v>
      </c>
      <c r="C131" s="17">
        <f>C127/(SUM(C127:C129))</f>
        <v>8.5383876358107597E-2</v>
      </c>
    </row>
    <row r="132" spans="2:22" hidden="1" outlineLevel="1">
      <c r="B132" s="307" t="s">
        <v>313</v>
      </c>
      <c r="C132" s="17">
        <f>C128/(SUM(C127:C129))</f>
        <v>0.33944560344888419</v>
      </c>
    </row>
    <row r="133" spans="2:22" hidden="1" outlineLevel="1">
      <c r="B133" s="307" t="s">
        <v>315</v>
      </c>
      <c r="C133" s="17">
        <f>C129/(SUM(C127:C129))</f>
        <v>0.57517052019300818</v>
      </c>
    </row>
    <row r="134" spans="2:22" hidden="1" outlineLevel="1">
      <c r="B134" s="40"/>
    </row>
    <row r="135" spans="2:22" collapsed="1">
      <c r="B135" s="13" t="s">
        <v>94</v>
      </c>
      <c r="C135" s="29">
        <f t="shared" ref="C135:V135" si="89">C158*1000</f>
        <v>63247999.999999993</v>
      </c>
      <c r="D135" s="29">
        <f t="shared" si="89"/>
        <v>63538000</v>
      </c>
      <c r="E135" s="29">
        <f t="shared" si="89"/>
        <v>63828999.999999993</v>
      </c>
      <c r="F135" s="29">
        <f t="shared" si="89"/>
        <v>64121000.000000007</v>
      </c>
      <c r="G135" s="29">
        <f t="shared" si="89"/>
        <v>64413999.999999993</v>
      </c>
      <c r="H135" s="29">
        <f t="shared" si="89"/>
        <v>64709000.000000007</v>
      </c>
      <c r="I135" s="29">
        <f t="shared" si="89"/>
        <v>64993000</v>
      </c>
      <c r="J135" s="29">
        <f t="shared" si="89"/>
        <v>65278000.000000015</v>
      </c>
      <c r="K135" s="29">
        <f t="shared" si="89"/>
        <v>65565000</v>
      </c>
      <c r="L135" s="29">
        <f t="shared" si="89"/>
        <v>65852000.000000015</v>
      </c>
      <c r="M135" s="29">
        <f t="shared" si="89"/>
        <v>66157048.170269236</v>
      </c>
      <c r="N135" s="29">
        <f t="shared" si="89"/>
        <v>66480956.021204747</v>
      </c>
      <c r="O135" s="29">
        <f t="shared" si="89"/>
        <v>66822944.697288856</v>
      </c>
      <c r="P135" s="29">
        <f t="shared" si="89"/>
        <v>67183972.022624269</v>
      </c>
      <c r="Q135" s="29">
        <f t="shared" si="89"/>
        <v>67565055.81300436</v>
      </c>
      <c r="R135" s="29">
        <f t="shared" si="89"/>
        <v>67967277.653058589</v>
      </c>
      <c r="S135" s="29">
        <f t="shared" si="89"/>
        <v>68391786.913123772</v>
      </c>
      <c r="T135" s="29">
        <f t="shared" si="89"/>
        <v>68839805.021080762</v>
      </c>
      <c r="U135" s="29">
        <f t="shared" si="89"/>
        <v>69312630.005365402</v>
      </c>
      <c r="V135" s="29">
        <f t="shared" si="89"/>
        <v>69811641.326394096</v>
      </c>
    </row>
    <row r="136" spans="2:22" ht="15.75" hidden="1" outlineLevel="1" thickBot="1">
      <c r="B136" s="13" t="s">
        <v>87</v>
      </c>
      <c r="C136" s="48">
        <f>21.6/100000</f>
        <v>2.1600000000000002E-4</v>
      </c>
      <c r="D136" s="48">
        <f t="shared" ref="D136:V136" si="90">D137/D135</f>
        <v>2.1860957319994959E-4</v>
      </c>
      <c r="E136" s="48">
        <f t="shared" si="90"/>
        <v>2.2119302796357263E-4</v>
      </c>
      <c r="F136" s="48">
        <f t="shared" si="90"/>
        <v>2.2375075445575342E-4</v>
      </c>
      <c r="G136" s="48">
        <f t="shared" si="90"/>
        <v>2.2628313510868385E-4</v>
      </c>
      <c r="H136" s="48">
        <f t="shared" si="90"/>
        <v>2.2812248457933703E-4</v>
      </c>
      <c r="I136" s="48">
        <f t="shared" si="90"/>
        <v>2.2994576323056098E-4</v>
      </c>
      <c r="J136" s="48">
        <f t="shared" si="90"/>
        <v>2.3175318076790202E-4</v>
      </c>
      <c r="K136" s="48">
        <f t="shared" si="90"/>
        <v>2.3354494326415575E-4</v>
      </c>
      <c r="L136" s="48">
        <f t="shared" si="90"/>
        <v>2.353212532376901E-4</v>
      </c>
      <c r="M136" s="48">
        <f t="shared" si="90"/>
        <v>2.3715616047662215E-4</v>
      </c>
      <c r="N136" s="48">
        <f t="shared" si="90"/>
        <v>2.390516752595846E-4</v>
      </c>
      <c r="O136" s="48">
        <f t="shared" si="90"/>
        <v>2.4101094895183584E-4</v>
      </c>
      <c r="P136" s="48">
        <f t="shared" si="90"/>
        <v>2.4303597790311361E-4</v>
      </c>
      <c r="Q136" s="48">
        <f t="shared" si="90"/>
        <v>2.4512875698783678E-4</v>
      </c>
      <c r="R136" s="48">
        <f t="shared" si="90"/>
        <v>2.472912711022734E-4</v>
      </c>
      <c r="S136" s="48">
        <f t="shared" si="90"/>
        <v>2.4952548574314835E-4</v>
      </c>
      <c r="T136" s="48">
        <f t="shared" si="90"/>
        <v>2.5183333663182704E-4</v>
      </c>
      <c r="U136" s="48">
        <f t="shared" si="90"/>
        <v>2.5421671835470166E-4</v>
      </c>
      <c r="V136" s="48">
        <f t="shared" si="90"/>
        <v>2.5667747199849272E-4</v>
      </c>
    </row>
    <row r="137" spans="2:22" ht="15.75" hidden="1" outlineLevel="1" thickBot="1">
      <c r="B137" s="340" t="s">
        <v>93</v>
      </c>
      <c r="C137" s="341">
        <f>C135*C136</f>
        <v>13661.567999999999</v>
      </c>
      <c r="D137" s="342">
        <f t="shared" ref="D137:V137" si="91">SUM(D138:D140)</f>
        <v>13890.015061978396</v>
      </c>
      <c r="E137" s="342">
        <f t="shared" si="91"/>
        <v>14118.529781886875</v>
      </c>
      <c r="F137" s="342">
        <f t="shared" si="91"/>
        <v>14347.122126457367</v>
      </c>
      <c r="G137" s="342">
        <f t="shared" si="91"/>
        <v>14575.80186489076</v>
      </c>
      <c r="H137" s="342">
        <f t="shared" si="91"/>
        <v>14761.577854644322</v>
      </c>
      <c r="I137" s="342">
        <f t="shared" si="91"/>
        <v>14944.864989643849</v>
      </c>
      <c r="J137" s="342">
        <f t="shared" si="91"/>
        <v>15128.384134167112</v>
      </c>
      <c r="K137" s="342">
        <f t="shared" si="91"/>
        <v>15312.374205114371</v>
      </c>
      <c r="L137" s="342">
        <f t="shared" si="91"/>
        <v>15496.375168208371</v>
      </c>
      <c r="M137" s="342">
        <f t="shared" si="91"/>
        <v>15689.551532527992</v>
      </c>
      <c r="N137" s="342">
        <f t="shared" si="91"/>
        <v>15892.383909727763</v>
      </c>
      <c r="O137" s="342">
        <f t="shared" si="91"/>
        <v>16105.061313249633</v>
      </c>
      <c r="P137" s="342">
        <f t="shared" si="91"/>
        <v>16328.122339933914</v>
      </c>
      <c r="Q137" s="342">
        <f t="shared" si="91"/>
        <v>16562.138147255573</v>
      </c>
      <c r="R137" s="342">
        <f t="shared" si="91"/>
        <v>16807.714484185999</v>
      </c>
      <c r="S137" s="342">
        <f t="shared" si="91"/>
        <v>17065.493850339106</v>
      </c>
      <c r="T137" s="342">
        <f t="shared" si="91"/>
        <v>17336.15779154317</v>
      </c>
      <c r="U137" s="342">
        <f t="shared" si="91"/>
        <v>17620.42934049762</v>
      </c>
      <c r="V137" s="343">
        <f t="shared" si="91"/>
        <v>17919.075611724336</v>
      </c>
    </row>
    <row r="138" spans="2:22" hidden="1" outlineLevel="1">
      <c r="B138" s="13" t="s">
        <v>317</v>
      </c>
      <c r="C138" s="19">
        <f>C137*0.1</f>
        <v>1366.1568</v>
      </c>
      <c r="D138" s="19">
        <f t="shared" ref="D138:V138" si="92">1000*C141*SUM(D146:D151)</f>
        <v>1365.4514952714155</v>
      </c>
      <c r="E138" s="19">
        <f t="shared" si="92"/>
        <v>1364.7740257482378</v>
      </c>
      <c r="F138" s="19">
        <f t="shared" si="92"/>
        <v>1364.1239725026412</v>
      </c>
      <c r="G138" s="19">
        <f t="shared" si="92"/>
        <v>1363.500924909546</v>
      </c>
      <c r="H138" s="19">
        <f t="shared" si="92"/>
        <v>1363.8069203986793</v>
      </c>
      <c r="I138" s="19">
        <f t="shared" si="92"/>
        <v>1363.880057426629</v>
      </c>
      <c r="J138" s="19">
        <f t="shared" si="92"/>
        <v>1363.9740765155148</v>
      </c>
      <c r="K138" s="19">
        <f t="shared" si="92"/>
        <v>1364.1095150901706</v>
      </c>
      <c r="L138" s="19">
        <f t="shared" si="92"/>
        <v>1364.2444102129111</v>
      </c>
      <c r="M138" s="19">
        <f t="shared" si="92"/>
        <v>1364.4716040312039</v>
      </c>
      <c r="N138" s="19">
        <f t="shared" si="92"/>
        <v>1364.7898572437778</v>
      </c>
      <c r="O138" s="19">
        <f t="shared" si="92"/>
        <v>1365.1581643379975</v>
      </c>
      <c r="P138" s="19">
        <f t="shared" si="92"/>
        <v>1365.576393810471</v>
      </c>
      <c r="Q138" s="19">
        <f t="shared" si="92"/>
        <v>1366.0444179229648</v>
      </c>
      <c r="R138" s="19">
        <f t="shared" si="92"/>
        <v>1366.5621126815154</v>
      </c>
      <c r="S138" s="19">
        <f t="shared" si="92"/>
        <v>1367.1293578158898</v>
      </c>
      <c r="T138" s="19">
        <f t="shared" si="92"/>
        <v>1367.7460367593822</v>
      </c>
      <c r="U138" s="19">
        <f t="shared" si="92"/>
        <v>1368.4120366289542</v>
      </c>
      <c r="V138" s="19">
        <f t="shared" si="92"/>
        <v>1369.1272482057093</v>
      </c>
    </row>
    <row r="139" spans="2:22" hidden="1" outlineLevel="1">
      <c r="B139" s="13" t="s">
        <v>313</v>
      </c>
      <c r="C139" s="5">
        <f>C137*0.35</f>
        <v>4781.5487999999996</v>
      </c>
      <c r="D139" s="19">
        <f t="shared" ref="D139:V139" si="93">1000*C142*(SUM(D152:D154))</f>
        <v>4909.3005337175018</v>
      </c>
      <c r="E139" s="19">
        <f t="shared" si="93"/>
        <v>5037.0331868774529</v>
      </c>
      <c r="F139" s="19">
        <f t="shared" si="93"/>
        <v>5164.7531208292412</v>
      </c>
      <c r="G139" s="19">
        <f t="shared" si="93"/>
        <v>5292.4665708464327</v>
      </c>
      <c r="H139" s="19">
        <f t="shared" si="93"/>
        <v>5421.6374105641898</v>
      </c>
      <c r="I139" s="19">
        <f t="shared" si="93"/>
        <v>5549.9046830073903</v>
      </c>
      <c r="J139" s="19">
        <f t="shared" si="93"/>
        <v>5678.259167249611</v>
      </c>
      <c r="K139" s="19">
        <f t="shared" si="93"/>
        <v>5806.7941647759162</v>
      </c>
      <c r="L139" s="19">
        <f t="shared" si="93"/>
        <v>5935.3387650441173</v>
      </c>
      <c r="M139" s="19">
        <f t="shared" si="93"/>
        <v>6070.9604471185867</v>
      </c>
      <c r="N139" s="19">
        <f t="shared" si="93"/>
        <v>6214.0991457695791</v>
      </c>
      <c r="O139" s="19">
        <f t="shared" si="93"/>
        <v>6365.2077541437675</v>
      </c>
      <c r="P139" s="19">
        <f t="shared" si="93"/>
        <v>6524.7833205423358</v>
      </c>
      <c r="Q139" s="19">
        <f t="shared" si="93"/>
        <v>6693.354431454045</v>
      </c>
      <c r="R139" s="19">
        <f t="shared" si="93"/>
        <v>6871.4832179447221</v>
      </c>
      <c r="S139" s="19">
        <f t="shared" si="93"/>
        <v>7059.7674897394809</v>
      </c>
      <c r="T139" s="19">
        <f t="shared" si="93"/>
        <v>7258.843005124937</v>
      </c>
      <c r="U139" s="19">
        <f t="shared" si="93"/>
        <v>7469.385885315919</v>
      </c>
      <c r="V139" s="19">
        <f t="shared" si="93"/>
        <v>7692.1151824814206</v>
      </c>
    </row>
    <row r="140" spans="2:22" hidden="1" outlineLevel="1">
      <c r="B140" s="13" t="s">
        <v>315</v>
      </c>
      <c r="C140" s="5">
        <f>C137*0.55</f>
        <v>7513.8624</v>
      </c>
      <c r="D140" s="19">
        <f t="shared" ref="D140:V140" si="94">1000*C143*(SUM(D155:D157))</f>
        <v>7615.2630329894782</v>
      </c>
      <c r="E140" s="19">
        <f t="shared" si="94"/>
        <v>7716.7225692611837</v>
      </c>
      <c r="F140" s="19">
        <f t="shared" si="94"/>
        <v>7818.245033125484</v>
      </c>
      <c r="G140" s="19">
        <f t="shared" si="94"/>
        <v>7919.8343691347827</v>
      </c>
      <c r="H140" s="19">
        <f t="shared" si="94"/>
        <v>7976.1335236814512</v>
      </c>
      <c r="I140" s="19">
        <f t="shared" si="94"/>
        <v>8031.0802492098301</v>
      </c>
      <c r="J140" s="19">
        <f t="shared" si="94"/>
        <v>8086.1508904019865</v>
      </c>
      <c r="K140" s="19">
        <f t="shared" si="94"/>
        <v>8141.4705252482827</v>
      </c>
      <c r="L140" s="19">
        <f t="shared" si="94"/>
        <v>8196.7919929513428</v>
      </c>
      <c r="M140" s="19">
        <f t="shared" si="94"/>
        <v>8254.1194813782004</v>
      </c>
      <c r="N140" s="19">
        <f t="shared" si="94"/>
        <v>8313.4949067144062</v>
      </c>
      <c r="O140" s="19">
        <f t="shared" si="94"/>
        <v>8374.6953947678685</v>
      </c>
      <c r="P140" s="19">
        <f t="shared" si="94"/>
        <v>8437.7626255811083</v>
      </c>
      <c r="Q140" s="19">
        <f t="shared" si="94"/>
        <v>8502.7392978785647</v>
      </c>
      <c r="R140" s="19">
        <f t="shared" si="94"/>
        <v>8569.669153559762</v>
      </c>
      <c r="S140" s="19">
        <f t="shared" si="94"/>
        <v>8638.5970027837357</v>
      </c>
      <c r="T140" s="19">
        <f t="shared" si="94"/>
        <v>8709.5687496588525</v>
      </c>
      <c r="U140" s="19">
        <f t="shared" si="94"/>
        <v>8782.6314185527444</v>
      </c>
      <c r="V140" s="19">
        <f t="shared" si="94"/>
        <v>8857.8331810372074</v>
      </c>
    </row>
    <row r="141" spans="2:22" hidden="1" outlineLevel="1">
      <c r="B141" s="13" t="s">
        <v>318</v>
      </c>
      <c r="C141" s="47">
        <f t="shared" ref="C141:V141" si="95">C138/(1000*SUM(C146:C151))</f>
        <v>2.8066696384441464E-5</v>
      </c>
      <c r="D141" s="47">
        <f t="shared" si="95"/>
        <v>2.8066696384441461E-5</v>
      </c>
      <c r="E141" s="47">
        <f t="shared" si="95"/>
        <v>2.8066696384441457E-5</v>
      </c>
      <c r="F141" s="47">
        <f t="shared" si="95"/>
        <v>2.8066696384441457E-5</v>
      </c>
      <c r="G141" s="47">
        <f t="shared" si="95"/>
        <v>2.8066696384441454E-5</v>
      </c>
      <c r="H141" s="47">
        <f t="shared" si="95"/>
        <v>2.8066696384441454E-5</v>
      </c>
      <c r="I141" s="47">
        <f t="shared" si="95"/>
        <v>2.8066696384441454E-5</v>
      </c>
      <c r="J141" s="47">
        <f t="shared" si="95"/>
        <v>2.8066696384441457E-5</v>
      </c>
      <c r="K141" s="47">
        <f t="shared" si="95"/>
        <v>2.8066696384441457E-5</v>
      </c>
      <c r="L141" s="47">
        <f t="shared" si="95"/>
        <v>2.8066696384441457E-5</v>
      </c>
      <c r="M141" s="47">
        <f t="shared" si="95"/>
        <v>2.8066696384441457E-5</v>
      </c>
      <c r="N141" s="47">
        <f t="shared" si="95"/>
        <v>2.8066696384441457E-5</v>
      </c>
      <c r="O141" s="47">
        <f t="shared" si="95"/>
        <v>2.8066696384441457E-5</v>
      </c>
      <c r="P141" s="47">
        <f t="shared" si="95"/>
        <v>2.8066696384441461E-5</v>
      </c>
      <c r="Q141" s="47">
        <f t="shared" si="95"/>
        <v>2.8066696384441457E-5</v>
      </c>
      <c r="R141" s="47">
        <f t="shared" si="95"/>
        <v>2.8066696384441454E-5</v>
      </c>
      <c r="S141" s="47">
        <f t="shared" si="95"/>
        <v>2.8066696384441454E-5</v>
      </c>
      <c r="T141" s="47">
        <f t="shared" si="95"/>
        <v>2.8066696384441454E-5</v>
      </c>
      <c r="U141" s="47">
        <f t="shared" si="95"/>
        <v>2.8066696384441454E-5</v>
      </c>
      <c r="V141" s="47">
        <f t="shared" si="95"/>
        <v>2.806669638444145E-5</v>
      </c>
    </row>
    <row r="142" spans="2:22" hidden="1" outlineLevel="1">
      <c r="B142" s="13" t="s">
        <v>314</v>
      </c>
      <c r="C142" s="46">
        <f t="shared" ref="C142:V142" si="96">C139/(1000*(SUM(C152:C154)))</f>
        <v>5.3367198925545153E-4</v>
      </c>
      <c r="D142" s="46">
        <f t="shared" si="96"/>
        <v>5.3367198925545153E-4</v>
      </c>
      <c r="E142" s="46">
        <f t="shared" si="96"/>
        <v>5.3367198925545153E-4</v>
      </c>
      <c r="F142" s="46">
        <f t="shared" si="96"/>
        <v>5.3367198925545153E-4</v>
      </c>
      <c r="G142" s="46">
        <f t="shared" si="96"/>
        <v>5.3367198925545153E-4</v>
      </c>
      <c r="H142" s="46">
        <f t="shared" si="96"/>
        <v>5.3367198925545153E-4</v>
      </c>
      <c r="I142" s="46">
        <f t="shared" si="96"/>
        <v>5.3367198925545164E-4</v>
      </c>
      <c r="J142" s="46">
        <f t="shared" si="96"/>
        <v>5.3367198925545164E-4</v>
      </c>
      <c r="K142" s="46">
        <f t="shared" si="96"/>
        <v>5.3367198925545164E-4</v>
      </c>
      <c r="L142" s="46">
        <f t="shared" si="96"/>
        <v>5.3367198925545175E-4</v>
      </c>
      <c r="M142" s="46">
        <f t="shared" si="96"/>
        <v>5.3367198925545175E-4</v>
      </c>
      <c r="N142" s="46">
        <f t="shared" si="96"/>
        <v>5.3367198925545175E-4</v>
      </c>
      <c r="O142" s="46">
        <f t="shared" si="96"/>
        <v>5.3367198925545175E-4</v>
      </c>
      <c r="P142" s="46">
        <f t="shared" si="96"/>
        <v>5.3367198925545175E-4</v>
      </c>
      <c r="Q142" s="46">
        <f t="shared" si="96"/>
        <v>5.3367198925545185E-4</v>
      </c>
      <c r="R142" s="46">
        <f t="shared" si="96"/>
        <v>5.3367198925545185E-4</v>
      </c>
      <c r="S142" s="46">
        <f t="shared" si="96"/>
        <v>5.3367198925545196E-4</v>
      </c>
      <c r="T142" s="46">
        <f t="shared" si="96"/>
        <v>5.3367198925545196E-4</v>
      </c>
      <c r="U142" s="46">
        <f t="shared" si="96"/>
        <v>5.3367198925545196E-4</v>
      </c>
      <c r="V142" s="46">
        <f t="shared" si="96"/>
        <v>5.3367198925545196E-4</v>
      </c>
    </row>
    <row r="143" spans="2:22" hidden="1" outlineLevel="1">
      <c r="B143" s="13" t="s">
        <v>316</v>
      </c>
      <c r="C143" s="45">
        <f t="shared" ref="C143:V143" si="97">C140/(1000*(SUM(C155:C157)))</f>
        <v>1.3386735044516648E-3</v>
      </c>
      <c r="D143" s="45">
        <f t="shared" si="97"/>
        <v>1.3386735044516645E-3</v>
      </c>
      <c r="E143" s="45">
        <f t="shared" si="97"/>
        <v>1.3386735044516645E-3</v>
      </c>
      <c r="F143" s="45">
        <f t="shared" si="97"/>
        <v>1.3386735044516643E-3</v>
      </c>
      <c r="G143" s="45">
        <f t="shared" si="97"/>
        <v>1.3386735044516641E-3</v>
      </c>
      <c r="H143" s="45">
        <f t="shared" si="97"/>
        <v>1.3386735044516643E-3</v>
      </c>
      <c r="I143" s="45">
        <f t="shared" si="97"/>
        <v>1.3386735044516641E-3</v>
      </c>
      <c r="J143" s="45">
        <f t="shared" si="97"/>
        <v>1.3386735044516643E-3</v>
      </c>
      <c r="K143" s="45">
        <f t="shared" si="97"/>
        <v>1.3386735044516641E-3</v>
      </c>
      <c r="L143" s="45">
        <f t="shared" si="97"/>
        <v>1.3386735044516643E-3</v>
      </c>
      <c r="M143" s="45">
        <f t="shared" si="97"/>
        <v>1.3386735044516643E-3</v>
      </c>
      <c r="N143" s="45">
        <f t="shared" si="97"/>
        <v>1.3386735044516641E-3</v>
      </c>
      <c r="O143" s="45">
        <f t="shared" si="97"/>
        <v>1.3386735044516643E-3</v>
      </c>
      <c r="P143" s="45">
        <f t="shared" si="97"/>
        <v>1.3386735044516641E-3</v>
      </c>
      <c r="Q143" s="45">
        <f t="shared" si="97"/>
        <v>1.3386735044516643E-3</v>
      </c>
      <c r="R143" s="45">
        <f t="shared" si="97"/>
        <v>1.3386735044516641E-3</v>
      </c>
      <c r="S143" s="45">
        <f t="shared" si="97"/>
        <v>1.3386735044516643E-3</v>
      </c>
      <c r="T143" s="45">
        <f t="shared" si="97"/>
        <v>1.3386735044516641E-3</v>
      </c>
      <c r="U143" s="45">
        <f t="shared" si="97"/>
        <v>1.3386735044516641E-3</v>
      </c>
      <c r="V143" s="45">
        <f t="shared" si="97"/>
        <v>1.3386735044516641E-3</v>
      </c>
    </row>
    <row r="144" spans="2:22" ht="15.75" hidden="1" outlineLevel="1" thickBot="1">
      <c r="B144" s="40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</row>
    <row r="145" spans="2:23" ht="15.75" hidden="1" outlineLevel="1" thickBot="1">
      <c r="B145" s="304" t="s">
        <v>85</v>
      </c>
      <c r="C145" s="32">
        <v>2011</v>
      </c>
      <c r="D145" s="32">
        <v>2012</v>
      </c>
      <c r="E145" s="32">
        <v>2013</v>
      </c>
      <c r="F145" s="32">
        <v>2014</v>
      </c>
      <c r="G145" s="32">
        <v>2015</v>
      </c>
      <c r="H145" s="32">
        <v>2016</v>
      </c>
      <c r="I145" s="32">
        <v>2017</v>
      </c>
      <c r="J145" s="32">
        <v>2018</v>
      </c>
      <c r="K145" s="32">
        <v>2019</v>
      </c>
      <c r="L145" s="32">
        <v>2020</v>
      </c>
      <c r="M145" s="32">
        <v>2021</v>
      </c>
      <c r="N145" s="32">
        <v>2022</v>
      </c>
      <c r="O145" s="32">
        <f t="shared" ref="O145:V145" si="98">N145+1</f>
        <v>2023</v>
      </c>
      <c r="P145" s="32">
        <f t="shared" si="98"/>
        <v>2024</v>
      </c>
      <c r="Q145" s="32">
        <f t="shared" si="98"/>
        <v>2025</v>
      </c>
      <c r="R145" s="32">
        <f t="shared" si="98"/>
        <v>2026</v>
      </c>
      <c r="S145" s="32">
        <f t="shared" si="98"/>
        <v>2027</v>
      </c>
      <c r="T145" s="32">
        <f t="shared" si="98"/>
        <v>2028</v>
      </c>
      <c r="U145" s="32">
        <f t="shared" si="98"/>
        <v>2029</v>
      </c>
      <c r="V145" s="31">
        <f t="shared" si="98"/>
        <v>2030</v>
      </c>
      <c r="W145" s="166" t="s">
        <v>220</v>
      </c>
    </row>
    <row r="146" spans="2:23" hidden="1" outlineLevel="1">
      <c r="B146" s="13" t="s">
        <v>82</v>
      </c>
      <c r="C146" s="44">
        <v>15554.408474092053</v>
      </c>
      <c r="D146" s="44">
        <v>15587.378170934953</v>
      </c>
      <c r="E146" s="44">
        <v>15620.628104823289</v>
      </c>
      <c r="F146" s="44">
        <v>15654.15597056976</v>
      </c>
      <c r="G146" s="44">
        <v>15687.959508673663</v>
      </c>
      <c r="H146" s="44">
        <v>15728.33901028125</v>
      </c>
      <c r="I146" s="44">
        <v>15766.039405206851</v>
      </c>
      <c r="J146" s="44">
        <v>15803.981835087261</v>
      </c>
      <c r="K146" s="44">
        <v>15842.40650868955</v>
      </c>
      <c r="L146" s="44">
        <v>15880.828302601585</v>
      </c>
      <c r="M146" s="44">
        <v>15919.417582666065</v>
      </c>
      <c r="N146" s="44">
        <v>15958.174950637709</v>
      </c>
      <c r="O146" s="19">
        <f t="shared" ref="O146:V157" si="99">N146*(1+$W146)</f>
        <v>15997.026677185244</v>
      </c>
      <c r="P146" s="19">
        <f t="shared" si="99"/>
        <v>16035.972992033783</v>
      </c>
      <c r="Q146" s="19">
        <f t="shared" si="99"/>
        <v>16075.014125467733</v>
      </c>
      <c r="R146" s="19">
        <f t="shared" si="99"/>
        <v>16114.150308332144</v>
      </c>
      <c r="S146" s="19">
        <f t="shared" si="99"/>
        <v>16153.381772034087</v>
      </c>
      <c r="T146" s="19">
        <f t="shared" si="99"/>
        <v>16192.708748544012</v>
      </c>
      <c r="U146" s="19">
        <f t="shared" si="99"/>
        <v>16232.131470397124</v>
      </c>
      <c r="V146" s="19">
        <f t="shared" si="99"/>
        <v>16271.65017069476</v>
      </c>
      <c r="W146" s="305">
        <f t="shared" ref="W146:W158" si="100">N146/M146-1</f>
        <v>2.4345971057286864E-3</v>
      </c>
    </row>
    <row r="147" spans="2:23" hidden="1" outlineLevel="1">
      <c r="B147" s="13" t="s">
        <v>81</v>
      </c>
      <c r="C147" s="44">
        <v>7955.8927844718764</v>
      </c>
      <c r="D147" s="44">
        <v>7934.3281670326505</v>
      </c>
      <c r="E147" s="44">
        <v>7912.9412679227498</v>
      </c>
      <c r="F147" s="44">
        <v>7891.7285981301684</v>
      </c>
      <c r="G147" s="44">
        <v>7870.6867377917624</v>
      </c>
      <c r="H147" s="44">
        <v>7838.7094813197546</v>
      </c>
      <c r="I147" s="44">
        <v>7805.3879966400509</v>
      </c>
      <c r="J147" s="44">
        <v>7772.1854283175135</v>
      </c>
      <c r="K147" s="44">
        <v>7739.2167450453453</v>
      </c>
      <c r="L147" s="44">
        <v>7706.2418367563441</v>
      </c>
      <c r="M147" s="44">
        <v>7673.5644380722979</v>
      </c>
      <c r="N147" s="44">
        <v>7641.1819536397061</v>
      </c>
      <c r="O147" s="19">
        <f t="shared" si="99"/>
        <v>7608.9361234707867</v>
      </c>
      <c r="P147" s="19">
        <f t="shared" si="99"/>
        <v>7576.8263708837903</v>
      </c>
      <c r="Q147" s="19">
        <f t="shared" si="99"/>
        <v>7544.8521216305671</v>
      </c>
      <c r="R147" s="19">
        <f t="shared" si="99"/>
        <v>7513.0128038862977</v>
      </c>
      <c r="S147" s="19">
        <f t="shared" si="99"/>
        <v>7481.3078482392675</v>
      </c>
      <c r="T147" s="19">
        <f t="shared" si="99"/>
        <v>7449.7366876806818</v>
      </c>
      <c r="U147" s="19">
        <f t="shared" si="99"/>
        <v>7418.2987575945263</v>
      </c>
      <c r="V147" s="19">
        <f t="shared" si="99"/>
        <v>7386.9934957474688</v>
      </c>
      <c r="W147" s="305">
        <f t="shared" si="100"/>
        <v>-4.2200055390069213E-3</v>
      </c>
    </row>
    <row r="148" spans="2:23" hidden="1" outlineLevel="1">
      <c r="B148" s="13" t="s">
        <v>80</v>
      </c>
      <c r="C148" s="44">
        <v>8129.1226395542071</v>
      </c>
      <c r="D148" s="44">
        <v>8072.253368749296</v>
      </c>
      <c r="E148" s="44">
        <v>8015.5968516891771</v>
      </c>
      <c r="F148" s="44">
        <v>7959.1474294398067</v>
      </c>
      <c r="G148" s="44">
        <v>7902.8995552217712</v>
      </c>
      <c r="H148" s="44">
        <v>7963.1644629805123</v>
      </c>
      <c r="I148" s="44">
        <v>8022.0798425080711</v>
      </c>
      <c r="J148" s="44">
        <v>8081.1190693246781</v>
      </c>
      <c r="K148" s="44">
        <v>8140.4073876963521</v>
      </c>
      <c r="L148" s="44">
        <v>8199.6979089417437</v>
      </c>
      <c r="M148" s="44">
        <v>8259.4770819539845</v>
      </c>
      <c r="N148" s="44">
        <v>8319.7492952863577</v>
      </c>
      <c r="O148" s="19">
        <f t="shared" si="99"/>
        <v>8380.4613354581234</v>
      </c>
      <c r="P148" s="19">
        <f t="shared" si="99"/>
        <v>8441.6164120353133</v>
      </c>
      <c r="Q148" s="19">
        <f t="shared" si="99"/>
        <v>8503.2177580052557</v>
      </c>
      <c r="R148" s="19">
        <f t="shared" si="99"/>
        <v>8565.2686299474863</v>
      </c>
      <c r="S148" s="19">
        <f t="shared" si="99"/>
        <v>8627.772308205911</v>
      </c>
      <c r="T148" s="19">
        <f t="shared" si="99"/>
        <v>8690.7320970622186</v>
      </c>
      <c r="U148" s="19">
        <f t="shared" si="99"/>
        <v>8754.1513249105647</v>
      </c>
      <c r="V148" s="19">
        <f t="shared" si="99"/>
        <v>8818.033344433532</v>
      </c>
      <c r="W148" s="305">
        <f t="shared" si="100"/>
        <v>7.2973401020823836E-3</v>
      </c>
    </row>
    <row r="149" spans="2:23" hidden="1" outlineLevel="1">
      <c r="B149" s="13" t="s">
        <v>79</v>
      </c>
      <c r="C149" s="44">
        <v>8746.7958101597687</v>
      </c>
      <c r="D149" s="44">
        <v>8741.8914121763773</v>
      </c>
      <c r="E149" s="44">
        <v>8737.165576378653</v>
      </c>
      <c r="F149" s="44">
        <v>8732.6155972235683</v>
      </c>
      <c r="G149" s="44">
        <v>8728.2388227893643</v>
      </c>
      <c r="H149" s="44">
        <v>8640.0168841290779</v>
      </c>
      <c r="I149" s="44">
        <v>8550.3041415008956</v>
      </c>
      <c r="J149" s="44">
        <v>8460.7207333741353</v>
      </c>
      <c r="K149" s="44">
        <v>8371.3885545476023</v>
      </c>
      <c r="L149" s="44">
        <v>8282.0446441566655</v>
      </c>
      <c r="M149" s="44">
        <v>8194.8070040099265</v>
      </c>
      <c r="N149" s="44">
        <v>8109.6273928225364</v>
      </c>
      <c r="O149" s="19">
        <f t="shared" si="99"/>
        <v>8025.333167484805</v>
      </c>
      <c r="P149" s="19">
        <f t="shared" si="99"/>
        <v>7941.9151249950773</v>
      </c>
      <c r="Q149" s="19">
        <f t="shared" si="99"/>
        <v>7859.3641580108269</v>
      </c>
      <c r="R149" s="19">
        <f t="shared" si="99"/>
        <v>7777.6712538543425</v>
      </c>
      <c r="S149" s="19">
        <f t="shared" si="99"/>
        <v>7696.8274935287518</v>
      </c>
      <c r="T149" s="19">
        <f t="shared" si="99"/>
        <v>7616.8240507442688</v>
      </c>
      <c r="U149" s="19">
        <f t="shared" si="99"/>
        <v>7537.6521909545654</v>
      </c>
      <c r="V149" s="19">
        <f t="shared" si="99"/>
        <v>7459.3032704031584</v>
      </c>
      <c r="W149" s="305">
        <f t="shared" si="100"/>
        <v>-1.0394340116333334E-2</v>
      </c>
    </row>
    <row r="150" spans="2:23" hidden="1" outlineLevel="1">
      <c r="B150" s="13" t="s">
        <v>78</v>
      </c>
      <c r="C150" s="44">
        <v>4205.125467597044</v>
      </c>
      <c r="D150" s="44">
        <v>4232.5284058946045</v>
      </c>
      <c r="E150" s="44">
        <v>4259.9905640872603</v>
      </c>
      <c r="F150" s="44">
        <v>4287.5124303865086</v>
      </c>
      <c r="G150" s="44">
        <v>4315.0944833279673</v>
      </c>
      <c r="H150" s="44">
        <v>4314.4184581508798</v>
      </c>
      <c r="I150" s="44">
        <v>4313.005498267139</v>
      </c>
      <c r="J150" s="44">
        <v>4311.6585450797356</v>
      </c>
      <c r="K150" s="44">
        <v>4310.4424191769831</v>
      </c>
      <c r="L150" s="44">
        <v>4309.2244229168537</v>
      </c>
      <c r="M150" s="44">
        <v>4308.0087568358731</v>
      </c>
      <c r="N150" s="44">
        <v>4306.7954192085217</v>
      </c>
      <c r="O150" s="19">
        <f t="shared" si="99"/>
        <v>4305.5824233140402</v>
      </c>
      <c r="P150" s="19">
        <f t="shared" si="99"/>
        <v>4304.3697690561812</v>
      </c>
      <c r="Q150" s="19">
        <f t="shared" si="99"/>
        <v>4303.1574563387239</v>
      </c>
      <c r="R150" s="19">
        <f t="shared" si="99"/>
        <v>4301.9454850654738</v>
      </c>
      <c r="S150" s="19">
        <f t="shared" si="99"/>
        <v>4300.7338551402645</v>
      </c>
      <c r="T150" s="19">
        <f t="shared" si="99"/>
        <v>4299.522566466957</v>
      </c>
      <c r="U150" s="19">
        <f t="shared" si="99"/>
        <v>4298.3116189494376</v>
      </c>
      <c r="V150" s="19">
        <f t="shared" si="99"/>
        <v>4297.101012491622</v>
      </c>
      <c r="W150" s="305">
        <f t="shared" si="100"/>
        <v>-2.8164697330901323E-4</v>
      </c>
    </row>
    <row r="151" spans="2:23" hidden="1" outlineLevel="1">
      <c r="B151" s="13" t="s">
        <v>77</v>
      </c>
      <c r="C151" s="44">
        <v>4084.0237128310869</v>
      </c>
      <c r="D151" s="44">
        <v>4081.8597683674802</v>
      </c>
      <c r="E151" s="44">
        <v>4079.7790848152345</v>
      </c>
      <c r="F151" s="44">
        <v>4077.7804064854563</v>
      </c>
      <c r="G151" s="44">
        <v>4075.862502575801</v>
      </c>
      <c r="H151" s="44">
        <v>4106.9957540819323</v>
      </c>
      <c r="I151" s="44">
        <v>4137.4329964110193</v>
      </c>
      <c r="J151" s="44">
        <v>4167.9341145764474</v>
      </c>
      <c r="K151" s="44">
        <v>4198.5637079168682</v>
      </c>
      <c r="L151" s="44">
        <v>4229.1944421381031</v>
      </c>
      <c r="M151" s="44">
        <v>4260.0514770278078</v>
      </c>
      <c r="N151" s="44">
        <v>4291.1365050613404</v>
      </c>
      <c r="O151" s="19">
        <f t="shared" si="99"/>
        <v>4322.4483564027742</v>
      </c>
      <c r="P151" s="19">
        <f t="shared" si="99"/>
        <v>4353.9886861515643</v>
      </c>
      <c r="Q151" s="19">
        <f t="shared" si="99"/>
        <v>4385.7591614842086</v>
      </c>
      <c r="R151" s="19">
        <f t="shared" si="99"/>
        <v>4417.7614617423687</v>
      </c>
      <c r="S151" s="19">
        <f t="shared" si="99"/>
        <v>4449.9972785216378</v>
      </c>
      <c r="T151" s="19">
        <f t="shared" si="99"/>
        <v>4482.4683157609579</v>
      </c>
      <c r="U151" s="19">
        <f t="shared" si="99"/>
        <v>4515.1762898326861</v>
      </c>
      <c r="V151" s="19">
        <f t="shared" si="99"/>
        <v>4548.1229296333195</v>
      </c>
      <c r="W151" s="305">
        <f t="shared" si="100"/>
        <v>7.2968667635022744E-3</v>
      </c>
    </row>
    <row r="152" spans="2:23" hidden="1" outlineLevel="1">
      <c r="B152" s="13" t="s">
        <v>76</v>
      </c>
      <c r="C152" s="44">
        <v>3812.6922024310679</v>
      </c>
      <c r="D152" s="44">
        <v>3845.54286343392</v>
      </c>
      <c r="E152" s="44">
        <v>3878.4400559369187</v>
      </c>
      <c r="F152" s="44">
        <v>3911.3847037764772</v>
      </c>
      <c r="G152" s="44">
        <v>3944.3777124794606</v>
      </c>
      <c r="H152" s="44">
        <v>3947.3111650638266</v>
      </c>
      <c r="I152" s="44">
        <v>3949.571001948204</v>
      </c>
      <c r="J152" s="44">
        <v>3951.8913456508235</v>
      </c>
      <c r="K152" s="44">
        <v>3954.3318248850783</v>
      </c>
      <c r="L152" s="44">
        <v>3956.7709194479121</v>
      </c>
      <c r="M152" s="44">
        <v>3959.2186005686153</v>
      </c>
      <c r="N152" s="44">
        <v>3961.6748813892832</v>
      </c>
      <c r="O152" s="19">
        <f t="shared" si="99"/>
        <v>3964.1326860751578</v>
      </c>
      <c r="P152" s="19">
        <f t="shared" si="99"/>
        <v>3966.5920155716376</v>
      </c>
      <c r="Q152" s="19">
        <f t="shared" si="99"/>
        <v>3969.0528708247084</v>
      </c>
      <c r="R152" s="19">
        <f t="shared" si="99"/>
        <v>3971.5152527809419</v>
      </c>
      <c r="S152" s="19">
        <f t="shared" si="99"/>
        <v>3973.979162387498</v>
      </c>
      <c r="T152" s="19">
        <f t="shared" si="99"/>
        <v>3976.4446005921241</v>
      </c>
      <c r="U152" s="19">
        <f t="shared" si="99"/>
        <v>3978.9115683431546</v>
      </c>
      <c r="V152" s="19">
        <f t="shared" si="99"/>
        <v>3981.3800665895137</v>
      </c>
      <c r="W152" s="305">
        <f t="shared" si="100"/>
        <v>6.2039535283942016E-4</v>
      </c>
    </row>
    <row r="153" spans="2:23" hidden="1" outlineLevel="1">
      <c r="B153" s="13" t="s">
        <v>75</v>
      </c>
      <c r="C153" s="44">
        <v>2756.6413838062654</v>
      </c>
      <c r="D153" s="44">
        <v>2967.9871388101719</v>
      </c>
      <c r="E153" s="44">
        <v>3179.1987026113884</v>
      </c>
      <c r="F153" s="44">
        <v>3390.2880195233543</v>
      </c>
      <c r="G153" s="44">
        <v>3601.2667971347064</v>
      </c>
      <c r="H153" s="44">
        <v>3637.6594347917935</v>
      </c>
      <c r="I153" s="44">
        <v>3673.4371263569938</v>
      </c>
      <c r="J153" s="44">
        <v>3709.2716834728985</v>
      </c>
      <c r="K153" s="44">
        <v>3745.2211265560286</v>
      </c>
      <c r="L153" s="44">
        <v>3781.1723907311289</v>
      </c>
      <c r="M153" s="44">
        <v>3817.4877211278099</v>
      </c>
      <c r="N153" s="43">
        <v>3854.1709717543808</v>
      </c>
      <c r="O153" s="19">
        <f t="shared" si="99"/>
        <v>3891.2067214522876</v>
      </c>
      <c r="P153" s="19">
        <f t="shared" si="99"/>
        <v>3928.5983574784705</v>
      </c>
      <c r="Q153" s="19">
        <f t="shared" si="99"/>
        <v>3966.3492996389191</v>
      </c>
      <c r="R153" s="19">
        <f t="shared" si="99"/>
        <v>4004.4630006014449</v>
      </c>
      <c r="S153" s="19">
        <f t="shared" si="99"/>
        <v>4042.942946211459</v>
      </c>
      <c r="T153" s="19">
        <f t="shared" si="99"/>
        <v>4081.7926558107838</v>
      </c>
      <c r="U153" s="19">
        <f t="shared" si="99"/>
        <v>4121.0156825595295</v>
      </c>
      <c r="V153" s="19">
        <f t="shared" si="99"/>
        <v>4160.6156137610633</v>
      </c>
      <c r="W153" s="305">
        <f t="shared" si="100"/>
        <v>9.6092648637868816E-3</v>
      </c>
    </row>
    <row r="154" spans="2:23" hidden="1" outlineLevel="1">
      <c r="B154" s="13" t="s">
        <v>74</v>
      </c>
      <c r="C154" s="44">
        <v>2390.381175391698</v>
      </c>
      <c r="D154" s="44">
        <v>2385.5672570418519</v>
      </c>
      <c r="E154" s="44">
        <v>2380.8052450517907</v>
      </c>
      <c r="F154" s="44">
        <v>2376.0941912328335</v>
      </c>
      <c r="G154" s="44">
        <v>2371.433166188488</v>
      </c>
      <c r="H154" s="44">
        <v>2574.1487088571084</v>
      </c>
      <c r="I154" s="44">
        <v>2776.4596997708031</v>
      </c>
      <c r="J154" s="44">
        <v>2978.8167366713515</v>
      </c>
      <c r="K154" s="44">
        <v>3181.2769997002665</v>
      </c>
      <c r="L154" s="44">
        <v>3383.7548200240421</v>
      </c>
      <c r="M154" s="44">
        <v>3599.1210954187927</v>
      </c>
      <c r="N154" s="43">
        <v>3828.1963129800056</v>
      </c>
      <c r="O154" s="19">
        <f t="shared" si="99"/>
        <v>4071.8516054843794</v>
      </c>
      <c r="P154" s="19">
        <f t="shared" si="99"/>
        <v>4331.0149588904624</v>
      </c>
      <c r="Q154" s="19">
        <f t="shared" si="99"/>
        <v>4606.6734231837445</v>
      </c>
      <c r="R154" s="19">
        <f t="shared" si="99"/>
        <v>4899.8768716569011</v>
      </c>
      <c r="S154" s="19">
        <f t="shared" si="99"/>
        <v>5211.7419994589854</v>
      </c>
      <c r="T154" s="19">
        <f t="shared" si="99"/>
        <v>5543.456576642463</v>
      </c>
      <c r="U154" s="19">
        <f t="shared" si="99"/>
        <v>5896.2839719062358</v>
      </c>
      <c r="V154" s="19">
        <f t="shared" si="99"/>
        <v>6271.5679642638061</v>
      </c>
      <c r="W154" s="305">
        <f t="shared" si="100"/>
        <v>6.3647543799733697E-2</v>
      </c>
    </row>
    <row r="155" spans="2:23" hidden="1" outlineLevel="1">
      <c r="B155" s="13" t="s">
        <v>73</v>
      </c>
      <c r="C155" s="44">
        <v>2215.8288495976699</v>
      </c>
      <c r="D155" s="44">
        <v>2197.0121881274222</v>
      </c>
      <c r="E155" s="44">
        <v>2178.2564849567671</v>
      </c>
      <c r="F155" s="44">
        <v>2159.5599982953004</v>
      </c>
      <c r="G155" s="44">
        <v>2140.9210208732288</v>
      </c>
      <c r="H155" s="44">
        <v>2141.5085946456265</v>
      </c>
      <c r="I155" s="44">
        <v>2141.7305425158875</v>
      </c>
      <c r="J155" s="44">
        <v>2141.9852838143761</v>
      </c>
      <c r="K155" s="44">
        <v>2142.3050770499499</v>
      </c>
      <c r="L155" s="44">
        <v>2142.6240267785497</v>
      </c>
      <c r="M155" s="44">
        <v>2143.0125532927059</v>
      </c>
      <c r="N155" s="43">
        <v>2143.4707796594607</v>
      </c>
      <c r="O155" s="19">
        <f t="shared" si="99"/>
        <v>2143.9291040057642</v>
      </c>
      <c r="P155" s="19">
        <f t="shared" si="99"/>
        <v>2144.387526352567</v>
      </c>
      <c r="Q155" s="19">
        <f t="shared" si="99"/>
        <v>2144.8460467208238</v>
      </c>
      <c r="R155" s="19">
        <f t="shared" si="99"/>
        <v>2145.3046651314939</v>
      </c>
      <c r="S155" s="19">
        <f t="shared" si="99"/>
        <v>2145.7633816055409</v>
      </c>
      <c r="T155" s="19">
        <f t="shared" si="99"/>
        <v>2146.2221961639334</v>
      </c>
      <c r="U155" s="19">
        <f t="shared" si="99"/>
        <v>2146.681108827644</v>
      </c>
      <c r="V155" s="19">
        <f t="shared" si="99"/>
        <v>2147.1401196176498</v>
      </c>
      <c r="W155" s="305">
        <f t="shared" si="100"/>
        <v>2.1382346363330029E-4</v>
      </c>
    </row>
    <row r="156" spans="2:23" hidden="1" outlineLevel="1">
      <c r="B156" s="13" t="s">
        <v>72</v>
      </c>
      <c r="C156" s="44">
        <v>1761.9674033162933</v>
      </c>
      <c r="D156" s="44">
        <v>1782.2358628671604</v>
      </c>
      <c r="E156" s="44">
        <v>1802.5212748444687</v>
      </c>
      <c r="F156" s="44">
        <v>1822.8243719712839</v>
      </c>
      <c r="G156" s="44">
        <v>1843.145872448805</v>
      </c>
      <c r="H156" s="44">
        <v>1832.8083179462687</v>
      </c>
      <c r="I156" s="44">
        <v>1822.1559678368096</v>
      </c>
      <c r="J156" s="44">
        <v>1811.5313283067348</v>
      </c>
      <c r="K156" s="44">
        <v>1800.961020128047</v>
      </c>
      <c r="L156" s="44">
        <v>1790.3889934471345</v>
      </c>
      <c r="M156" s="44">
        <v>1780.0018611785931</v>
      </c>
      <c r="N156" s="43">
        <v>1769.800806517741</v>
      </c>
      <c r="O156" s="19">
        <f t="shared" si="99"/>
        <v>1759.6582133217125</v>
      </c>
      <c r="P156" s="19">
        <f t="shared" si="99"/>
        <v>1749.57374655232</v>
      </c>
      <c r="Q156" s="19">
        <f t="shared" si="99"/>
        <v>1739.5470730914535</v>
      </c>
      <c r="R156" s="19">
        <f t="shared" si="99"/>
        <v>1729.5778617300778</v>
      </c>
      <c r="S156" s="19">
        <f t="shared" si="99"/>
        <v>1719.6657831572913</v>
      </c>
      <c r="T156" s="19">
        <f t="shared" si="99"/>
        <v>1709.810509949448</v>
      </c>
      <c r="U156" s="19">
        <f t="shared" si="99"/>
        <v>1700.0117165593415</v>
      </c>
      <c r="V156" s="19">
        <f t="shared" si="99"/>
        <v>1690.2690793054521</v>
      </c>
      <c r="W156" s="305">
        <f t="shared" si="100"/>
        <v>-5.730923592460635E-3</v>
      </c>
    </row>
    <row r="157" spans="2:23" hidden="1" outlineLevel="1">
      <c r="B157" s="13" t="s">
        <v>71</v>
      </c>
      <c r="C157" s="42">
        <v>1635.1200967509699</v>
      </c>
      <c r="D157" s="42">
        <v>1709.4153965641067</v>
      </c>
      <c r="E157" s="42">
        <v>1783.6767868823035</v>
      </c>
      <c r="F157" s="42">
        <v>1857.9082829654856</v>
      </c>
      <c r="G157" s="42">
        <v>1932.1138204949896</v>
      </c>
      <c r="H157" s="42">
        <v>1983.9197277519843</v>
      </c>
      <c r="I157" s="42">
        <v>2035.3957810372792</v>
      </c>
      <c r="J157" s="42">
        <v>2086.9038963240491</v>
      </c>
      <c r="K157" s="42">
        <v>2138.4786286079384</v>
      </c>
      <c r="L157" s="42">
        <v>2190.0572920599398</v>
      </c>
      <c r="M157" s="42">
        <v>2242.8799981167654</v>
      </c>
      <c r="N157" s="42">
        <v>2296.9767522477132</v>
      </c>
      <c r="O157" s="19">
        <f t="shared" si="99"/>
        <v>2352.37828363378</v>
      </c>
      <c r="P157" s="19">
        <f t="shared" si="99"/>
        <v>2409.1160626231008</v>
      </c>
      <c r="Q157" s="19">
        <f t="shared" si="99"/>
        <v>2467.2223186074007</v>
      </c>
      <c r="R157" s="19">
        <f t="shared" si="99"/>
        <v>2526.7300583296142</v>
      </c>
      <c r="S157" s="19">
        <f t="shared" si="99"/>
        <v>2587.6730846330734</v>
      </c>
      <c r="T157" s="19">
        <f t="shared" si="99"/>
        <v>2650.0860156629124</v>
      </c>
      <c r="U157" s="19">
        <f t="shared" si="99"/>
        <v>2714.004304530597</v>
      </c>
      <c r="V157" s="19">
        <f t="shared" si="99"/>
        <v>2779.4642594527518</v>
      </c>
      <c r="W157" s="305">
        <f t="shared" si="100"/>
        <v>2.4119326123720475E-2</v>
      </c>
    </row>
    <row r="158" spans="2:23" hidden="1" outlineLevel="1">
      <c r="B158" s="11" t="s">
        <v>84</v>
      </c>
      <c r="C158" s="19">
        <f t="shared" ref="C158:V158" si="101">SUM(C146:C157)</f>
        <v>63247.999999999993</v>
      </c>
      <c r="D158" s="19">
        <f t="shared" si="101"/>
        <v>63538</v>
      </c>
      <c r="E158" s="19">
        <f t="shared" si="101"/>
        <v>63828.999999999993</v>
      </c>
      <c r="F158" s="19">
        <f t="shared" si="101"/>
        <v>64121.000000000007</v>
      </c>
      <c r="G158" s="19">
        <f t="shared" si="101"/>
        <v>64413.999999999993</v>
      </c>
      <c r="H158" s="19">
        <f t="shared" si="101"/>
        <v>64709.000000000007</v>
      </c>
      <c r="I158" s="19">
        <f t="shared" si="101"/>
        <v>64993</v>
      </c>
      <c r="J158" s="19">
        <f t="shared" si="101"/>
        <v>65278.000000000015</v>
      </c>
      <c r="K158" s="19">
        <f t="shared" si="101"/>
        <v>65565</v>
      </c>
      <c r="L158" s="19">
        <f t="shared" si="101"/>
        <v>65852.000000000015</v>
      </c>
      <c r="M158" s="19">
        <f t="shared" si="101"/>
        <v>66157.048170269234</v>
      </c>
      <c r="N158" s="19">
        <f t="shared" si="101"/>
        <v>66480.956021204751</v>
      </c>
      <c r="O158" s="19">
        <f t="shared" si="101"/>
        <v>66822.944697288855</v>
      </c>
      <c r="P158" s="19">
        <f t="shared" si="101"/>
        <v>67183.972022624264</v>
      </c>
      <c r="Q158" s="19">
        <f t="shared" si="101"/>
        <v>67565.055813004365</v>
      </c>
      <c r="R158" s="19">
        <f t="shared" si="101"/>
        <v>67967.277653058583</v>
      </c>
      <c r="S158" s="19">
        <f t="shared" si="101"/>
        <v>68391.786913123768</v>
      </c>
      <c r="T158" s="19">
        <f t="shared" si="101"/>
        <v>68839.805021080756</v>
      </c>
      <c r="U158" s="19">
        <f t="shared" si="101"/>
        <v>69312.630005365398</v>
      </c>
      <c r="V158" s="19">
        <f t="shared" si="101"/>
        <v>69811.641326394092</v>
      </c>
      <c r="W158" s="305">
        <f t="shared" si="100"/>
        <v>4.8960444864751818E-3</v>
      </c>
    </row>
    <row r="159" spans="2:23" hidden="1" outlineLevel="1">
      <c r="P159" s="26"/>
    </row>
    <row r="160" spans="2:23" hidden="1" outlineLevel="1">
      <c r="B160" s="307" t="s">
        <v>82</v>
      </c>
      <c r="C160" s="13">
        <f t="shared" ref="C160:V160" si="102">0.1/100000</f>
        <v>9.9999999999999995E-7</v>
      </c>
      <c r="D160" s="13">
        <f t="shared" si="102"/>
        <v>9.9999999999999995E-7</v>
      </c>
      <c r="E160" s="13">
        <f t="shared" si="102"/>
        <v>9.9999999999999995E-7</v>
      </c>
      <c r="F160" s="13">
        <f t="shared" si="102"/>
        <v>9.9999999999999995E-7</v>
      </c>
      <c r="G160" s="13">
        <f t="shared" si="102"/>
        <v>9.9999999999999995E-7</v>
      </c>
      <c r="H160" s="13">
        <f t="shared" si="102"/>
        <v>9.9999999999999995E-7</v>
      </c>
      <c r="I160" s="13">
        <f t="shared" si="102"/>
        <v>9.9999999999999995E-7</v>
      </c>
      <c r="J160" s="13">
        <f t="shared" si="102"/>
        <v>9.9999999999999995E-7</v>
      </c>
      <c r="K160" s="13">
        <f t="shared" si="102"/>
        <v>9.9999999999999995E-7</v>
      </c>
      <c r="L160" s="13">
        <f t="shared" si="102"/>
        <v>9.9999999999999995E-7</v>
      </c>
      <c r="M160" s="13">
        <f t="shared" si="102"/>
        <v>9.9999999999999995E-7</v>
      </c>
      <c r="N160" s="13">
        <f t="shared" si="102"/>
        <v>9.9999999999999995E-7</v>
      </c>
      <c r="O160" s="13">
        <f t="shared" si="102"/>
        <v>9.9999999999999995E-7</v>
      </c>
      <c r="P160" s="13">
        <f t="shared" si="102"/>
        <v>9.9999999999999995E-7</v>
      </c>
      <c r="Q160" s="13">
        <f t="shared" si="102"/>
        <v>9.9999999999999995E-7</v>
      </c>
      <c r="R160" s="13">
        <f t="shared" si="102"/>
        <v>9.9999999999999995E-7</v>
      </c>
      <c r="S160" s="13">
        <f t="shared" si="102"/>
        <v>9.9999999999999995E-7</v>
      </c>
      <c r="T160" s="13">
        <f t="shared" si="102"/>
        <v>9.9999999999999995E-7</v>
      </c>
      <c r="U160" s="13">
        <f t="shared" si="102"/>
        <v>9.9999999999999995E-7</v>
      </c>
      <c r="V160" s="13">
        <f t="shared" si="102"/>
        <v>9.9999999999999995E-7</v>
      </c>
    </row>
    <row r="161" spans="2:22" hidden="1" outlineLevel="1">
      <c r="B161" s="307" t="s">
        <v>81</v>
      </c>
      <c r="C161" s="13">
        <f t="shared" ref="C161:V161" si="103">0.15/100000</f>
        <v>1.5E-6</v>
      </c>
      <c r="D161" s="13">
        <f t="shared" si="103"/>
        <v>1.5E-6</v>
      </c>
      <c r="E161" s="13">
        <f t="shared" si="103"/>
        <v>1.5E-6</v>
      </c>
      <c r="F161" s="13">
        <f t="shared" si="103"/>
        <v>1.5E-6</v>
      </c>
      <c r="G161" s="13">
        <f t="shared" si="103"/>
        <v>1.5E-6</v>
      </c>
      <c r="H161" s="13">
        <f t="shared" si="103"/>
        <v>1.5E-6</v>
      </c>
      <c r="I161" s="13">
        <f t="shared" si="103"/>
        <v>1.5E-6</v>
      </c>
      <c r="J161" s="13">
        <f t="shared" si="103"/>
        <v>1.5E-6</v>
      </c>
      <c r="K161" s="13">
        <f t="shared" si="103"/>
        <v>1.5E-6</v>
      </c>
      <c r="L161" s="13">
        <f t="shared" si="103"/>
        <v>1.5E-6</v>
      </c>
      <c r="M161" s="13">
        <f t="shared" si="103"/>
        <v>1.5E-6</v>
      </c>
      <c r="N161" s="13">
        <f t="shared" si="103"/>
        <v>1.5E-6</v>
      </c>
      <c r="O161" s="13">
        <f t="shared" si="103"/>
        <v>1.5E-6</v>
      </c>
      <c r="P161" s="13">
        <f t="shared" si="103"/>
        <v>1.5E-6</v>
      </c>
      <c r="Q161" s="13">
        <f t="shared" si="103"/>
        <v>1.5E-6</v>
      </c>
      <c r="R161" s="13">
        <f t="shared" si="103"/>
        <v>1.5E-6</v>
      </c>
      <c r="S161" s="13">
        <f t="shared" si="103"/>
        <v>1.5E-6</v>
      </c>
      <c r="T161" s="13">
        <f t="shared" si="103"/>
        <v>1.5E-6</v>
      </c>
      <c r="U161" s="13">
        <f t="shared" si="103"/>
        <v>1.5E-6</v>
      </c>
      <c r="V161" s="13">
        <f t="shared" si="103"/>
        <v>1.5E-6</v>
      </c>
    </row>
    <row r="162" spans="2:22" hidden="1" outlineLevel="1">
      <c r="B162" s="307" t="s">
        <v>80</v>
      </c>
      <c r="C162" s="13">
        <f t="shared" ref="C162:V162" si="104">0.25/100000</f>
        <v>2.5000000000000002E-6</v>
      </c>
      <c r="D162" s="13">
        <f t="shared" si="104"/>
        <v>2.5000000000000002E-6</v>
      </c>
      <c r="E162" s="13">
        <f t="shared" si="104"/>
        <v>2.5000000000000002E-6</v>
      </c>
      <c r="F162" s="13">
        <f t="shared" si="104"/>
        <v>2.5000000000000002E-6</v>
      </c>
      <c r="G162" s="13">
        <f t="shared" si="104"/>
        <v>2.5000000000000002E-6</v>
      </c>
      <c r="H162" s="13">
        <f t="shared" si="104"/>
        <v>2.5000000000000002E-6</v>
      </c>
      <c r="I162" s="13">
        <f t="shared" si="104"/>
        <v>2.5000000000000002E-6</v>
      </c>
      <c r="J162" s="13">
        <f t="shared" si="104"/>
        <v>2.5000000000000002E-6</v>
      </c>
      <c r="K162" s="13">
        <f t="shared" si="104"/>
        <v>2.5000000000000002E-6</v>
      </c>
      <c r="L162" s="13">
        <f t="shared" si="104"/>
        <v>2.5000000000000002E-6</v>
      </c>
      <c r="M162" s="13">
        <f t="shared" si="104"/>
        <v>2.5000000000000002E-6</v>
      </c>
      <c r="N162" s="13">
        <f t="shared" si="104"/>
        <v>2.5000000000000002E-6</v>
      </c>
      <c r="O162" s="13">
        <f t="shared" si="104"/>
        <v>2.5000000000000002E-6</v>
      </c>
      <c r="P162" s="13">
        <f t="shared" si="104"/>
        <v>2.5000000000000002E-6</v>
      </c>
      <c r="Q162" s="13">
        <f t="shared" si="104"/>
        <v>2.5000000000000002E-6</v>
      </c>
      <c r="R162" s="13">
        <f t="shared" si="104"/>
        <v>2.5000000000000002E-6</v>
      </c>
      <c r="S162" s="13">
        <f t="shared" si="104"/>
        <v>2.5000000000000002E-6</v>
      </c>
      <c r="T162" s="13">
        <f t="shared" si="104"/>
        <v>2.5000000000000002E-6</v>
      </c>
      <c r="U162" s="13">
        <f t="shared" si="104"/>
        <v>2.5000000000000002E-6</v>
      </c>
      <c r="V162" s="13">
        <f t="shared" si="104"/>
        <v>2.5000000000000002E-6</v>
      </c>
    </row>
    <row r="163" spans="2:22" hidden="1" outlineLevel="1">
      <c r="B163" s="307" t="s">
        <v>79</v>
      </c>
      <c r="C163" s="13">
        <f t="shared" ref="C163:V163" si="105">0.8/100000</f>
        <v>7.9999999999999996E-6</v>
      </c>
      <c r="D163" s="13">
        <f t="shared" si="105"/>
        <v>7.9999999999999996E-6</v>
      </c>
      <c r="E163" s="13">
        <f t="shared" si="105"/>
        <v>7.9999999999999996E-6</v>
      </c>
      <c r="F163" s="13">
        <f t="shared" si="105"/>
        <v>7.9999999999999996E-6</v>
      </c>
      <c r="G163" s="13">
        <f t="shared" si="105"/>
        <v>7.9999999999999996E-6</v>
      </c>
      <c r="H163" s="13">
        <f t="shared" si="105"/>
        <v>7.9999999999999996E-6</v>
      </c>
      <c r="I163" s="13">
        <f t="shared" si="105"/>
        <v>7.9999999999999996E-6</v>
      </c>
      <c r="J163" s="13">
        <f t="shared" si="105"/>
        <v>7.9999999999999996E-6</v>
      </c>
      <c r="K163" s="13">
        <f t="shared" si="105"/>
        <v>7.9999999999999996E-6</v>
      </c>
      <c r="L163" s="13">
        <f t="shared" si="105"/>
        <v>7.9999999999999996E-6</v>
      </c>
      <c r="M163" s="13">
        <f t="shared" si="105"/>
        <v>7.9999999999999996E-6</v>
      </c>
      <c r="N163" s="13">
        <f t="shared" si="105"/>
        <v>7.9999999999999996E-6</v>
      </c>
      <c r="O163" s="13">
        <f t="shared" si="105"/>
        <v>7.9999999999999996E-6</v>
      </c>
      <c r="P163" s="13">
        <f t="shared" si="105"/>
        <v>7.9999999999999996E-6</v>
      </c>
      <c r="Q163" s="13">
        <f t="shared" si="105"/>
        <v>7.9999999999999996E-6</v>
      </c>
      <c r="R163" s="13">
        <f t="shared" si="105"/>
        <v>7.9999999999999996E-6</v>
      </c>
      <c r="S163" s="13">
        <f t="shared" si="105"/>
        <v>7.9999999999999996E-6</v>
      </c>
      <c r="T163" s="13">
        <f t="shared" si="105"/>
        <v>7.9999999999999996E-6</v>
      </c>
      <c r="U163" s="13">
        <f t="shared" si="105"/>
        <v>7.9999999999999996E-6</v>
      </c>
      <c r="V163" s="13">
        <f t="shared" si="105"/>
        <v>7.9999999999999996E-6</v>
      </c>
    </row>
    <row r="164" spans="2:22" hidden="1" outlineLevel="1">
      <c r="B164" s="307" t="s">
        <v>78</v>
      </c>
      <c r="C164" s="13">
        <f t="shared" ref="C164:V164" si="106">1.7/100000</f>
        <v>1.7E-5</v>
      </c>
      <c r="D164" s="13">
        <f t="shared" si="106"/>
        <v>1.7E-5</v>
      </c>
      <c r="E164" s="13">
        <f t="shared" si="106"/>
        <v>1.7E-5</v>
      </c>
      <c r="F164" s="13">
        <f t="shared" si="106"/>
        <v>1.7E-5</v>
      </c>
      <c r="G164" s="13">
        <f t="shared" si="106"/>
        <v>1.7E-5</v>
      </c>
      <c r="H164" s="13">
        <f t="shared" si="106"/>
        <v>1.7E-5</v>
      </c>
      <c r="I164" s="13">
        <f t="shared" si="106"/>
        <v>1.7E-5</v>
      </c>
      <c r="J164" s="13">
        <f t="shared" si="106"/>
        <v>1.7E-5</v>
      </c>
      <c r="K164" s="13">
        <f t="shared" si="106"/>
        <v>1.7E-5</v>
      </c>
      <c r="L164" s="13">
        <f t="shared" si="106"/>
        <v>1.7E-5</v>
      </c>
      <c r="M164" s="13">
        <f t="shared" si="106"/>
        <v>1.7E-5</v>
      </c>
      <c r="N164" s="13">
        <f t="shared" si="106"/>
        <v>1.7E-5</v>
      </c>
      <c r="O164" s="13">
        <f t="shared" si="106"/>
        <v>1.7E-5</v>
      </c>
      <c r="P164" s="13">
        <f t="shared" si="106"/>
        <v>1.7E-5</v>
      </c>
      <c r="Q164" s="13">
        <f t="shared" si="106"/>
        <v>1.7E-5</v>
      </c>
      <c r="R164" s="13">
        <f t="shared" si="106"/>
        <v>1.7E-5</v>
      </c>
      <c r="S164" s="13">
        <f t="shared" si="106"/>
        <v>1.7E-5</v>
      </c>
      <c r="T164" s="13">
        <f t="shared" si="106"/>
        <v>1.7E-5</v>
      </c>
      <c r="U164" s="13">
        <f t="shared" si="106"/>
        <v>1.7E-5</v>
      </c>
      <c r="V164" s="13">
        <f t="shared" si="106"/>
        <v>1.7E-5</v>
      </c>
    </row>
    <row r="165" spans="2:22" hidden="1" outlineLevel="1">
      <c r="B165" s="307" t="s">
        <v>77</v>
      </c>
      <c r="C165" s="13">
        <f t="shared" ref="C165:V165" si="107">3.3/100000</f>
        <v>3.2999999999999996E-5</v>
      </c>
      <c r="D165" s="13">
        <f t="shared" si="107"/>
        <v>3.2999999999999996E-5</v>
      </c>
      <c r="E165" s="13">
        <f t="shared" si="107"/>
        <v>3.2999999999999996E-5</v>
      </c>
      <c r="F165" s="13">
        <f t="shared" si="107"/>
        <v>3.2999999999999996E-5</v>
      </c>
      <c r="G165" s="13">
        <f t="shared" si="107"/>
        <v>3.2999999999999996E-5</v>
      </c>
      <c r="H165" s="13">
        <f t="shared" si="107"/>
        <v>3.2999999999999996E-5</v>
      </c>
      <c r="I165" s="13">
        <f t="shared" si="107"/>
        <v>3.2999999999999996E-5</v>
      </c>
      <c r="J165" s="13">
        <f t="shared" si="107"/>
        <v>3.2999999999999996E-5</v>
      </c>
      <c r="K165" s="13">
        <f t="shared" si="107"/>
        <v>3.2999999999999996E-5</v>
      </c>
      <c r="L165" s="13">
        <f t="shared" si="107"/>
        <v>3.2999999999999996E-5</v>
      </c>
      <c r="M165" s="13">
        <f t="shared" si="107"/>
        <v>3.2999999999999996E-5</v>
      </c>
      <c r="N165" s="13">
        <f t="shared" si="107"/>
        <v>3.2999999999999996E-5</v>
      </c>
      <c r="O165" s="13">
        <f t="shared" si="107"/>
        <v>3.2999999999999996E-5</v>
      </c>
      <c r="P165" s="13">
        <f t="shared" si="107"/>
        <v>3.2999999999999996E-5</v>
      </c>
      <c r="Q165" s="13">
        <f t="shared" si="107"/>
        <v>3.2999999999999996E-5</v>
      </c>
      <c r="R165" s="13">
        <f t="shared" si="107"/>
        <v>3.2999999999999996E-5</v>
      </c>
      <c r="S165" s="13">
        <f t="shared" si="107"/>
        <v>3.2999999999999996E-5</v>
      </c>
      <c r="T165" s="13">
        <f t="shared" si="107"/>
        <v>3.2999999999999996E-5</v>
      </c>
      <c r="U165" s="13">
        <f t="shared" si="107"/>
        <v>3.2999999999999996E-5</v>
      </c>
      <c r="V165" s="13">
        <f t="shared" si="107"/>
        <v>3.2999999999999996E-5</v>
      </c>
    </row>
    <row r="166" spans="2:22" hidden="1" outlineLevel="1">
      <c r="B166" s="307" t="s">
        <v>76</v>
      </c>
      <c r="C166" s="13">
        <f t="shared" ref="C166:V166" si="108">6.4/100000</f>
        <v>6.3999999999999997E-5</v>
      </c>
      <c r="D166" s="13">
        <f t="shared" si="108"/>
        <v>6.3999999999999997E-5</v>
      </c>
      <c r="E166" s="13">
        <f t="shared" si="108"/>
        <v>6.3999999999999997E-5</v>
      </c>
      <c r="F166" s="13">
        <f t="shared" si="108"/>
        <v>6.3999999999999997E-5</v>
      </c>
      <c r="G166" s="13">
        <f t="shared" si="108"/>
        <v>6.3999999999999997E-5</v>
      </c>
      <c r="H166" s="13">
        <f t="shared" si="108"/>
        <v>6.3999999999999997E-5</v>
      </c>
      <c r="I166" s="13">
        <f t="shared" si="108"/>
        <v>6.3999999999999997E-5</v>
      </c>
      <c r="J166" s="13">
        <f t="shared" si="108"/>
        <v>6.3999999999999997E-5</v>
      </c>
      <c r="K166" s="13">
        <f t="shared" si="108"/>
        <v>6.3999999999999997E-5</v>
      </c>
      <c r="L166" s="13">
        <f t="shared" si="108"/>
        <v>6.3999999999999997E-5</v>
      </c>
      <c r="M166" s="13">
        <f t="shared" si="108"/>
        <v>6.3999999999999997E-5</v>
      </c>
      <c r="N166" s="13">
        <f t="shared" si="108"/>
        <v>6.3999999999999997E-5</v>
      </c>
      <c r="O166" s="13">
        <f t="shared" si="108"/>
        <v>6.3999999999999997E-5</v>
      </c>
      <c r="P166" s="13">
        <f t="shared" si="108"/>
        <v>6.3999999999999997E-5</v>
      </c>
      <c r="Q166" s="13">
        <f t="shared" si="108"/>
        <v>6.3999999999999997E-5</v>
      </c>
      <c r="R166" s="13">
        <f t="shared" si="108"/>
        <v>6.3999999999999997E-5</v>
      </c>
      <c r="S166" s="13">
        <f t="shared" si="108"/>
        <v>6.3999999999999997E-5</v>
      </c>
      <c r="T166" s="13">
        <f t="shared" si="108"/>
        <v>6.3999999999999997E-5</v>
      </c>
      <c r="U166" s="13">
        <f t="shared" si="108"/>
        <v>6.3999999999999997E-5</v>
      </c>
      <c r="V166" s="13">
        <f t="shared" si="108"/>
        <v>6.3999999999999997E-5</v>
      </c>
    </row>
    <row r="167" spans="2:22" hidden="1" outlineLevel="1">
      <c r="B167" s="307" t="s">
        <v>75</v>
      </c>
      <c r="C167" s="13">
        <f t="shared" ref="C167:V167" si="109">11.9/100000</f>
        <v>1.1900000000000001E-4</v>
      </c>
      <c r="D167" s="13">
        <f t="shared" si="109"/>
        <v>1.1900000000000001E-4</v>
      </c>
      <c r="E167" s="13">
        <f t="shared" si="109"/>
        <v>1.1900000000000001E-4</v>
      </c>
      <c r="F167" s="13">
        <f t="shared" si="109"/>
        <v>1.1900000000000001E-4</v>
      </c>
      <c r="G167" s="13">
        <f t="shared" si="109"/>
        <v>1.1900000000000001E-4</v>
      </c>
      <c r="H167" s="13">
        <f t="shared" si="109"/>
        <v>1.1900000000000001E-4</v>
      </c>
      <c r="I167" s="13">
        <f t="shared" si="109"/>
        <v>1.1900000000000001E-4</v>
      </c>
      <c r="J167" s="13">
        <f t="shared" si="109"/>
        <v>1.1900000000000001E-4</v>
      </c>
      <c r="K167" s="13">
        <f t="shared" si="109"/>
        <v>1.1900000000000001E-4</v>
      </c>
      <c r="L167" s="13">
        <f t="shared" si="109"/>
        <v>1.1900000000000001E-4</v>
      </c>
      <c r="M167" s="13">
        <f t="shared" si="109"/>
        <v>1.1900000000000001E-4</v>
      </c>
      <c r="N167" s="13">
        <f t="shared" si="109"/>
        <v>1.1900000000000001E-4</v>
      </c>
      <c r="O167" s="13">
        <f t="shared" si="109"/>
        <v>1.1900000000000001E-4</v>
      </c>
      <c r="P167" s="13">
        <f t="shared" si="109"/>
        <v>1.1900000000000001E-4</v>
      </c>
      <c r="Q167" s="13">
        <f t="shared" si="109"/>
        <v>1.1900000000000001E-4</v>
      </c>
      <c r="R167" s="13">
        <f t="shared" si="109"/>
        <v>1.1900000000000001E-4</v>
      </c>
      <c r="S167" s="13">
        <f t="shared" si="109"/>
        <v>1.1900000000000001E-4</v>
      </c>
      <c r="T167" s="13">
        <f t="shared" si="109"/>
        <v>1.1900000000000001E-4</v>
      </c>
      <c r="U167" s="13">
        <f t="shared" si="109"/>
        <v>1.1900000000000001E-4</v>
      </c>
      <c r="V167" s="13">
        <f t="shared" si="109"/>
        <v>1.1900000000000001E-4</v>
      </c>
    </row>
    <row r="168" spans="2:22" hidden="1" outlineLevel="1">
      <c r="B168" s="307" t="s">
        <v>74</v>
      </c>
      <c r="C168" s="13">
        <f t="shared" ref="C168:V168" si="110">20.1/100000</f>
        <v>2.0100000000000001E-4</v>
      </c>
      <c r="D168" s="13">
        <f t="shared" si="110"/>
        <v>2.0100000000000001E-4</v>
      </c>
      <c r="E168" s="13">
        <f t="shared" si="110"/>
        <v>2.0100000000000001E-4</v>
      </c>
      <c r="F168" s="13">
        <f t="shared" si="110"/>
        <v>2.0100000000000001E-4</v>
      </c>
      <c r="G168" s="13">
        <f t="shared" si="110"/>
        <v>2.0100000000000001E-4</v>
      </c>
      <c r="H168" s="13">
        <f t="shared" si="110"/>
        <v>2.0100000000000001E-4</v>
      </c>
      <c r="I168" s="13">
        <f t="shared" si="110"/>
        <v>2.0100000000000001E-4</v>
      </c>
      <c r="J168" s="13">
        <f t="shared" si="110"/>
        <v>2.0100000000000001E-4</v>
      </c>
      <c r="K168" s="13">
        <f t="shared" si="110"/>
        <v>2.0100000000000001E-4</v>
      </c>
      <c r="L168" s="13">
        <f t="shared" si="110"/>
        <v>2.0100000000000001E-4</v>
      </c>
      <c r="M168" s="13">
        <f t="shared" si="110"/>
        <v>2.0100000000000001E-4</v>
      </c>
      <c r="N168" s="13">
        <f t="shared" si="110"/>
        <v>2.0100000000000001E-4</v>
      </c>
      <c r="O168" s="13">
        <f t="shared" si="110"/>
        <v>2.0100000000000001E-4</v>
      </c>
      <c r="P168" s="13">
        <f t="shared" si="110"/>
        <v>2.0100000000000001E-4</v>
      </c>
      <c r="Q168" s="13">
        <f t="shared" si="110"/>
        <v>2.0100000000000001E-4</v>
      </c>
      <c r="R168" s="13">
        <f t="shared" si="110"/>
        <v>2.0100000000000001E-4</v>
      </c>
      <c r="S168" s="13">
        <f t="shared" si="110"/>
        <v>2.0100000000000001E-4</v>
      </c>
      <c r="T168" s="13">
        <f t="shared" si="110"/>
        <v>2.0100000000000001E-4</v>
      </c>
      <c r="U168" s="13">
        <f t="shared" si="110"/>
        <v>2.0100000000000001E-4</v>
      </c>
      <c r="V168" s="13">
        <f t="shared" si="110"/>
        <v>2.0100000000000001E-4</v>
      </c>
    </row>
    <row r="169" spans="2:22" hidden="1" outlineLevel="1">
      <c r="B169" s="307" t="s">
        <v>73</v>
      </c>
      <c r="C169" s="13">
        <f t="shared" ref="C169:V169" si="111">32.1/100000</f>
        <v>3.21E-4</v>
      </c>
      <c r="D169" s="13">
        <f t="shared" si="111"/>
        <v>3.21E-4</v>
      </c>
      <c r="E169" s="13">
        <f t="shared" si="111"/>
        <v>3.21E-4</v>
      </c>
      <c r="F169" s="13">
        <f t="shared" si="111"/>
        <v>3.21E-4</v>
      </c>
      <c r="G169" s="13">
        <f t="shared" si="111"/>
        <v>3.21E-4</v>
      </c>
      <c r="H169" s="13">
        <f t="shared" si="111"/>
        <v>3.21E-4</v>
      </c>
      <c r="I169" s="13">
        <f t="shared" si="111"/>
        <v>3.21E-4</v>
      </c>
      <c r="J169" s="13">
        <f t="shared" si="111"/>
        <v>3.21E-4</v>
      </c>
      <c r="K169" s="13">
        <f t="shared" si="111"/>
        <v>3.21E-4</v>
      </c>
      <c r="L169" s="13">
        <f t="shared" si="111"/>
        <v>3.21E-4</v>
      </c>
      <c r="M169" s="13">
        <f t="shared" si="111"/>
        <v>3.21E-4</v>
      </c>
      <c r="N169" s="13">
        <f t="shared" si="111"/>
        <v>3.21E-4</v>
      </c>
      <c r="O169" s="13">
        <f t="shared" si="111"/>
        <v>3.21E-4</v>
      </c>
      <c r="P169" s="13">
        <f t="shared" si="111"/>
        <v>3.21E-4</v>
      </c>
      <c r="Q169" s="13">
        <f t="shared" si="111"/>
        <v>3.21E-4</v>
      </c>
      <c r="R169" s="13">
        <f t="shared" si="111"/>
        <v>3.21E-4</v>
      </c>
      <c r="S169" s="13">
        <f t="shared" si="111"/>
        <v>3.21E-4</v>
      </c>
      <c r="T169" s="13">
        <f t="shared" si="111"/>
        <v>3.21E-4</v>
      </c>
      <c r="U169" s="13">
        <f t="shared" si="111"/>
        <v>3.21E-4</v>
      </c>
      <c r="V169" s="13">
        <f t="shared" si="111"/>
        <v>3.21E-4</v>
      </c>
    </row>
    <row r="170" spans="2:22" hidden="1" outlineLevel="1">
      <c r="B170" s="307" t="s">
        <v>72</v>
      </c>
      <c r="C170" s="13">
        <f t="shared" ref="C170:V170" si="112">44.5/100000</f>
        <v>4.4499999999999997E-4</v>
      </c>
      <c r="D170" s="13">
        <f t="shared" si="112"/>
        <v>4.4499999999999997E-4</v>
      </c>
      <c r="E170" s="13">
        <f t="shared" si="112"/>
        <v>4.4499999999999997E-4</v>
      </c>
      <c r="F170" s="13">
        <f t="shared" si="112"/>
        <v>4.4499999999999997E-4</v>
      </c>
      <c r="G170" s="13">
        <f t="shared" si="112"/>
        <v>4.4499999999999997E-4</v>
      </c>
      <c r="H170" s="13">
        <f t="shared" si="112"/>
        <v>4.4499999999999997E-4</v>
      </c>
      <c r="I170" s="13">
        <f t="shared" si="112"/>
        <v>4.4499999999999997E-4</v>
      </c>
      <c r="J170" s="13">
        <f t="shared" si="112"/>
        <v>4.4499999999999997E-4</v>
      </c>
      <c r="K170" s="13">
        <f t="shared" si="112"/>
        <v>4.4499999999999997E-4</v>
      </c>
      <c r="L170" s="13">
        <f t="shared" si="112"/>
        <v>4.4499999999999997E-4</v>
      </c>
      <c r="M170" s="13">
        <f t="shared" si="112"/>
        <v>4.4499999999999997E-4</v>
      </c>
      <c r="N170" s="13">
        <f t="shared" si="112"/>
        <v>4.4499999999999997E-4</v>
      </c>
      <c r="O170" s="13">
        <f t="shared" si="112"/>
        <v>4.4499999999999997E-4</v>
      </c>
      <c r="P170" s="13">
        <f t="shared" si="112"/>
        <v>4.4499999999999997E-4</v>
      </c>
      <c r="Q170" s="13">
        <f t="shared" si="112"/>
        <v>4.4499999999999997E-4</v>
      </c>
      <c r="R170" s="13">
        <f t="shared" si="112"/>
        <v>4.4499999999999997E-4</v>
      </c>
      <c r="S170" s="13">
        <f t="shared" si="112"/>
        <v>4.4499999999999997E-4</v>
      </c>
      <c r="T170" s="13">
        <f t="shared" si="112"/>
        <v>4.4499999999999997E-4</v>
      </c>
      <c r="U170" s="13">
        <f t="shared" si="112"/>
        <v>4.4499999999999997E-4</v>
      </c>
      <c r="V170" s="13">
        <f t="shared" si="112"/>
        <v>4.4499999999999997E-4</v>
      </c>
    </row>
    <row r="171" spans="2:22" hidden="1" outlineLevel="1">
      <c r="B171" s="308" t="s">
        <v>71</v>
      </c>
      <c r="C171" s="13">
        <f t="shared" ref="C171:V171" si="113">49.7/100000</f>
        <v>4.9700000000000005E-4</v>
      </c>
      <c r="D171" s="13">
        <f t="shared" si="113"/>
        <v>4.9700000000000005E-4</v>
      </c>
      <c r="E171" s="13">
        <f t="shared" si="113"/>
        <v>4.9700000000000005E-4</v>
      </c>
      <c r="F171" s="13">
        <f t="shared" si="113"/>
        <v>4.9700000000000005E-4</v>
      </c>
      <c r="G171" s="13">
        <f t="shared" si="113"/>
        <v>4.9700000000000005E-4</v>
      </c>
      <c r="H171" s="13">
        <f t="shared" si="113"/>
        <v>4.9700000000000005E-4</v>
      </c>
      <c r="I171" s="13">
        <f t="shared" si="113"/>
        <v>4.9700000000000005E-4</v>
      </c>
      <c r="J171" s="13">
        <f t="shared" si="113"/>
        <v>4.9700000000000005E-4</v>
      </c>
      <c r="K171" s="13">
        <f t="shared" si="113"/>
        <v>4.9700000000000005E-4</v>
      </c>
      <c r="L171" s="13">
        <f t="shared" si="113"/>
        <v>4.9700000000000005E-4</v>
      </c>
      <c r="M171" s="13">
        <f t="shared" si="113"/>
        <v>4.9700000000000005E-4</v>
      </c>
      <c r="N171" s="13">
        <f t="shared" si="113"/>
        <v>4.9700000000000005E-4</v>
      </c>
      <c r="O171" s="13">
        <f t="shared" si="113"/>
        <v>4.9700000000000005E-4</v>
      </c>
      <c r="P171" s="13">
        <f t="shared" si="113"/>
        <v>4.9700000000000005E-4</v>
      </c>
      <c r="Q171" s="13">
        <f t="shared" si="113"/>
        <v>4.9700000000000005E-4</v>
      </c>
      <c r="R171" s="13">
        <f t="shared" si="113"/>
        <v>4.9700000000000005E-4</v>
      </c>
      <c r="S171" s="13">
        <f t="shared" si="113"/>
        <v>4.9700000000000005E-4</v>
      </c>
      <c r="T171" s="13">
        <f t="shared" si="113"/>
        <v>4.9700000000000005E-4</v>
      </c>
      <c r="U171" s="13">
        <f t="shared" si="113"/>
        <v>4.9700000000000005E-4</v>
      </c>
      <c r="V171" s="13">
        <f t="shared" si="113"/>
        <v>4.9700000000000005E-4</v>
      </c>
    </row>
    <row r="172" spans="2:22" hidden="1" outlineLevel="1"/>
    <row r="173" spans="2:22" hidden="1" outlineLevel="1">
      <c r="B173" s="309" t="s">
        <v>83</v>
      </c>
    </row>
    <row r="174" spans="2:22" hidden="1" outlineLevel="1">
      <c r="B174" s="307" t="s">
        <v>82</v>
      </c>
      <c r="C174" s="5">
        <f t="shared" ref="C174:V174" si="114">C160*C146*1000</f>
        <v>15.554408474092053</v>
      </c>
      <c r="D174" s="5">
        <f t="shared" si="114"/>
        <v>15.587378170934953</v>
      </c>
      <c r="E174" s="5">
        <f t="shared" si="114"/>
        <v>15.620628104823288</v>
      </c>
      <c r="F174" s="5">
        <f t="shared" si="114"/>
        <v>15.654155970569759</v>
      </c>
      <c r="G174" s="5">
        <f t="shared" si="114"/>
        <v>15.687959508673664</v>
      </c>
      <c r="H174" s="5">
        <f t="shared" si="114"/>
        <v>15.72833901028125</v>
      </c>
      <c r="I174" s="5">
        <f t="shared" si="114"/>
        <v>15.76603940520685</v>
      </c>
      <c r="J174" s="5">
        <f t="shared" si="114"/>
        <v>15.803981835087262</v>
      </c>
      <c r="K174" s="5">
        <f t="shared" si="114"/>
        <v>15.842406508689548</v>
      </c>
      <c r="L174" s="5">
        <f t="shared" si="114"/>
        <v>15.880828302601586</v>
      </c>
      <c r="M174" s="5">
        <f t="shared" si="114"/>
        <v>15.919417582666062</v>
      </c>
      <c r="N174" s="5">
        <f t="shared" si="114"/>
        <v>15.958174950637709</v>
      </c>
      <c r="O174" s="5">
        <f t="shared" si="114"/>
        <v>15.997026677185243</v>
      </c>
      <c r="P174" s="5">
        <f t="shared" si="114"/>
        <v>16.035972992033784</v>
      </c>
      <c r="Q174" s="5">
        <f t="shared" si="114"/>
        <v>16.075014125467732</v>
      </c>
      <c r="R174" s="5">
        <f t="shared" si="114"/>
        <v>16.114150308332142</v>
      </c>
      <c r="S174" s="5">
        <f t="shared" si="114"/>
        <v>16.153381772034088</v>
      </c>
      <c r="T174" s="5">
        <f t="shared" si="114"/>
        <v>16.19270874854401</v>
      </c>
      <c r="U174" s="5">
        <f t="shared" si="114"/>
        <v>16.232131470397125</v>
      </c>
      <c r="V174" s="5">
        <f t="shared" si="114"/>
        <v>16.271650170694759</v>
      </c>
    </row>
    <row r="175" spans="2:22" hidden="1" outlineLevel="1">
      <c r="B175" s="307" t="s">
        <v>81</v>
      </c>
      <c r="C175" s="5">
        <f t="shared" ref="C175:V175" si="115">C161*C147*1000</f>
        <v>11.933839176707815</v>
      </c>
      <c r="D175" s="5">
        <f t="shared" si="115"/>
        <v>11.901492250548975</v>
      </c>
      <c r="E175" s="5">
        <f t="shared" si="115"/>
        <v>11.869411901884124</v>
      </c>
      <c r="F175" s="5">
        <f t="shared" si="115"/>
        <v>11.837592897195252</v>
      </c>
      <c r="G175" s="5">
        <f t="shared" si="115"/>
        <v>11.806030106687643</v>
      </c>
      <c r="H175" s="5">
        <f t="shared" si="115"/>
        <v>11.758064221979632</v>
      </c>
      <c r="I175" s="5">
        <f t="shared" si="115"/>
        <v>11.708081994960077</v>
      </c>
      <c r="J175" s="5">
        <f t="shared" si="115"/>
        <v>11.65827814247627</v>
      </c>
      <c r="K175" s="5">
        <f t="shared" si="115"/>
        <v>11.608825117568017</v>
      </c>
      <c r="L175" s="5">
        <f t="shared" si="115"/>
        <v>11.559362755134515</v>
      </c>
      <c r="M175" s="5">
        <f t="shared" si="115"/>
        <v>11.510346657108446</v>
      </c>
      <c r="N175" s="5">
        <f t="shared" si="115"/>
        <v>11.461772930459558</v>
      </c>
      <c r="O175" s="5">
        <f t="shared" si="115"/>
        <v>11.413404185206181</v>
      </c>
      <c r="P175" s="5">
        <f t="shared" si="115"/>
        <v>11.365239556325687</v>
      </c>
      <c r="Q175" s="5">
        <f t="shared" si="115"/>
        <v>11.31727818244585</v>
      </c>
      <c r="R175" s="5">
        <f t="shared" si="115"/>
        <v>11.269519205829447</v>
      </c>
      <c r="S175" s="5">
        <f t="shared" si="115"/>
        <v>11.221961772358902</v>
      </c>
      <c r="T175" s="5">
        <f t="shared" si="115"/>
        <v>11.174605031521022</v>
      </c>
      <c r="U175" s="5">
        <f t="shared" si="115"/>
        <v>11.12744813639179</v>
      </c>
      <c r="V175" s="5">
        <f t="shared" si="115"/>
        <v>11.080490243621202</v>
      </c>
    </row>
    <row r="176" spans="2:22" hidden="1" outlineLevel="1">
      <c r="B176" s="307" t="s">
        <v>80</v>
      </c>
      <c r="C176" s="5">
        <f t="shared" ref="C176:V176" si="116">C162*C148*1000</f>
        <v>20.322806598885521</v>
      </c>
      <c r="D176" s="5">
        <f t="shared" si="116"/>
        <v>20.180633421873242</v>
      </c>
      <c r="E176" s="5">
        <f t="shared" si="116"/>
        <v>20.038992129222944</v>
      </c>
      <c r="F176" s="5">
        <f t="shared" si="116"/>
        <v>19.897868573599517</v>
      </c>
      <c r="G176" s="5">
        <f t="shared" si="116"/>
        <v>19.757248888054431</v>
      </c>
      <c r="H176" s="5">
        <f t="shared" si="116"/>
        <v>19.907911157451281</v>
      </c>
      <c r="I176" s="5">
        <f t="shared" si="116"/>
        <v>20.055199606270179</v>
      </c>
      <c r="J176" s="5">
        <f t="shared" si="116"/>
        <v>20.202797673311697</v>
      </c>
      <c r="K176" s="5">
        <f t="shared" si="116"/>
        <v>20.351018469240881</v>
      </c>
      <c r="L176" s="5">
        <f t="shared" si="116"/>
        <v>20.499244772354359</v>
      </c>
      <c r="M176" s="5">
        <f t="shared" si="116"/>
        <v>20.648692704884962</v>
      </c>
      <c r="N176" s="5">
        <f t="shared" si="116"/>
        <v>20.799373238215896</v>
      </c>
      <c r="O176" s="5">
        <f t="shared" si="116"/>
        <v>20.951153338645309</v>
      </c>
      <c r="P176" s="5">
        <f t="shared" si="116"/>
        <v>21.104041030088286</v>
      </c>
      <c r="Q176" s="5">
        <f t="shared" si="116"/>
        <v>21.25804439501314</v>
      </c>
      <c r="R176" s="5">
        <f t="shared" si="116"/>
        <v>21.413171574868716</v>
      </c>
      <c r="S176" s="5">
        <f t="shared" si="116"/>
        <v>21.569430770514781</v>
      </c>
      <c r="T176" s="5">
        <f t="shared" si="116"/>
        <v>21.726830242655549</v>
      </c>
      <c r="U176" s="5">
        <f t="shared" si="116"/>
        <v>21.885378312276412</v>
      </c>
      <c r="V176" s="5">
        <f t="shared" si="116"/>
        <v>22.045083361083833</v>
      </c>
    </row>
    <row r="177" spans="2:22" hidden="1" outlineLevel="1">
      <c r="B177" s="307" t="s">
        <v>79</v>
      </c>
      <c r="C177" s="5">
        <f t="shared" ref="C177:V177" si="117">C163*C149*1000</f>
        <v>69.974366481278153</v>
      </c>
      <c r="D177" s="5">
        <f t="shared" si="117"/>
        <v>69.935131297411004</v>
      </c>
      <c r="E177" s="5">
        <f t="shared" si="117"/>
        <v>69.897324611029219</v>
      </c>
      <c r="F177" s="5">
        <f t="shared" si="117"/>
        <v>69.86092477778854</v>
      </c>
      <c r="G177" s="5">
        <f t="shared" si="117"/>
        <v>69.825910582314904</v>
      </c>
      <c r="H177" s="5">
        <f t="shared" si="117"/>
        <v>69.120135073032614</v>
      </c>
      <c r="I177" s="5">
        <f t="shared" si="117"/>
        <v>68.402433132007161</v>
      </c>
      <c r="J177" s="5">
        <f t="shared" si="117"/>
        <v>67.68576586699308</v>
      </c>
      <c r="K177" s="5">
        <f t="shared" si="117"/>
        <v>66.971108436380817</v>
      </c>
      <c r="L177" s="5">
        <f t="shared" si="117"/>
        <v>66.256357153253319</v>
      </c>
      <c r="M177" s="5">
        <f t="shared" si="117"/>
        <v>65.558456032079405</v>
      </c>
      <c r="N177" s="5">
        <f t="shared" si="117"/>
        <v>64.877019142580295</v>
      </c>
      <c r="O177" s="5">
        <f t="shared" si="117"/>
        <v>64.202665339878436</v>
      </c>
      <c r="P177" s="5">
        <f t="shared" si="117"/>
        <v>63.535320999960618</v>
      </c>
      <c r="Q177" s="5">
        <f t="shared" si="117"/>
        <v>62.874913264086615</v>
      </c>
      <c r="R177" s="5">
        <f t="shared" si="117"/>
        <v>62.221370030834734</v>
      </c>
      <c r="S177" s="5">
        <f t="shared" si="117"/>
        <v>61.574619948230016</v>
      </c>
      <c r="T177" s="5">
        <f t="shared" si="117"/>
        <v>60.934592405954149</v>
      </c>
      <c r="U177" s="5">
        <f t="shared" si="117"/>
        <v>60.301217527636524</v>
      </c>
      <c r="V177" s="5">
        <f t="shared" si="117"/>
        <v>59.674426163225263</v>
      </c>
    </row>
    <row r="178" spans="2:22" hidden="1" outlineLevel="1">
      <c r="B178" s="307" t="s">
        <v>78</v>
      </c>
      <c r="C178" s="5">
        <f t="shared" ref="C178:V178" si="118">C164*C150*1000</f>
        <v>71.487132949149753</v>
      </c>
      <c r="D178" s="5">
        <f t="shared" si="118"/>
        <v>71.952982900208283</v>
      </c>
      <c r="E178" s="5">
        <f t="shared" si="118"/>
        <v>72.419839589483416</v>
      </c>
      <c r="F178" s="5">
        <f t="shared" si="118"/>
        <v>72.887711316570659</v>
      </c>
      <c r="G178" s="5">
        <f t="shared" si="118"/>
        <v>73.356606216575443</v>
      </c>
      <c r="H178" s="5">
        <f t="shared" si="118"/>
        <v>73.345113788564959</v>
      </c>
      <c r="I178" s="5">
        <f t="shared" si="118"/>
        <v>73.321093470541356</v>
      </c>
      <c r="J178" s="5">
        <f t="shared" si="118"/>
        <v>73.298195266355506</v>
      </c>
      <c r="K178" s="5">
        <f t="shared" si="118"/>
        <v>73.277521126008722</v>
      </c>
      <c r="L178" s="5">
        <f t="shared" si="118"/>
        <v>73.256815189586518</v>
      </c>
      <c r="M178" s="5">
        <f t="shared" si="118"/>
        <v>73.236148866209845</v>
      </c>
      <c r="N178" s="5">
        <f t="shared" si="118"/>
        <v>73.215522126544869</v>
      </c>
      <c r="O178" s="5">
        <f t="shared" si="118"/>
        <v>73.194901196338691</v>
      </c>
      <c r="P178" s="5">
        <f t="shared" si="118"/>
        <v>73.174286073955088</v>
      </c>
      <c r="Q178" s="5">
        <f t="shared" si="118"/>
        <v>73.153676757758305</v>
      </c>
      <c r="R178" s="5">
        <f t="shared" si="118"/>
        <v>73.133073246113057</v>
      </c>
      <c r="S178" s="5">
        <f t="shared" si="118"/>
        <v>73.112475537384498</v>
      </c>
      <c r="T178" s="5">
        <f t="shared" si="118"/>
        <v>73.091883629938266</v>
      </c>
      <c r="U178" s="5">
        <f t="shared" si="118"/>
        <v>73.071297522140441</v>
      </c>
      <c r="V178" s="5">
        <f t="shared" si="118"/>
        <v>73.050717212357583</v>
      </c>
    </row>
    <row r="179" spans="2:22" hidden="1" outlineLevel="1">
      <c r="B179" s="307" t="s">
        <v>77</v>
      </c>
      <c r="C179" s="5">
        <f t="shared" ref="C179:V179" si="119">C165*C151*1000</f>
        <v>134.77278252342583</v>
      </c>
      <c r="D179" s="5">
        <f t="shared" si="119"/>
        <v>134.70137235612683</v>
      </c>
      <c r="E179" s="5">
        <f t="shared" si="119"/>
        <v>134.63270979890271</v>
      </c>
      <c r="F179" s="5">
        <f t="shared" si="119"/>
        <v>134.56675341402004</v>
      </c>
      <c r="G179" s="5">
        <f t="shared" si="119"/>
        <v>134.50346258500142</v>
      </c>
      <c r="H179" s="5">
        <f t="shared" si="119"/>
        <v>135.53085988470374</v>
      </c>
      <c r="I179" s="5">
        <f t="shared" si="119"/>
        <v>136.53528888156364</v>
      </c>
      <c r="J179" s="5">
        <f t="shared" si="119"/>
        <v>137.54182578102277</v>
      </c>
      <c r="K179" s="5">
        <f t="shared" si="119"/>
        <v>138.55260236125665</v>
      </c>
      <c r="L179" s="5">
        <f t="shared" si="119"/>
        <v>139.56341659055738</v>
      </c>
      <c r="M179" s="5">
        <f t="shared" si="119"/>
        <v>140.58169874191765</v>
      </c>
      <c r="N179" s="5">
        <f t="shared" si="119"/>
        <v>141.60750466702422</v>
      </c>
      <c r="O179" s="5">
        <f t="shared" si="119"/>
        <v>142.64079576129151</v>
      </c>
      <c r="P179" s="5">
        <f t="shared" si="119"/>
        <v>143.68162664300161</v>
      </c>
      <c r="Q179" s="5">
        <f t="shared" si="119"/>
        <v>144.73005232897887</v>
      </c>
      <c r="R179" s="5">
        <f t="shared" si="119"/>
        <v>145.78612823749813</v>
      </c>
      <c r="S179" s="5">
        <f t="shared" si="119"/>
        <v>146.84991019121401</v>
      </c>
      <c r="T179" s="5">
        <f t="shared" si="119"/>
        <v>147.92145442011159</v>
      </c>
      <c r="U179" s="5">
        <f t="shared" si="119"/>
        <v>149.00081756447861</v>
      </c>
      <c r="V179" s="5">
        <f t="shared" si="119"/>
        <v>150.08805667789952</v>
      </c>
    </row>
    <row r="180" spans="2:22" hidden="1" outlineLevel="1">
      <c r="B180" s="307" t="s">
        <v>76</v>
      </c>
      <c r="C180" s="5">
        <f t="shared" ref="C180:V180" si="120">C166*C152*1000</f>
        <v>244.01230095558836</v>
      </c>
      <c r="D180" s="5">
        <f t="shared" si="120"/>
        <v>246.11474325977088</v>
      </c>
      <c r="E180" s="5">
        <f t="shared" si="120"/>
        <v>248.22016357996279</v>
      </c>
      <c r="F180" s="5">
        <f t="shared" si="120"/>
        <v>250.3286210416945</v>
      </c>
      <c r="G180" s="5">
        <f t="shared" si="120"/>
        <v>252.44017359868548</v>
      </c>
      <c r="H180" s="5">
        <f t="shared" si="120"/>
        <v>252.6279145640849</v>
      </c>
      <c r="I180" s="5">
        <f t="shared" si="120"/>
        <v>252.77254412468503</v>
      </c>
      <c r="J180" s="5">
        <f t="shared" si="120"/>
        <v>252.92104612165267</v>
      </c>
      <c r="K180" s="5">
        <f t="shared" si="120"/>
        <v>253.07723679264498</v>
      </c>
      <c r="L180" s="5">
        <f t="shared" si="120"/>
        <v>253.23333884466638</v>
      </c>
      <c r="M180" s="5">
        <f t="shared" si="120"/>
        <v>253.38999043639137</v>
      </c>
      <c r="N180" s="5">
        <f t="shared" si="120"/>
        <v>253.5471924089141</v>
      </c>
      <c r="O180" s="5">
        <f t="shared" si="120"/>
        <v>253.70449190881013</v>
      </c>
      <c r="P180" s="5">
        <f t="shared" si="120"/>
        <v>253.86188899658478</v>
      </c>
      <c r="Q180" s="5">
        <f t="shared" si="120"/>
        <v>254.01938373278134</v>
      </c>
      <c r="R180" s="5">
        <f t="shared" si="120"/>
        <v>254.17697617798024</v>
      </c>
      <c r="S180" s="5">
        <f t="shared" si="120"/>
        <v>254.33466639279985</v>
      </c>
      <c r="T180" s="5">
        <f t="shared" si="120"/>
        <v>254.49245443789593</v>
      </c>
      <c r="U180" s="5">
        <f t="shared" si="120"/>
        <v>254.65034037396188</v>
      </c>
      <c r="V180" s="5">
        <f t="shared" si="120"/>
        <v>254.8083242617289</v>
      </c>
    </row>
    <row r="181" spans="2:22" hidden="1" outlineLevel="1">
      <c r="B181" s="307" t="s">
        <v>75</v>
      </c>
      <c r="C181" s="5">
        <f t="shared" ref="C181:V181" si="121">C167*C153*1000</f>
        <v>328.04032467294559</v>
      </c>
      <c r="D181" s="5">
        <f t="shared" si="121"/>
        <v>353.19046951841051</v>
      </c>
      <c r="E181" s="5">
        <f t="shared" si="121"/>
        <v>378.32464561075523</v>
      </c>
      <c r="F181" s="5">
        <f t="shared" si="121"/>
        <v>403.44427432327916</v>
      </c>
      <c r="G181" s="5">
        <f t="shared" si="121"/>
        <v>428.55074885903008</v>
      </c>
      <c r="H181" s="5">
        <f t="shared" si="121"/>
        <v>432.88147274022344</v>
      </c>
      <c r="I181" s="5">
        <f t="shared" si="121"/>
        <v>437.13901803648224</v>
      </c>
      <c r="J181" s="5">
        <f t="shared" si="121"/>
        <v>441.40333033327494</v>
      </c>
      <c r="K181" s="5">
        <f t="shared" si="121"/>
        <v>445.68131406016744</v>
      </c>
      <c r="L181" s="5">
        <f t="shared" si="121"/>
        <v>449.95951449700431</v>
      </c>
      <c r="M181" s="5">
        <f t="shared" si="121"/>
        <v>454.28103881420941</v>
      </c>
      <c r="N181" s="5">
        <f t="shared" si="121"/>
        <v>458.64634563877132</v>
      </c>
      <c r="O181" s="5">
        <f t="shared" si="121"/>
        <v>463.05359985282223</v>
      </c>
      <c r="P181" s="5">
        <f t="shared" si="121"/>
        <v>467.503204539938</v>
      </c>
      <c r="Q181" s="5">
        <f t="shared" si="121"/>
        <v>471.99556665703142</v>
      </c>
      <c r="R181" s="5">
        <f t="shared" si="121"/>
        <v>476.53109707157199</v>
      </c>
      <c r="S181" s="5">
        <f t="shared" si="121"/>
        <v>481.11021059916362</v>
      </c>
      <c r="T181" s="5">
        <f t="shared" si="121"/>
        <v>485.73332604148328</v>
      </c>
      <c r="U181" s="5">
        <f t="shared" si="121"/>
        <v>490.40086622458409</v>
      </c>
      <c r="V181" s="5">
        <f t="shared" si="121"/>
        <v>495.11325803756654</v>
      </c>
    </row>
    <row r="182" spans="2:22" hidden="1" outlineLevel="1">
      <c r="B182" s="307" t="s">
        <v>74</v>
      </c>
      <c r="C182" s="5">
        <f t="shared" ref="C182:V182" si="122">C168*C154*1000</f>
        <v>480.46661625373133</v>
      </c>
      <c r="D182" s="5">
        <f t="shared" si="122"/>
        <v>479.49901866541222</v>
      </c>
      <c r="E182" s="5">
        <f t="shared" si="122"/>
        <v>478.54185425540999</v>
      </c>
      <c r="F182" s="5">
        <f t="shared" si="122"/>
        <v>477.59493243779957</v>
      </c>
      <c r="G182" s="5">
        <f t="shared" si="122"/>
        <v>476.6580664038861</v>
      </c>
      <c r="H182" s="5">
        <f t="shared" si="122"/>
        <v>517.40389048027885</v>
      </c>
      <c r="I182" s="5">
        <f t="shared" si="122"/>
        <v>558.06839965393135</v>
      </c>
      <c r="J182" s="5">
        <f t="shared" si="122"/>
        <v>598.74216407094173</v>
      </c>
      <c r="K182" s="5">
        <f t="shared" si="122"/>
        <v>639.43667693975362</v>
      </c>
      <c r="L182" s="5">
        <f t="shared" si="122"/>
        <v>680.13471882483248</v>
      </c>
      <c r="M182" s="5">
        <f t="shared" si="122"/>
        <v>723.42334017917733</v>
      </c>
      <c r="N182" s="5">
        <f t="shared" si="122"/>
        <v>769.46745890898114</v>
      </c>
      <c r="O182" s="5">
        <f t="shared" si="122"/>
        <v>818.44217270236027</v>
      </c>
      <c r="P182" s="5">
        <f t="shared" si="122"/>
        <v>870.53400673698297</v>
      </c>
      <c r="Q182" s="5">
        <f t="shared" si="122"/>
        <v>925.94135805993267</v>
      </c>
      <c r="R182" s="5">
        <f t="shared" si="122"/>
        <v>984.87525120303724</v>
      </c>
      <c r="S182" s="5">
        <f t="shared" si="122"/>
        <v>1047.5601418912561</v>
      </c>
      <c r="T182" s="5">
        <f t="shared" si="122"/>
        <v>1114.2347719051352</v>
      </c>
      <c r="U182" s="5">
        <f t="shared" si="122"/>
        <v>1185.1530783531534</v>
      </c>
      <c r="V182" s="5">
        <f t="shared" si="122"/>
        <v>1260.5851608170251</v>
      </c>
    </row>
    <row r="183" spans="2:22" hidden="1" outlineLevel="1">
      <c r="B183" s="307" t="s">
        <v>73</v>
      </c>
      <c r="C183" s="5">
        <f t="shared" ref="C183:V183" si="123">C169*C155*1000</f>
        <v>711.28106072085211</v>
      </c>
      <c r="D183" s="5">
        <f t="shared" si="123"/>
        <v>705.24091238890253</v>
      </c>
      <c r="E183" s="5">
        <f t="shared" si="123"/>
        <v>699.22033167112215</v>
      </c>
      <c r="F183" s="5">
        <f t="shared" si="123"/>
        <v>693.21875945279146</v>
      </c>
      <c r="G183" s="5">
        <f t="shared" si="123"/>
        <v>687.23564770030646</v>
      </c>
      <c r="H183" s="5">
        <f t="shared" si="123"/>
        <v>687.42425888124615</v>
      </c>
      <c r="I183" s="5">
        <f t="shared" si="123"/>
        <v>687.49550414759983</v>
      </c>
      <c r="J183" s="5">
        <f t="shared" si="123"/>
        <v>687.57727610441475</v>
      </c>
      <c r="K183" s="5">
        <f t="shared" si="123"/>
        <v>687.67992973303399</v>
      </c>
      <c r="L183" s="5">
        <f t="shared" si="123"/>
        <v>687.7823125959145</v>
      </c>
      <c r="M183" s="5">
        <f t="shared" si="123"/>
        <v>687.90702960695864</v>
      </c>
      <c r="N183" s="5">
        <f t="shared" si="123"/>
        <v>688.05412027068689</v>
      </c>
      <c r="O183" s="5">
        <f t="shared" si="123"/>
        <v>688.20124238585038</v>
      </c>
      <c r="P183" s="5">
        <f t="shared" si="123"/>
        <v>688.34839595917401</v>
      </c>
      <c r="Q183" s="5">
        <f t="shared" si="123"/>
        <v>688.49558099738442</v>
      </c>
      <c r="R183" s="5">
        <f t="shared" si="123"/>
        <v>688.64279750720959</v>
      </c>
      <c r="S183" s="5">
        <f t="shared" si="123"/>
        <v>688.79004549537854</v>
      </c>
      <c r="T183" s="5">
        <f t="shared" si="123"/>
        <v>688.93732496862253</v>
      </c>
      <c r="U183" s="5">
        <f t="shared" si="123"/>
        <v>689.08463593367378</v>
      </c>
      <c r="V183" s="5">
        <f t="shared" si="123"/>
        <v>689.23197839726561</v>
      </c>
    </row>
    <row r="184" spans="2:22" hidden="1" outlineLevel="1">
      <c r="B184" s="307" t="s">
        <v>72</v>
      </c>
      <c r="C184" s="5">
        <f t="shared" ref="C184:V184" si="124">C170*C156*1000</f>
        <v>784.07549447575047</v>
      </c>
      <c r="D184" s="5">
        <f t="shared" si="124"/>
        <v>793.09495897588636</v>
      </c>
      <c r="E184" s="5">
        <f t="shared" si="124"/>
        <v>802.12196730578853</v>
      </c>
      <c r="F184" s="5">
        <f t="shared" si="124"/>
        <v>811.15684552722121</v>
      </c>
      <c r="G184" s="5">
        <f t="shared" si="124"/>
        <v>820.19991323971817</v>
      </c>
      <c r="H184" s="5">
        <f t="shared" si="124"/>
        <v>815.59970148608954</v>
      </c>
      <c r="I184" s="5">
        <f t="shared" si="124"/>
        <v>810.85940568738022</v>
      </c>
      <c r="J184" s="5">
        <f t="shared" si="124"/>
        <v>806.13144109649693</v>
      </c>
      <c r="K184" s="5">
        <f t="shared" si="124"/>
        <v>801.42765395698086</v>
      </c>
      <c r="L184" s="5">
        <f t="shared" si="124"/>
        <v>796.72310208397482</v>
      </c>
      <c r="M184" s="5">
        <f t="shared" si="124"/>
        <v>792.10082822447396</v>
      </c>
      <c r="N184" s="5">
        <f t="shared" si="124"/>
        <v>787.56135890039468</v>
      </c>
      <c r="O184" s="5">
        <f t="shared" si="124"/>
        <v>783.04790492816198</v>
      </c>
      <c r="P184" s="5">
        <f t="shared" si="124"/>
        <v>778.56031721578233</v>
      </c>
      <c r="Q184" s="5">
        <f t="shared" si="124"/>
        <v>774.09844752569677</v>
      </c>
      <c r="R184" s="5">
        <f t="shared" si="124"/>
        <v>769.66214846988453</v>
      </c>
      <c r="S184" s="5">
        <f t="shared" si="124"/>
        <v>765.25127350499451</v>
      </c>
      <c r="T184" s="5">
        <f t="shared" si="124"/>
        <v>760.8656769275043</v>
      </c>
      <c r="U184" s="5">
        <f t="shared" si="124"/>
        <v>756.50521386890694</v>
      </c>
      <c r="V184" s="5">
        <f t="shared" si="124"/>
        <v>752.16974029092626</v>
      </c>
    </row>
    <row r="185" spans="2:22" hidden="1" outlineLevel="1">
      <c r="B185" s="308" t="s">
        <v>71</v>
      </c>
      <c r="C185" s="5">
        <f t="shared" ref="C185:V185" si="125">C171*C157*1000</f>
        <v>812.65468808523212</v>
      </c>
      <c r="D185" s="5">
        <f t="shared" si="125"/>
        <v>849.57945209236107</v>
      </c>
      <c r="E185" s="5">
        <f t="shared" si="125"/>
        <v>886.48736308050491</v>
      </c>
      <c r="F185" s="5">
        <f t="shared" si="125"/>
        <v>923.38041663384638</v>
      </c>
      <c r="G185" s="5">
        <f t="shared" si="125"/>
        <v>960.2605687860098</v>
      </c>
      <c r="H185" s="5">
        <f t="shared" si="125"/>
        <v>986.0081046927362</v>
      </c>
      <c r="I185" s="5">
        <f t="shared" si="125"/>
        <v>1011.591703175528</v>
      </c>
      <c r="J185" s="5">
        <f t="shared" si="125"/>
        <v>1037.1912364730524</v>
      </c>
      <c r="K185" s="5">
        <f t="shared" si="125"/>
        <v>1062.8238784181453</v>
      </c>
      <c r="L185" s="5">
        <f t="shared" si="125"/>
        <v>1088.4584741537901</v>
      </c>
      <c r="M185" s="5">
        <f t="shared" si="125"/>
        <v>1114.7113590640324</v>
      </c>
      <c r="N185" s="5">
        <f t="shared" si="125"/>
        <v>1141.5974458671137</v>
      </c>
      <c r="O185" s="5">
        <f t="shared" si="125"/>
        <v>1169.1320069659887</v>
      </c>
      <c r="P185" s="5">
        <f t="shared" si="125"/>
        <v>1197.3306831236812</v>
      </c>
      <c r="Q185" s="5">
        <f t="shared" si="125"/>
        <v>1226.2094923478783</v>
      </c>
      <c r="R185" s="5">
        <f t="shared" si="125"/>
        <v>1255.7848389898184</v>
      </c>
      <c r="S185" s="5">
        <f t="shared" si="125"/>
        <v>1286.0735230626376</v>
      </c>
      <c r="T185" s="5">
        <f t="shared" si="125"/>
        <v>1317.0927497844675</v>
      </c>
      <c r="U185" s="5">
        <f t="shared" si="125"/>
        <v>1348.8601393517067</v>
      </c>
      <c r="V185" s="5">
        <f t="shared" si="125"/>
        <v>1381.3937369480177</v>
      </c>
    </row>
    <row r="186" spans="2:22" hidden="1" outlineLevel="1">
      <c r="B186" s="308"/>
    </row>
    <row r="187" spans="2:22" hidden="1" outlineLevel="1">
      <c r="B187" s="307" t="s">
        <v>317</v>
      </c>
      <c r="C187" s="5">
        <f t="shared" ref="C187:V187" si="126">SUM(C174:C179)</f>
        <v>324.04533620353914</v>
      </c>
      <c r="D187" s="5">
        <f t="shared" si="126"/>
        <v>324.25899039710328</v>
      </c>
      <c r="E187" s="5">
        <f t="shared" si="126"/>
        <v>324.47890613534571</v>
      </c>
      <c r="F187" s="5">
        <f t="shared" si="126"/>
        <v>324.70500694974373</v>
      </c>
      <c r="G187" s="5">
        <f t="shared" si="126"/>
        <v>324.9372178873075</v>
      </c>
      <c r="H187" s="5">
        <f t="shared" si="126"/>
        <v>325.39042313601351</v>
      </c>
      <c r="I187" s="5">
        <f t="shared" si="126"/>
        <v>325.78813649054928</v>
      </c>
      <c r="J187" s="5">
        <f t="shared" si="126"/>
        <v>326.19084456524661</v>
      </c>
      <c r="K187" s="5">
        <f t="shared" si="126"/>
        <v>326.60348201914462</v>
      </c>
      <c r="L187" s="5">
        <f t="shared" si="126"/>
        <v>327.01602476348768</v>
      </c>
      <c r="M187" s="5">
        <f t="shared" si="126"/>
        <v>327.45476058486634</v>
      </c>
      <c r="N187" s="5">
        <f t="shared" si="126"/>
        <v>327.91936705546254</v>
      </c>
      <c r="O187" s="5">
        <f t="shared" si="126"/>
        <v>328.39994649854538</v>
      </c>
      <c r="P187" s="5">
        <f t="shared" si="126"/>
        <v>328.89648729536509</v>
      </c>
      <c r="Q187" s="5">
        <f t="shared" si="126"/>
        <v>329.4089790537505</v>
      </c>
      <c r="R187" s="5">
        <f t="shared" si="126"/>
        <v>329.93741260347622</v>
      </c>
      <c r="S187" s="5">
        <f t="shared" si="126"/>
        <v>330.48177999173629</v>
      </c>
      <c r="T187" s="5">
        <f t="shared" si="126"/>
        <v>331.04207447872454</v>
      </c>
      <c r="U187" s="5">
        <f t="shared" si="126"/>
        <v>331.61829053332087</v>
      </c>
      <c r="V187" s="5">
        <f t="shared" si="126"/>
        <v>332.2104238288822</v>
      </c>
    </row>
    <row r="188" spans="2:22" hidden="1" outlineLevel="1">
      <c r="B188" s="307" t="s">
        <v>313</v>
      </c>
      <c r="C188" s="5">
        <f t="shared" ref="C188:V188" si="127">SUM(C180:C182)</f>
        <v>1052.5192418822653</v>
      </c>
      <c r="D188" s="5">
        <f t="shared" si="127"/>
        <v>1078.8042314435936</v>
      </c>
      <c r="E188" s="5">
        <f t="shared" si="127"/>
        <v>1105.0866634461281</v>
      </c>
      <c r="F188" s="5">
        <f t="shared" si="127"/>
        <v>1131.3678278027733</v>
      </c>
      <c r="G188" s="5">
        <f t="shared" si="127"/>
        <v>1157.6489888616015</v>
      </c>
      <c r="H188" s="5">
        <f t="shared" si="127"/>
        <v>1202.9132777845871</v>
      </c>
      <c r="I188" s="5">
        <f t="shared" si="127"/>
        <v>1247.9799618150987</v>
      </c>
      <c r="J188" s="5">
        <f t="shared" si="127"/>
        <v>1293.0665405258692</v>
      </c>
      <c r="K188" s="5">
        <f t="shared" si="127"/>
        <v>1338.1952277925661</v>
      </c>
      <c r="L188" s="5">
        <f t="shared" si="127"/>
        <v>1383.3275721665032</v>
      </c>
      <c r="M188" s="5">
        <f t="shared" si="127"/>
        <v>1431.094369429778</v>
      </c>
      <c r="N188" s="5">
        <f t="shared" si="127"/>
        <v>1481.6609969566666</v>
      </c>
      <c r="O188" s="5">
        <f t="shared" si="127"/>
        <v>1535.2002644639927</v>
      </c>
      <c r="P188" s="5">
        <f t="shared" si="127"/>
        <v>1591.8991002735056</v>
      </c>
      <c r="Q188" s="5">
        <f t="shared" si="127"/>
        <v>1651.9563084497454</v>
      </c>
      <c r="R188" s="5">
        <f t="shared" si="127"/>
        <v>1715.5833244525893</v>
      </c>
      <c r="S188" s="5">
        <f t="shared" si="127"/>
        <v>1783.0050188832197</v>
      </c>
      <c r="T188" s="5">
        <f t="shared" si="127"/>
        <v>1854.4605523845144</v>
      </c>
      <c r="U188" s="5">
        <f t="shared" si="127"/>
        <v>1930.2042849516993</v>
      </c>
      <c r="V188" s="5">
        <f t="shared" si="127"/>
        <v>2010.5067431163206</v>
      </c>
    </row>
    <row r="189" spans="2:22" hidden="1" outlineLevel="1">
      <c r="B189" s="307" t="s">
        <v>315</v>
      </c>
      <c r="C189" s="5">
        <f t="shared" ref="C189:V189" si="128">SUM(C183:C185)</f>
        <v>2308.0112432818346</v>
      </c>
      <c r="D189" s="5">
        <f t="shared" si="128"/>
        <v>2347.91532345715</v>
      </c>
      <c r="E189" s="5">
        <f t="shared" si="128"/>
        <v>2387.8296620574156</v>
      </c>
      <c r="F189" s="5">
        <f t="shared" si="128"/>
        <v>2427.756021613859</v>
      </c>
      <c r="G189" s="5">
        <f t="shared" si="128"/>
        <v>2467.6961297260341</v>
      </c>
      <c r="H189" s="5">
        <f t="shared" si="128"/>
        <v>2489.032065060072</v>
      </c>
      <c r="I189" s="5">
        <f t="shared" si="128"/>
        <v>2509.9466130105079</v>
      </c>
      <c r="J189" s="5">
        <f t="shared" si="128"/>
        <v>2530.8999536739639</v>
      </c>
      <c r="K189" s="5">
        <f t="shared" si="128"/>
        <v>2551.9314621081603</v>
      </c>
      <c r="L189" s="5">
        <f t="shared" si="128"/>
        <v>2572.9638888336794</v>
      </c>
      <c r="M189" s="5">
        <f t="shared" si="128"/>
        <v>2594.7192168954653</v>
      </c>
      <c r="N189" s="5">
        <f t="shared" si="128"/>
        <v>2617.212925038195</v>
      </c>
      <c r="O189" s="5">
        <f t="shared" si="128"/>
        <v>2640.3811542800013</v>
      </c>
      <c r="P189" s="5">
        <f t="shared" si="128"/>
        <v>2664.2393962986375</v>
      </c>
      <c r="Q189" s="5">
        <f t="shared" si="128"/>
        <v>2688.8035208709598</v>
      </c>
      <c r="R189" s="5">
        <f t="shared" si="128"/>
        <v>2714.0897849669127</v>
      </c>
      <c r="S189" s="5">
        <f t="shared" si="128"/>
        <v>2740.1148420630107</v>
      </c>
      <c r="T189" s="5">
        <f t="shared" si="128"/>
        <v>2766.895751680594</v>
      </c>
      <c r="U189" s="5">
        <f t="shared" si="128"/>
        <v>2794.4499891542873</v>
      </c>
      <c r="V189" s="5">
        <f t="shared" si="128"/>
        <v>2822.7954556362097</v>
      </c>
    </row>
    <row r="190" spans="2:22" hidden="1" outlineLevel="1">
      <c r="B190" s="308"/>
      <c r="C190" s="5"/>
    </row>
    <row r="191" spans="2:22" hidden="1" outlineLevel="1">
      <c r="B191" s="307" t="s">
        <v>317</v>
      </c>
      <c r="C191" s="17">
        <f>C187/(SUM(C187:C189))</f>
        <v>8.7946442660870566E-2</v>
      </c>
    </row>
    <row r="192" spans="2:22" hidden="1" outlineLevel="1">
      <c r="B192" s="307" t="s">
        <v>313</v>
      </c>
      <c r="C192" s="17">
        <f>C188/(SUM(C187:C189))</f>
        <v>0.28565547105272804</v>
      </c>
    </row>
    <row r="193" spans="2:23" hidden="1" outlineLevel="1">
      <c r="B193" s="307" t="s">
        <v>315</v>
      </c>
      <c r="C193" s="17">
        <f>C189/(SUM(C187:C189))</f>
        <v>0.62639808628640137</v>
      </c>
    </row>
    <row r="194" spans="2:23" hidden="1" outlineLevel="1">
      <c r="B194" s="39"/>
    </row>
    <row r="195" spans="2:23" collapsed="1">
      <c r="B195" s="13" t="s">
        <v>92</v>
      </c>
      <c r="C195" s="29">
        <f t="shared" ref="C195:V195" si="129">C218*1000</f>
        <v>60618999.999999993</v>
      </c>
      <c r="D195" s="29">
        <f t="shared" si="129"/>
        <v>60881000.000000007</v>
      </c>
      <c r="E195" s="29">
        <f t="shared" si="129"/>
        <v>61125000</v>
      </c>
      <c r="F195" s="29">
        <f t="shared" si="129"/>
        <v>61352000</v>
      </c>
      <c r="G195" s="29">
        <f t="shared" si="129"/>
        <v>61562000</v>
      </c>
      <c r="H195" s="29">
        <f t="shared" si="129"/>
        <v>61754000.000000007</v>
      </c>
      <c r="I195" s="29">
        <f t="shared" si="129"/>
        <v>61969999.999999978</v>
      </c>
      <c r="J195" s="29">
        <f t="shared" si="129"/>
        <v>62186999.999999993</v>
      </c>
      <c r="K195" s="29">
        <f t="shared" si="129"/>
        <v>62405000.000000007</v>
      </c>
      <c r="L195" s="29">
        <f t="shared" si="129"/>
        <v>62623000</v>
      </c>
      <c r="M195" s="29">
        <f t="shared" si="129"/>
        <v>62855204.105060391</v>
      </c>
      <c r="N195" s="29">
        <f t="shared" si="129"/>
        <v>63101770.222664103</v>
      </c>
      <c r="O195" s="29">
        <f t="shared" si="129"/>
        <v>63360738.123137362</v>
      </c>
      <c r="P195" s="29">
        <f t="shared" si="129"/>
        <v>63632313.172395639</v>
      </c>
      <c r="Q195" s="29">
        <f t="shared" si="129"/>
        <v>63916706.862023048</v>
      </c>
      <c r="R195" s="29">
        <f t="shared" si="129"/>
        <v>64214136.94961375</v>
      </c>
      <c r="S195" s="29">
        <f t="shared" si="129"/>
        <v>64524827.602934264</v>
      </c>
      <c r="T195" s="29">
        <f t="shared" si="129"/>
        <v>64849009.548004068</v>
      </c>
      <c r="U195" s="29">
        <f t="shared" si="129"/>
        <v>65186920.221194752</v>
      </c>
      <c r="V195" s="29">
        <f t="shared" si="129"/>
        <v>65538803.925450437</v>
      </c>
    </row>
    <row r="196" spans="2:23">
      <c r="B196" s="13" t="s">
        <v>87</v>
      </c>
      <c r="C196" s="48">
        <f>21.6/100000</f>
        <v>2.1600000000000002E-4</v>
      </c>
      <c r="D196" s="48">
        <f t="shared" ref="D196:V196" si="130">D197/D195</f>
        <v>2.1813766747774213E-4</v>
      </c>
      <c r="E196" s="48">
        <f t="shared" si="130"/>
        <v>2.2025511634026813E-4</v>
      </c>
      <c r="F196" s="48">
        <f t="shared" si="130"/>
        <v>2.2235263208680015E-4</v>
      </c>
      <c r="G196" s="48">
        <f t="shared" si="130"/>
        <v>2.2443049486651096E-4</v>
      </c>
      <c r="H196" s="48">
        <f t="shared" si="130"/>
        <v>2.2627883173297002E-4</v>
      </c>
      <c r="I196" s="48">
        <f t="shared" si="130"/>
        <v>2.2811422756520213E-4</v>
      </c>
      <c r="J196" s="48">
        <f t="shared" si="130"/>
        <v>2.2993681779805194E-4</v>
      </c>
      <c r="K196" s="48">
        <f t="shared" si="130"/>
        <v>2.3174673598307026E-4</v>
      </c>
      <c r="L196" s="48">
        <f t="shared" si="130"/>
        <v>2.3354411382113543E-4</v>
      </c>
      <c r="M196" s="48">
        <f t="shared" si="130"/>
        <v>2.3534612850535891E-4</v>
      </c>
      <c r="N196" s="48">
        <f t="shared" si="130"/>
        <v>2.3715259643606362E-4</v>
      </c>
      <c r="O196" s="48">
        <f t="shared" si="130"/>
        <v>2.389672960275951E-4</v>
      </c>
      <c r="P196" s="48">
        <f t="shared" si="130"/>
        <v>2.4078984869762586E-4</v>
      </c>
      <c r="Q196" s="48">
        <f t="shared" si="130"/>
        <v>2.426198648037844E-4</v>
      </c>
      <c r="R196" s="48">
        <f t="shared" si="130"/>
        <v>2.4445694395562969E-4</v>
      </c>
      <c r="S196" s="48">
        <f t="shared" si="130"/>
        <v>2.4630067535238293E-4</v>
      </c>
      <c r="T196" s="48">
        <f t="shared" si="130"/>
        <v>2.4815063814600163E-4</v>
      </c>
      <c r="U196" s="48">
        <f t="shared" si="130"/>
        <v>2.5000640182908459E-4</v>
      </c>
      <c r="V196" s="48">
        <f t="shared" si="130"/>
        <v>2.518675266469954E-4</v>
      </c>
    </row>
    <row r="197" spans="2:23" ht="15.75" hidden="1" outlineLevel="1" thickBot="1">
      <c r="B197" s="340" t="s">
        <v>91</v>
      </c>
      <c r="C197" s="341">
        <f>C195*C196</f>
        <v>13093.704</v>
      </c>
      <c r="D197" s="342">
        <f t="shared" ref="D197:V197" si="131">SUM(D198:D200)</f>
        <v>13280.43933371242</v>
      </c>
      <c r="E197" s="342">
        <f t="shared" si="131"/>
        <v>13463.093986298889</v>
      </c>
      <c r="F197" s="342">
        <f t="shared" si="131"/>
        <v>13641.778683789364</v>
      </c>
      <c r="G197" s="342">
        <f t="shared" si="131"/>
        <v>13816.390124972148</v>
      </c>
      <c r="H197" s="342">
        <f t="shared" si="131"/>
        <v>13973.622974837832</v>
      </c>
      <c r="I197" s="342">
        <f t="shared" si="131"/>
        <v>14136.238682215571</v>
      </c>
      <c r="J197" s="342">
        <f t="shared" si="131"/>
        <v>14299.080888407454</v>
      </c>
      <c r="K197" s="342">
        <f t="shared" si="131"/>
        <v>14462.155059023502</v>
      </c>
      <c r="L197" s="342">
        <f t="shared" si="131"/>
        <v>14625.233039820963</v>
      </c>
      <c r="M197" s="342">
        <f t="shared" si="131"/>
        <v>14792.728942540105</v>
      </c>
      <c r="N197" s="342">
        <f t="shared" si="131"/>
        <v>14964.748648016677</v>
      </c>
      <c r="O197" s="342">
        <f t="shared" si="131"/>
        <v>15141.144263598697</v>
      </c>
      <c r="P197" s="342">
        <f t="shared" si="131"/>
        <v>15322.015061061091</v>
      </c>
      <c r="Q197" s="342">
        <f t="shared" si="131"/>
        <v>15507.462777567151</v>
      </c>
      <c r="R197" s="342">
        <f t="shared" si="131"/>
        <v>15697.591677450859</v>
      </c>
      <c r="S197" s="342">
        <f t="shared" si="131"/>
        <v>15892.508615598788</v>
      </c>
      <c r="T197" s="342">
        <f t="shared" si="131"/>
        <v>16092.323102473363</v>
      </c>
      <c r="U197" s="342">
        <f t="shared" si="131"/>
        <v>16297.147370820496</v>
      </c>
      <c r="V197" s="343">
        <f t="shared" si="131"/>
        <v>16507.096444105595</v>
      </c>
    </row>
    <row r="198" spans="2:23" hidden="1" outlineLevel="1">
      <c r="B198" s="13" t="s">
        <v>317</v>
      </c>
      <c r="C198" s="19">
        <f>C197*0.1</f>
        <v>1309.3704</v>
      </c>
      <c r="D198" s="19">
        <f t="shared" ref="D198:V198" si="132">1000*C201*SUM(D206:D211)</f>
        <v>1311.5290001089115</v>
      </c>
      <c r="E198" s="19">
        <f t="shared" si="132"/>
        <v>1313.3039829614122</v>
      </c>
      <c r="F198" s="19">
        <f t="shared" si="132"/>
        <v>1314.7197802203898</v>
      </c>
      <c r="G198" s="19">
        <f t="shared" si="132"/>
        <v>1315.7791704854085</v>
      </c>
      <c r="H198" s="19">
        <f t="shared" si="132"/>
        <v>1315.1189621402616</v>
      </c>
      <c r="I198" s="19">
        <f t="shared" si="132"/>
        <v>1314.9718564723269</v>
      </c>
      <c r="J198" s="19">
        <f t="shared" si="132"/>
        <v>1314.8460377167139</v>
      </c>
      <c r="K198" s="19">
        <f t="shared" si="132"/>
        <v>1314.7412777592356</v>
      </c>
      <c r="L198" s="19">
        <f t="shared" si="132"/>
        <v>1314.6363587789883</v>
      </c>
      <c r="M198" s="19">
        <f t="shared" si="132"/>
        <v>1314.7920099606131</v>
      </c>
      <c r="N198" s="19">
        <f t="shared" si="132"/>
        <v>1315.2091192445475</v>
      </c>
      <c r="O198" s="19">
        <f t="shared" si="132"/>
        <v>1315.8313440478817</v>
      </c>
      <c r="P198" s="19">
        <f t="shared" si="132"/>
        <v>1316.6611297291236</v>
      </c>
      <c r="Q198" s="19">
        <f t="shared" si="132"/>
        <v>1317.7010168109582</v>
      </c>
      <c r="R198" s="19">
        <f t="shared" si="132"/>
        <v>1318.9536430376525</v>
      </c>
      <c r="S198" s="19">
        <f t="shared" si="132"/>
        <v>1320.4217454931916</v>
      </c>
      <c r="T198" s="19">
        <f t="shared" si="132"/>
        <v>1322.1081627816948</v>
      </c>
      <c r="U198" s="19">
        <f t="shared" si="132"/>
        <v>1324.0158372717133</v>
      </c>
      <c r="V198" s="19">
        <f t="shared" si="132"/>
        <v>1326.1478174060571</v>
      </c>
    </row>
    <row r="199" spans="2:23" hidden="1" outlineLevel="1">
      <c r="B199" s="13" t="s">
        <v>313</v>
      </c>
      <c r="C199" s="5">
        <f>C197*0.35</f>
        <v>4582.7963999999993</v>
      </c>
      <c r="D199" s="19">
        <f t="shared" ref="D199:V199" si="133">1000*C202*(SUM(D212:D214))</f>
        <v>4606.3825145184437</v>
      </c>
      <c r="E199" s="19">
        <f t="shared" si="133"/>
        <v>4628.6022342401066</v>
      </c>
      <c r="F199" s="19">
        <f t="shared" si="133"/>
        <v>4649.5281023712032</v>
      </c>
      <c r="G199" s="19">
        <f t="shared" si="133"/>
        <v>4669.1571194000626</v>
      </c>
      <c r="H199" s="19">
        <f t="shared" si="133"/>
        <v>4729.7067970402277</v>
      </c>
      <c r="I199" s="19">
        <f t="shared" si="133"/>
        <v>4792.0753498927761</v>
      </c>
      <c r="J199" s="19">
        <f t="shared" si="133"/>
        <v>4854.5205808562368</v>
      </c>
      <c r="K199" s="19">
        <f t="shared" si="133"/>
        <v>4917.0446920051209</v>
      </c>
      <c r="L199" s="19">
        <f t="shared" si="133"/>
        <v>4979.5703382623133</v>
      </c>
      <c r="M199" s="19">
        <f t="shared" si="133"/>
        <v>5043.4592176964743</v>
      </c>
      <c r="N199" s="19">
        <f t="shared" si="133"/>
        <v>5108.7402759018014</v>
      </c>
      <c r="O199" s="19">
        <f t="shared" si="133"/>
        <v>5175.4393783419755</v>
      </c>
      <c r="P199" s="19">
        <f t="shared" si="133"/>
        <v>5243.5865831647052</v>
      </c>
      <c r="Q199" s="19">
        <f t="shared" si="133"/>
        <v>5313.212606696432</v>
      </c>
      <c r="R199" s="19">
        <f t="shared" si="133"/>
        <v>5384.3488381789566</v>
      </c>
      <c r="S199" s="19">
        <f t="shared" si="133"/>
        <v>5457.0273548420255</v>
      </c>
      <c r="T199" s="19">
        <f t="shared" si="133"/>
        <v>5531.2809373196578</v>
      </c>
      <c r="U199" s="19">
        <f t="shared" si="133"/>
        <v>5607.1430854181535</v>
      </c>
      <c r="V199" s="19">
        <f t="shared" si="133"/>
        <v>5684.6480342439136</v>
      </c>
    </row>
    <row r="200" spans="2:23" hidden="1" outlineLevel="1">
      <c r="B200" s="13" t="s">
        <v>315</v>
      </c>
      <c r="C200" s="5">
        <f>C197*0.55</f>
        <v>7201.5372000000007</v>
      </c>
      <c r="D200" s="19">
        <f t="shared" ref="D200:V200" si="134">1000*C203*(SUM(D215:D217))</f>
        <v>7362.5278190850659</v>
      </c>
      <c r="E200" s="19">
        <f t="shared" si="134"/>
        <v>7521.1877690973697</v>
      </c>
      <c r="F200" s="19">
        <f t="shared" si="134"/>
        <v>7677.5308011977704</v>
      </c>
      <c r="G200" s="19">
        <f t="shared" si="134"/>
        <v>7831.4538350866769</v>
      </c>
      <c r="H200" s="19">
        <f t="shared" si="134"/>
        <v>7928.7972156573433</v>
      </c>
      <c r="I200" s="19">
        <f t="shared" si="134"/>
        <v>8029.1914758504672</v>
      </c>
      <c r="J200" s="19">
        <f t="shared" si="134"/>
        <v>8129.7142698345024</v>
      </c>
      <c r="K200" s="19">
        <f t="shared" si="134"/>
        <v>8230.3690892591458</v>
      </c>
      <c r="L200" s="19">
        <f t="shared" si="134"/>
        <v>8331.0263427796617</v>
      </c>
      <c r="M200" s="19">
        <f t="shared" si="134"/>
        <v>8434.4777148830181</v>
      </c>
      <c r="N200" s="19">
        <f t="shared" si="134"/>
        <v>8540.7992528703271</v>
      </c>
      <c r="O200" s="19">
        <f t="shared" si="134"/>
        <v>8649.8735412088408</v>
      </c>
      <c r="P200" s="19">
        <f t="shared" si="134"/>
        <v>8761.7673481672628</v>
      </c>
      <c r="Q200" s="19">
        <f t="shared" si="134"/>
        <v>8876.5491540597595</v>
      </c>
      <c r="R200" s="19">
        <f t="shared" si="134"/>
        <v>8994.2891962342492</v>
      </c>
      <c r="S200" s="19">
        <f t="shared" si="134"/>
        <v>9115.0595152635706</v>
      </c>
      <c r="T200" s="19">
        <f t="shared" si="134"/>
        <v>9238.9340023720106</v>
      </c>
      <c r="U200" s="19">
        <f t="shared" si="134"/>
        <v>9365.988448130629</v>
      </c>
      <c r="V200" s="19">
        <f t="shared" si="134"/>
        <v>9496.3005924556237</v>
      </c>
    </row>
    <row r="201" spans="2:23" hidden="1" outlineLevel="1">
      <c r="B201" s="13" t="s">
        <v>318</v>
      </c>
      <c r="C201" s="47">
        <f t="shared" ref="C201:V201" si="135">C198/(1000*SUM(C206:C211))</f>
        <v>2.9404522983709014E-5</v>
      </c>
      <c r="D201" s="47">
        <f t="shared" si="135"/>
        <v>2.9404522983709018E-5</v>
      </c>
      <c r="E201" s="47">
        <f t="shared" si="135"/>
        <v>2.9404522983709018E-5</v>
      </c>
      <c r="F201" s="47">
        <f t="shared" si="135"/>
        <v>2.9404522983709018E-5</v>
      </c>
      <c r="G201" s="47">
        <f t="shared" si="135"/>
        <v>2.9404522983709021E-5</v>
      </c>
      <c r="H201" s="47">
        <f t="shared" si="135"/>
        <v>2.9404522983709021E-5</v>
      </c>
      <c r="I201" s="47">
        <f t="shared" si="135"/>
        <v>2.9404522983709018E-5</v>
      </c>
      <c r="J201" s="47">
        <f t="shared" si="135"/>
        <v>2.9404522983709018E-5</v>
      </c>
      <c r="K201" s="47">
        <f t="shared" si="135"/>
        <v>2.9404522983709021E-5</v>
      </c>
      <c r="L201" s="47">
        <f t="shared" si="135"/>
        <v>2.9404522983709018E-5</v>
      </c>
      <c r="M201" s="47">
        <f t="shared" si="135"/>
        <v>2.9404522983709018E-5</v>
      </c>
      <c r="N201" s="47">
        <f t="shared" si="135"/>
        <v>2.9404522983709021E-5</v>
      </c>
      <c r="O201" s="47">
        <f t="shared" si="135"/>
        <v>2.9404522983709018E-5</v>
      </c>
      <c r="P201" s="47">
        <f t="shared" si="135"/>
        <v>2.9404522983709021E-5</v>
      </c>
      <c r="Q201" s="47">
        <f t="shared" si="135"/>
        <v>2.9404522983709018E-5</v>
      </c>
      <c r="R201" s="47">
        <f t="shared" si="135"/>
        <v>2.9404522983709021E-5</v>
      </c>
      <c r="S201" s="47">
        <f t="shared" si="135"/>
        <v>2.9404522983709018E-5</v>
      </c>
      <c r="T201" s="47">
        <f t="shared" si="135"/>
        <v>2.9404522983709018E-5</v>
      </c>
      <c r="U201" s="47">
        <f t="shared" si="135"/>
        <v>2.9404522983709018E-5</v>
      </c>
      <c r="V201" s="47">
        <f t="shared" si="135"/>
        <v>2.9404522983709018E-5</v>
      </c>
    </row>
    <row r="202" spans="2:23" hidden="1" outlineLevel="1">
      <c r="B202" s="13" t="s">
        <v>314</v>
      </c>
      <c r="C202" s="46">
        <f t="shared" ref="C202:V202" si="136">C199/(1000*(SUM(C212:C214)))</f>
        <v>4.609399468337626E-4</v>
      </c>
      <c r="D202" s="46">
        <f t="shared" si="136"/>
        <v>4.6093994683376265E-4</v>
      </c>
      <c r="E202" s="46">
        <f t="shared" si="136"/>
        <v>4.6093994683376265E-4</v>
      </c>
      <c r="F202" s="46">
        <f t="shared" si="136"/>
        <v>4.6093994683376265E-4</v>
      </c>
      <c r="G202" s="46">
        <f t="shared" si="136"/>
        <v>4.6093994683376265E-4</v>
      </c>
      <c r="H202" s="46">
        <f t="shared" si="136"/>
        <v>4.6093994683376265E-4</v>
      </c>
      <c r="I202" s="46">
        <f t="shared" si="136"/>
        <v>4.6093994683376271E-4</v>
      </c>
      <c r="J202" s="46">
        <f t="shared" si="136"/>
        <v>4.6093994683376271E-4</v>
      </c>
      <c r="K202" s="46">
        <f t="shared" si="136"/>
        <v>4.6093994683376276E-4</v>
      </c>
      <c r="L202" s="46">
        <f t="shared" si="136"/>
        <v>4.6093994683376276E-4</v>
      </c>
      <c r="M202" s="46">
        <f t="shared" si="136"/>
        <v>4.6093994683376276E-4</v>
      </c>
      <c r="N202" s="46">
        <f t="shared" si="136"/>
        <v>4.6093994683376276E-4</v>
      </c>
      <c r="O202" s="46">
        <f t="shared" si="136"/>
        <v>4.6093994683376281E-4</v>
      </c>
      <c r="P202" s="46">
        <f t="shared" si="136"/>
        <v>4.6093994683376287E-4</v>
      </c>
      <c r="Q202" s="46">
        <f t="shared" si="136"/>
        <v>4.6093994683376292E-4</v>
      </c>
      <c r="R202" s="46">
        <f t="shared" si="136"/>
        <v>4.6093994683376298E-4</v>
      </c>
      <c r="S202" s="46">
        <f t="shared" si="136"/>
        <v>4.6093994683376298E-4</v>
      </c>
      <c r="T202" s="46">
        <f t="shared" si="136"/>
        <v>4.6093994683376298E-4</v>
      </c>
      <c r="U202" s="46">
        <f t="shared" si="136"/>
        <v>4.6093994683376303E-4</v>
      </c>
      <c r="V202" s="46">
        <f t="shared" si="136"/>
        <v>4.6093994683376309E-4</v>
      </c>
    </row>
    <row r="203" spans="2:23" hidden="1" outlineLevel="1">
      <c r="B203" s="13" t="s">
        <v>316</v>
      </c>
      <c r="C203" s="45">
        <f t="shared" ref="C203:V203" si="137">C200/(1000*(SUM(C215:C217)))</f>
        <v>1.1715231838592944E-3</v>
      </c>
      <c r="D203" s="45">
        <f t="shared" si="137"/>
        <v>1.1715231838592942E-3</v>
      </c>
      <c r="E203" s="45">
        <f t="shared" si="137"/>
        <v>1.1715231838592942E-3</v>
      </c>
      <c r="F203" s="45">
        <f t="shared" si="137"/>
        <v>1.1715231838592942E-3</v>
      </c>
      <c r="G203" s="45">
        <f t="shared" si="137"/>
        <v>1.1715231838592942E-3</v>
      </c>
      <c r="H203" s="45">
        <f t="shared" si="137"/>
        <v>1.1715231838592939E-3</v>
      </c>
      <c r="I203" s="45">
        <f t="shared" si="137"/>
        <v>1.1715231838592939E-3</v>
      </c>
      <c r="J203" s="45">
        <f t="shared" si="137"/>
        <v>1.1715231838592939E-3</v>
      </c>
      <c r="K203" s="45">
        <f t="shared" si="137"/>
        <v>1.1715231838592939E-3</v>
      </c>
      <c r="L203" s="45">
        <f t="shared" si="137"/>
        <v>1.1715231838592939E-3</v>
      </c>
      <c r="M203" s="45">
        <f t="shared" si="137"/>
        <v>1.1715231838592939E-3</v>
      </c>
      <c r="N203" s="45">
        <f t="shared" si="137"/>
        <v>1.1715231838592937E-3</v>
      </c>
      <c r="O203" s="45">
        <f t="shared" si="137"/>
        <v>1.1715231838592935E-3</v>
      </c>
      <c r="P203" s="45">
        <f t="shared" si="137"/>
        <v>1.1715231838592935E-3</v>
      </c>
      <c r="Q203" s="45">
        <f t="shared" si="137"/>
        <v>1.1715231838592933E-3</v>
      </c>
      <c r="R203" s="45">
        <f t="shared" si="137"/>
        <v>1.1715231838592933E-3</v>
      </c>
      <c r="S203" s="45">
        <f t="shared" si="137"/>
        <v>1.1715231838592931E-3</v>
      </c>
      <c r="T203" s="45">
        <f t="shared" si="137"/>
        <v>1.1715231838592931E-3</v>
      </c>
      <c r="U203" s="45">
        <f t="shared" si="137"/>
        <v>1.1715231838592931E-3</v>
      </c>
      <c r="V203" s="45">
        <f t="shared" si="137"/>
        <v>1.1715231838592931E-3</v>
      </c>
    </row>
    <row r="204" spans="2:23" ht="15.75" hidden="1" outlineLevel="1" thickBot="1"/>
    <row r="205" spans="2:23" ht="15.75" hidden="1" outlineLevel="1" thickBot="1">
      <c r="B205" s="304" t="s">
        <v>85</v>
      </c>
      <c r="C205" s="32">
        <v>2011</v>
      </c>
      <c r="D205" s="32">
        <v>2012</v>
      </c>
      <c r="E205" s="32">
        <v>2013</v>
      </c>
      <c r="F205" s="32">
        <v>2014</v>
      </c>
      <c r="G205" s="32">
        <v>2015</v>
      </c>
      <c r="H205" s="32">
        <v>2016</v>
      </c>
      <c r="I205" s="32">
        <v>2017</v>
      </c>
      <c r="J205" s="32">
        <v>2018</v>
      </c>
      <c r="K205" s="32">
        <v>2019</v>
      </c>
      <c r="L205" s="32">
        <v>2020</v>
      </c>
      <c r="M205" s="32">
        <v>2021</v>
      </c>
      <c r="N205" s="32">
        <v>2022</v>
      </c>
      <c r="O205" s="32">
        <f t="shared" ref="O205:V205" si="138">N205+1</f>
        <v>2023</v>
      </c>
      <c r="P205" s="32">
        <f t="shared" si="138"/>
        <v>2024</v>
      </c>
      <c r="Q205" s="32">
        <f t="shared" si="138"/>
        <v>2025</v>
      </c>
      <c r="R205" s="32">
        <f t="shared" si="138"/>
        <v>2026</v>
      </c>
      <c r="S205" s="32">
        <f t="shared" si="138"/>
        <v>2027</v>
      </c>
      <c r="T205" s="32">
        <f t="shared" si="138"/>
        <v>2028</v>
      </c>
      <c r="U205" s="32">
        <f t="shared" si="138"/>
        <v>2029</v>
      </c>
      <c r="V205" s="31">
        <f t="shared" si="138"/>
        <v>2030</v>
      </c>
      <c r="W205" s="166" t="s">
        <v>220</v>
      </c>
    </row>
    <row r="206" spans="2:23" hidden="1" outlineLevel="1">
      <c r="B206" s="13" t="s">
        <v>82</v>
      </c>
      <c r="C206" s="44">
        <v>11459.213916254239</v>
      </c>
      <c r="D206" s="44">
        <v>11470.002555677962</v>
      </c>
      <c r="E206" s="44">
        <v>11477.445889245846</v>
      </c>
      <c r="F206" s="44">
        <v>11481.764289885374</v>
      </c>
      <c r="G206" s="44">
        <v>11482.988506634854</v>
      </c>
      <c r="H206" s="44">
        <v>11479.500784119475</v>
      </c>
      <c r="I206" s="44">
        <v>11480.490911080109</v>
      </c>
      <c r="J206" s="44">
        <v>11481.666853102546</v>
      </c>
      <c r="K206" s="44">
        <v>11483.02672829153</v>
      </c>
      <c r="L206" s="44">
        <v>11484.385291575281</v>
      </c>
      <c r="M206" s="44">
        <v>11486.322539604005</v>
      </c>
      <c r="N206" s="44">
        <v>11488.837624013275</v>
      </c>
      <c r="O206" s="19">
        <f t="shared" ref="O206:V217" si="139">N206*(1+$W206)</f>
        <v>11491.353259134017</v>
      </c>
      <c r="P206" s="19">
        <f t="shared" si="139"/>
        <v>11493.869445086815</v>
      </c>
      <c r="Q206" s="19">
        <f t="shared" si="139"/>
        <v>11496.386181992282</v>
      </c>
      <c r="R206" s="19">
        <f t="shared" si="139"/>
        <v>11498.903469971057</v>
      </c>
      <c r="S206" s="19">
        <f t="shared" si="139"/>
        <v>11501.421309143805</v>
      </c>
      <c r="T206" s="19">
        <f t="shared" si="139"/>
        <v>11503.939699631217</v>
      </c>
      <c r="U206" s="19">
        <f t="shared" si="139"/>
        <v>11506.458641554011</v>
      </c>
      <c r="V206" s="19">
        <f t="shared" si="139"/>
        <v>11508.978135032929</v>
      </c>
      <c r="W206" s="305">
        <f t="shared" ref="W206:W218" si="140">N206/M206-1</f>
        <v>2.189634150180364E-4</v>
      </c>
    </row>
    <row r="207" spans="2:23" hidden="1" outlineLevel="1">
      <c r="B207" s="13" t="s">
        <v>81</v>
      </c>
      <c r="C207" s="44">
        <v>6619.0820048929072</v>
      </c>
      <c r="D207" s="44">
        <v>6613.4390908976302</v>
      </c>
      <c r="E207" s="44">
        <v>6605.8814389518357</v>
      </c>
      <c r="F207" s="44">
        <v>6596.5459465794956</v>
      </c>
      <c r="G207" s="44">
        <v>6585.4598005737334</v>
      </c>
      <c r="H207" s="44">
        <v>6584.3292983681158</v>
      </c>
      <c r="I207" s="44">
        <v>6585.7668030638006</v>
      </c>
      <c r="J207" s="44">
        <v>6587.3108879048777</v>
      </c>
      <c r="K207" s="44">
        <v>6588.9605152747345</v>
      </c>
      <c r="L207" s="44">
        <v>6590.6094193021745</v>
      </c>
      <c r="M207" s="44">
        <v>6592.3731095022486</v>
      </c>
      <c r="N207" s="44">
        <v>6594.2516251907327</v>
      </c>
      <c r="O207" s="19">
        <f t="shared" si="139"/>
        <v>6596.1306761676678</v>
      </c>
      <c r="P207" s="19">
        <f t="shared" si="139"/>
        <v>6598.0102625855861</v>
      </c>
      <c r="Q207" s="19">
        <f t="shared" si="139"/>
        <v>6599.8903845970626</v>
      </c>
      <c r="R207" s="19">
        <f t="shared" si="139"/>
        <v>6601.7710423547169</v>
      </c>
      <c r="S207" s="19">
        <f t="shared" si="139"/>
        <v>6603.6522360112112</v>
      </c>
      <c r="T207" s="19">
        <f t="shared" si="139"/>
        <v>6605.5339657192517</v>
      </c>
      <c r="U207" s="19">
        <f t="shared" si="139"/>
        <v>6607.4162316315869</v>
      </c>
      <c r="V207" s="19">
        <f t="shared" si="139"/>
        <v>6609.2990339010112</v>
      </c>
      <c r="W207" s="305">
        <f t="shared" si="140"/>
        <v>2.8495287770891053E-4</v>
      </c>
    </row>
    <row r="208" spans="2:23" hidden="1" outlineLevel="1">
      <c r="B208" s="13" t="s">
        <v>80</v>
      </c>
      <c r="C208" s="44">
        <v>8837.9061876445157</v>
      </c>
      <c r="D208" s="44">
        <v>8658.2385933144033</v>
      </c>
      <c r="E208" s="44">
        <v>8476.269257876982</v>
      </c>
      <c r="F208" s="44">
        <v>8292.3202089479582</v>
      </c>
      <c r="G208" s="44">
        <v>8106.5643773331531</v>
      </c>
      <c r="H208" s="44">
        <v>7993.5102326529086</v>
      </c>
      <c r="I208" s="44">
        <v>7883.6206500724838</v>
      </c>
      <c r="J208" s="44">
        <v>7773.8602420534753</v>
      </c>
      <c r="K208" s="44">
        <v>7664.2223844386417</v>
      </c>
      <c r="L208" s="44">
        <v>7554.5799089969323</v>
      </c>
      <c r="M208" s="44">
        <v>7447.0650097039197</v>
      </c>
      <c r="N208" s="44">
        <v>7341.6316831717313</v>
      </c>
      <c r="O208" s="19">
        <f t="shared" si="139"/>
        <v>7237.6910502482542</v>
      </c>
      <c r="P208" s="19">
        <f t="shared" si="139"/>
        <v>7135.2219778223289</v>
      </c>
      <c r="Q208" s="19">
        <f t="shared" si="139"/>
        <v>7034.203631979085</v>
      </c>
      <c r="R208" s="19">
        <f t="shared" si="139"/>
        <v>6934.6154737640081</v>
      </c>
      <c r="S208" s="19">
        <f t="shared" si="139"/>
        <v>6836.4372550069793</v>
      </c>
      <c r="T208" s="19">
        <f t="shared" si="139"/>
        <v>6739.6490142054363</v>
      </c>
      <c r="U208" s="19">
        <f t="shared" si="139"/>
        <v>6644.23107246582</v>
      </c>
      <c r="V208" s="19">
        <f t="shared" si="139"/>
        <v>6550.1640295024799</v>
      </c>
      <c r="W208" s="305">
        <f t="shared" si="140"/>
        <v>-1.4157701912740572E-2</v>
      </c>
    </row>
    <row r="209" spans="2:23" hidden="1" outlineLevel="1">
      <c r="B209" s="13" t="s">
        <v>79</v>
      </c>
      <c r="C209" s="44">
        <v>9673.7351850159757</v>
      </c>
      <c r="D209" s="44">
        <v>9736.2358085561646</v>
      </c>
      <c r="E209" s="44">
        <v>9795.8333138644302</v>
      </c>
      <c r="F209" s="44">
        <v>9852.6705472018512</v>
      </c>
      <c r="G209" s="44">
        <v>9906.7310858960045</v>
      </c>
      <c r="H209" s="44">
        <v>9810.1879587580806</v>
      </c>
      <c r="I209" s="44">
        <v>9717.5108586170591</v>
      </c>
      <c r="J209" s="44">
        <v>9624.9923720147744</v>
      </c>
      <c r="K209" s="44">
        <v>9532.6263965713406</v>
      </c>
      <c r="L209" s="44">
        <v>9440.2561670420127</v>
      </c>
      <c r="M209" s="44">
        <v>9349.5052898747126</v>
      </c>
      <c r="N209" s="44">
        <v>9260.3434943230568</v>
      </c>
      <c r="O209" s="19">
        <f t="shared" si="139"/>
        <v>9172.0319925077547</v>
      </c>
      <c r="P209" s="19">
        <f t="shared" si="139"/>
        <v>9084.5626755809135</v>
      </c>
      <c r="Q209" s="19">
        <f t="shared" si="139"/>
        <v>8997.9275120248749</v>
      </c>
      <c r="R209" s="19">
        <f t="shared" si="139"/>
        <v>8912.1185469147513</v>
      </c>
      <c r="S209" s="19">
        <f t="shared" si="139"/>
        <v>8827.1279011879997</v>
      </c>
      <c r="T209" s="19">
        <f t="shared" si="139"/>
        <v>8742.9477709209586</v>
      </c>
      <c r="U209" s="19">
        <f t="shared" si="139"/>
        <v>8659.570426612283</v>
      </c>
      <c r="V209" s="19">
        <f t="shared" si="139"/>
        <v>8576.9882124732158</v>
      </c>
      <c r="W209" s="305">
        <f t="shared" si="140"/>
        <v>-9.5365254938372113E-3</v>
      </c>
    </row>
    <row r="210" spans="2:23" hidden="1" outlineLevel="1">
      <c r="B210" s="13" t="s">
        <v>78</v>
      </c>
      <c r="C210" s="44">
        <v>4170.781475813078</v>
      </c>
      <c r="D210" s="44">
        <v>4293.1822785229033</v>
      </c>
      <c r="E210" s="44">
        <v>4414.19009415652</v>
      </c>
      <c r="F210" s="44">
        <v>4533.7892966725649</v>
      </c>
      <c r="G210" s="44">
        <v>4651.8970389680471</v>
      </c>
      <c r="H210" s="44">
        <v>4722.6597877794484</v>
      </c>
      <c r="I210" s="44">
        <v>4795.2343704322766</v>
      </c>
      <c r="J210" s="44">
        <v>4867.8855368688573</v>
      </c>
      <c r="K210" s="44">
        <v>4940.6159807862987</v>
      </c>
      <c r="L210" s="44">
        <v>5013.3483025315818</v>
      </c>
      <c r="M210" s="44">
        <v>5087.155226296245</v>
      </c>
      <c r="N210" s="44">
        <v>5162.0526861494673</v>
      </c>
      <c r="O210" s="19">
        <f t="shared" si="139"/>
        <v>5238.0528506073115</v>
      </c>
      <c r="P210" s="19">
        <f t="shared" si="139"/>
        <v>5315.1719546321838</v>
      </c>
      <c r="Q210" s="19">
        <f t="shared" si="139"/>
        <v>5393.426472211524</v>
      </c>
      <c r="R210" s="19">
        <f t="shared" si="139"/>
        <v>5472.8331198769365</v>
      </c>
      <c r="S210" s="19">
        <f t="shared" si="139"/>
        <v>5553.4088602751308</v>
      </c>
      <c r="T210" s="19">
        <f t="shared" si="139"/>
        <v>5635.1709057914441</v>
      </c>
      <c r="U210" s="19">
        <f t="shared" si="139"/>
        <v>5718.1367222267017</v>
      </c>
      <c r="V210" s="19">
        <f t="shared" si="139"/>
        <v>5802.3240325282231</v>
      </c>
      <c r="W210" s="305">
        <f t="shared" si="140"/>
        <v>1.4722857180780702E-2</v>
      </c>
    </row>
    <row r="211" spans="2:23" hidden="1" outlineLevel="1">
      <c r="B211" s="13" t="s">
        <v>77</v>
      </c>
      <c r="C211" s="44">
        <v>3768.8388336578819</v>
      </c>
      <c r="D211" s="44">
        <v>3831.869755034435</v>
      </c>
      <c r="E211" s="44">
        <v>3893.7123676985902</v>
      </c>
      <c r="F211" s="44">
        <v>3954.3910344799779</v>
      </c>
      <c r="G211" s="44">
        <v>4013.8686541685488</v>
      </c>
      <c r="H211" s="44">
        <v>4134.8687899116576</v>
      </c>
      <c r="I211" s="44">
        <v>4257.4304338259699</v>
      </c>
      <c r="J211" s="44">
        <v>4380.0592439139127</v>
      </c>
      <c r="K211" s="44">
        <v>4502.7604147349139</v>
      </c>
      <c r="L211" s="44">
        <v>4625.4652067827701</v>
      </c>
      <c r="M211" s="44">
        <v>4751.5165647688809</v>
      </c>
      <c r="N211" s="44">
        <v>4881.0058352169935</v>
      </c>
      <c r="O211" s="19">
        <f t="shared" si="139"/>
        <v>5014.0239729083596</v>
      </c>
      <c r="P211" s="19">
        <f t="shared" si="139"/>
        <v>5150.6671472319731</v>
      </c>
      <c r="Q211" s="19">
        <f t="shared" si="139"/>
        <v>5291.0341484040664</v>
      </c>
      <c r="R211" s="19">
        <f t="shared" si="139"/>
        <v>5435.2264588914068</v>
      </c>
      <c r="S211" s="19">
        <f t="shared" si="139"/>
        <v>5583.3483267810461</v>
      </c>
      <c r="T211" s="19">
        <f t="shared" si="139"/>
        <v>5735.5068411495504</v>
      </c>
      <c r="U211" s="19">
        <f t="shared" si="139"/>
        <v>5891.8120094862079</v>
      </c>
      <c r="V211" s="19">
        <f t="shared" si="139"/>
        <v>6052.3768372261929</v>
      </c>
      <c r="W211" s="305">
        <f t="shared" si="140"/>
        <v>2.7252198047301057E-2</v>
      </c>
    </row>
    <row r="212" spans="2:23" hidden="1" outlineLevel="1">
      <c r="B212" s="13" t="s">
        <v>76</v>
      </c>
      <c r="C212" s="44">
        <v>3679.8834703803695</v>
      </c>
      <c r="D212" s="44">
        <v>3668.8887679488407</v>
      </c>
      <c r="E212" s="44">
        <v>3656.8411988520597</v>
      </c>
      <c r="F212" s="44">
        <v>3643.8232273785516</v>
      </c>
      <c r="G212" s="44">
        <v>3629.8562049489246</v>
      </c>
      <c r="H212" s="44">
        <v>3692.6487978853402</v>
      </c>
      <c r="I212" s="44">
        <v>3756.8549267199592</v>
      </c>
      <c r="J212" s="44">
        <v>3821.120950861492</v>
      </c>
      <c r="K212" s="44">
        <v>3885.4493349956065</v>
      </c>
      <c r="L212" s="44">
        <v>3949.7794373092984</v>
      </c>
      <c r="M212" s="44">
        <v>4015.1748101449907</v>
      </c>
      <c r="N212" s="44">
        <v>4081.6530967404824</v>
      </c>
      <c r="O212" s="19">
        <f t="shared" si="139"/>
        <v>4149.2320483873455</v>
      </c>
      <c r="P212" s="19">
        <f t="shared" si="139"/>
        <v>4217.9298885329235</v>
      </c>
      <c r="Q212" s="19">
        <f t="shared" si="139"/>
        <v>4287.7651423458092</v>
      </c>
      <c r="R212" s="19">
        <f t="shared" si="139"/>
        <v>4358.7566417113694</v>
      </c>
      <c r="S212" s="19">
        <f t="shared" si="139"/>
        <v>4430.9235303099822</v>
      </c>
      <c r="T212" s="19">
        <f t="shared" si="139"/>
        <v>4504.2852687793511</v>
      </c>
      <c r="U212" s="19">
        <f t="shared" si="139"/>
        <v>4578.8616399622915</v>
      </c>
      <c r="V212" s="19">
        <f t="shared" si="139"/>
        <v>4654.6727542414037</v>
      </c>
      <c r="W212" s="305">
        <f t="shared" si="140"/>
        <v>1.6556760225612921E-2</v>
      </c>
    </row>
    <row r="213" spans="2:23" hidden="1" outlineLevel="1">
      <c r="B213" s="13" t="s">
        <v>75</v>
      </c>
      <c r="C213" s="44">
        <v>3242.2983736510255</v>
      </c>
      <c r="D213" s="44">
        <v>3320.4757014465185</v>
      </c>
      <c r="E213" s="44">
        <v>3397.5952756404649</v>
      </c>
      <c r="F213" s="44">
        <v>3473.658680080699</v>
      </c>
      <c r="G213" s="44">
        <v>3548.6149847296338</v>
      </c>
      <c r="H213" s="44">
        <v>3540.3011877277045</v>
      </c>
      <c r="I213" s="44">
        <v>3533.3714113516039</v>
      </c>
      <c r="J213" s="44">
        <v>3526.4989267218198</v>
      </c>
      <c r="K213" s="44">
        <v>3519.6828057826642</v>
      </c>
      <c r="L213" s="44">
        <v>3512.866037878116</v>
      </c>
      <c r="M213" s="44">
        <v>3506.0649442505273</v>
      </c>
      <c r="N213" s="43">
        <v>3499.279484739332</v>
      </c>
      <c r="O213" s="19">
        <f t="shared" si="139"/>
        <v>3492.5071574608564</v>
      </c>
      <c r="P213" s="19">
        <f t="shared" si="139"/>
        <v>3485.7479369996458</v>
      </c>
      <c r="Q213" s="19">
        <f t="shared" si="139"/>
        <v>3479.0017979894342</v>
      </c>
      <c r="R213" s="19">
        <f t="shared" si="139"/>
        <v>3472.2687151130476</v>
      </c>
      <c r="S213" s="19">
        <f t="shared" si="139"/>
        <v>3465.5486631023091</v>
      </c>
      <c r="T213" s="19">
        <f t="shared" si="139"/>
        <v>3458.8416167379455</v>
      </c>
      <c r="U213" s="19">
        <f t="shared" si="139"/>
        <v>3452.1475508494914</v>
      </c>
      <c r="V213" s="19">
        <f t="shared" si="139"/>
        <v>3445.4664403151946</v>
      </c>
      <c r="W213" s="305">
        <f t="shared" si="140"/>
        <v>-1.935349064860481E-3</v>
      </c>
    </row>
    <row r="214" spans="2:23" hidden="1" outlineLevel="1">
      <c r="B214" s="13" t="s">
        <v>74</v>
      </c>
      <c r="C214" s="44">
        <v>3020.1033310323742</v>
      </c>
      <c r="D214" s="44">
        <v>3004.0903096058823</v>
      </c>
      <c r="E214" s="44">
        <v>2987.2235422501899</v>
      </c>
      <c r="F214" s="44">
        <v>2969.5763618646042</v>
      </c>
      <c r="G214" s="44">
        <v>2951.1718396854985</v>
      </c>
      <c r="H214" s="44">
        <v>3028.0543589420404</v>
      </c>
      <c r="I214" s="44">
        <v>3106.0853350866564</v>
      </c>
      <c r="J214" s="44">
        <v>3184.1654758067962</v>
      </c>
      <c r="K214" s="44">
        <v>3262.2980218291041</v>
      </c>
      <c r="L214" s="44">
        <v>3340.4328270240171</v>
      </c>
      <c r="M214" s="44">
        <v>3420.4441945449921</v>
      </c>
      <c r="N214" s="43">
        <v>3502.3773182027571</v>
      </c>
      <c r="O214" s="19">
        <f t="shared" si="139"/>
        <v>3586.2730631957929</v>
      </c>
      <c r="P214" s="19">
        <f t="shared" si="139"/>
        <v>3672.1784420427703</v>
      </c>
      <c r="Q214" s="19">
        <f t="shared" si="139"/>
        <v>3760.1415933975295</v>
      </c>
      <c r="R214" s="19">
        <f t="shared" si="139"/>
        <v>3850.2118090244585</v>
      </c>
      <c r="S214" s="19">
        <f t="shared" si="139"/>
        <v>3942.4395614200362</v>
      </c>
      <c r="T214" s="19">
        <f t="shared" si="139"/>
        <v>4036.8765320960219</v>
      </c>
      <c r="U214" s="19">
        <f t="shared" si="139"/>
        <v>4133.5756405401371</v>
      </c>
      <c r="V214" s="19">
        <f t="shared" si="139"/>
        <v>4232.5910738704715</v>
      </c>
      <c r="W214" s="305">
        <f t="shared" si="140"/>
        <v>2.3953942528410099E-2</v>
      </c>
    </row>
    <row r="215" spans="2:23" hidden="1" outlineLevel="1">
      <c r="B215" s="13" t="s">
        <v>73</v>
      </c>
      <c r="C215" s="44">
        <v>2564.2544857980047</v>
      </c>
      <c r="D215" s="44">
        <v>2597.5397751410492</v>
      </c>
      <c r="E215" s="44">
        <v>2630.0307721677573</v>
      </c>
      <c r="F215" s="44">
        <v>2661.7518183626371</v>
      </c>
      <c r="G215" s="44">
        <v>2692.6852905940032</v>
      </c>
      <c r="H215" s="44">
        <v>2682.6979192188942</v>
      </c>
      <c r="I215" s="44">
        <v>2673.7608532091181</v>
      </c>
      <c r="J215" s="44">
        <v>2664.8671934525814</v>
      </c>
      <c r="K215" s="44">
        <v>2656.016059581741</v>
      </c>
      <c r="L215" s="44">
        <v>2647.1643119898263</v>
      </c>
      <c r="M215" s="44">
        <v>2638.3476801071206</v>
      </c>
      <c r="N215" s="43">
        <v>2629.5660115024148</v>
      </c>
      <c r="O215" s="19">
        <f t="shared" si="139"/>
        <v>2620.8135724431795</v>
      </c>
      <c r="P215" s="19">
        <f t="shared" si="139"/>
        <v>2612.0902656396665</v>
      </c>
      <c r="Q215" s="19">
        <f t="shared" si="139"/>
        <v>2603.3959941259536</v>
      </c>
      <c r="R215" s="19">
        <f t="shared" si="139"/>
        <v>2594.7306612588673</v>
      </c>
      <c r="S215" s="19">
        <f t="shared" si="139"/>
        <v>2586.0941707169081</v>
      </c>
      <c r="T215" s="19">
        <f t="shared" si="139"/>
        <v>2577.4864264991802</v>
      </c>
      <c r="U215" s="19">
        <f t="shared" si="139"/>
        <v>2568.9073329243242</v>
      </c>
      <c r="V215" s="19">
        <f t="shared" si="139"/>
        <v>2560.3567946294534</v>
      </c>
      <c r="W215" s="305">
        <f t="shared" si="140"/>
        <v>-3.3284728434083144E-3</v>
      </c>
    </row>
    <row r="216" spans="2:23" hidden="1" outlineLevel="1">
      <c r="B216" s="13" t="s">
        <v>72</v>
      </c>
      <c r="C216" s="44">
        <v>1915.5077821675525</v>
      </c>
      <c r="D216" s="44">
        <v>1947.7017160813655</v>
      </c>
      <c r="E216" s="44">
        <v>1979.2914587986813</v>
      </c>
      <c r="F216" s="44">
        <v>2010.2892644504755</v>
      </c>
      <c r="G216" s="44">
        <v>2040.6761505471125</v>
      </c>
      <c r="H216" s="44">
        <v>2074.4486315858303</v>
      </c>
      <c r="I216" s="44">
        <v>2109.0158377517896</v>
      </c>
      <c r="J216" s="44">
        <v>2143.6166888740913</v>
      </c>
      <c r="K216" s="44">
        <v>2178.2524973637287</v>
      </c>
      <c r="L216" s="44">
        <v>2212.8892207602025</v>
      </c>
      <c r="M216" s="44">
        <v>2248.2254379173396</v>
      </c>
      <c r="N216" s="43">
        <v>2284.2809182118972</v>
      </c>
      <c r="O216" s="19">
        <f t="shared" si="139"/>
        <v>2320.9146312927874</v>
      </c>
      <c r="P216" s="19">
        <f t="shared" si="139"/>
        <v>2358.1358504563987</v>
      </c>
      <c r="Q216" s="19">
        <f t="shared" si="139"/>
        <v>2395.9539977178151</v>
      </c>
      <c r="R216" s="19">
        <f t="shared" si="139"/>
        <v>2434.3786461958639</v>
      </c>
      <c r="S216" s="19">
        <f t="shared" si="139"/>
        <v>2473.4195225364124</v>
      </c>
      <c r="T216" s="19">
        <f t="shared" si="139"/>
        <v>2513.0865093745288</v>
      </c>
      <c r="U216" s="19">
        <f t="shared" si="139"/>
        <v>2553.389647836128</v>
      </c>
      <c r="V216" s="19">
        <f t="shared" si="139"/>
        <v>2594.3391400797382</v>
      </c>
      <c r="W216" s="305">
        <f t="shared" si="140"/>
        <v>1.6037306440210841E-2</v>
      </c>
    </row>
    <row r="217" spans="2:23" hidden="1" outlineLevel="1">
      <c r="B217" s="13" t="s">
        <v>71</v>
      </c>
      <c r="C217" s="42">
        <v>1667.3949536920725</v>
      </c>
      <c r="D217" s="42">
        <v>1739.3356477728487</v>
      </c>
      <c r="E217" s="42">
        <v>1810.6853904966481</v>
      </c>
      <c r="F217" s="42">
        <v>1881.4193240958139</v>
      </c>
      <c r="G217" s="42">
        <v>1951.4860659204894</v>
      </c>
      <c r="H217" s="42">
        <v>2010.7922530505073</v>
      </c>
      <c r="I217" s="42">
        <v>2070.8576087891647</v>
      </c>
      <c r="J217" s="42">
        <v>2130.9556284247633</v>
      </c>
      <c r="K217" s="42">
        <v>2191.0888603497028</v>
      </c>
      <c r="L217" s="42">
        <v>2251.2238688077882</v>
      </c>
      <c r="M217" s="42">
        <v>2313.0092983454083</v>
      </c>
      <c r="N217" s="42">
        <v>2376.4904452019682</v>
      </c>
      <c r="O217" s="19">
        <f t="shared" si="139"/>
        <v>2441.7138487840443</v>
      </c>
      <c r="P217" s="19">
        <f t="shared" si="139"/>
        <v>2508.7273257844331</v>
      </c>
      <c r="Q217" s="19">
        <f t="shared" si="139"/>
        <v>2577.5800052376067</v>
      </c>
      <c r="R217" s="19">
        <f t="shared" si="139"/>
        <v>2648.3223645372732</v>
      </c>
      <c r="S217" s="19">
        <f t="shared" si="139"/>
        <v>2721.0062664424513</v>
      </c>
      <c r="T217" s="19">
        <f t="shared" si="139"/>
        <v>2795.684997099183</v>
      </c>
      <c r="U217" s="19">
        <f t="shared" si="139"/>
        <v>2872.4133051057647</v>
      </c>
      <c r="V217" s="19">
        <f t="shared" si="139"/>
        <v>2951.2474416501332</v>
      </c>
      <c r="W217" s="305">
        <f t="shared" si="140"/>
        <v>2.7445262283195548E-2</v>
      </c>
    </row>
    <row r="218" spans="2:23" hidden="1" outlineLevel="1">
      <c r="B218" s="11" t="s">
        <v>84</v>
      </c>
      <c r="C218" s="19">
        <f t="shared" ref="C218:V218" si="141">SUM(C206:C217)</f>
        <v>60618.999999999993</v>
      </c>
      <c r="D218" s="19">
        <f t="shared" si="141"/>
        <v>60881.000000000007</v>
      </c>
      <c r="E218" s="19">
        <f t="shared" si="141"/>
        <v>61125</v>
      </c>
      <c r="F218" s="19">
        <f t="shared" si="141"/>
        <v>61352</v>
      </c>
      <c r="G218" s="19">
        <f t="shared" si="141"/>
        <v>61562</v>
      </c>
      <c r="H218" s="19">
        <f t="shared" si="141"/>
        <v>61754.000000000007</v>
      </c>
      <c r="I218" s="19">
        <f t="shared" si="141"/>
        <v>61969.999999999978</v>
      </c>
      <c r="J218" s="19">
        <f t="shared" si="141"/>
        <v>62186.999999999993</v>
      </c>
      <c r="K218" s="19">
        <f t="shared" si="141"/>
        <v>62405.000000000007</v>
      </c>
      <c r="L218" s="19">
        <f t="shared" si="141"/>
        <v>62623</v>
      </c>
      <c r="M218" s="19">
        <f t="shared" si="141"/>
        <v>62855.204105060388</v>
      </c>
      <c r="N218" s="19">
        <f t="shared" si="141"/>
        <v>63101.770222664105</v>
      </c>
      <c r="O218" s="19">
        <f t="shared" si="141"/>
        <v>63360.738123137366</v>
      </c>
      <c r="P218" s="19">
        <f t="shared" si="141"/>
        <v>63632.313172395639</v>
      </c>
      <c r="Q218" s="19">
        <f t="shared" si="141"/>
        <v>63916.706862023049</v>
      </c>
      <c r="R218" s="19">
        <f t="shared" si="141"/>
        <v>64214.136949613749</v>
      </c>
      <c r="S218" s="19">
        <f t="shared" si="141"/>
        <v>64524.827602934267</v>
      </c>
      <c r="T218" s="19">
        <f t="shared" si="141"/>
        <v>64849.009548004069</v>
      </c>
      <c r="U218" s="19">
        <f t="shared" si="141"/>
        <v>65186.920221194749</v>
      </c>
      <c r="V218" s="19">
        <f t="shared" si="141"/>
        <v>65538.80392545044</v>
      </c>
      <c r="W218" s="305">
        <f t="shared" si="140"/>
        <v>3.9227637729342124E-3</v>
      </c>
    </row>
    <row r="219" spans="2:23" hidden="1" outlineLevel="1">
      <c r="P219" s="26"/>
    </row>
    <row r="220" spans="2:23" hidden="1" outlineLevel="1">
      <c r="B220" s="307" t="s">
        <v>82</v>
      </c>
      <c r="C220" s="13">
        <f t="shared" ref="C220:V220" si="142">0.1/100000</f>
        <v>9.9999999999999995E-7</v>
      </c>
      <c r="D220" s="13">
        <f t="shared" si="142"/>
        <v>9.9999999999999995E-7</v>
      </c>
      <c r="E220" s="13">
        <f t="shared" si="142"/>
        <v>9.9999999999999995E-7</v>
      </c>
      <c r="F220" s="13">
        <f t="shared" si="142"/>
        <v>9.9999999999999995E-7</v>
      </c>
      <c r="G220" s="13">
        <f t="shared" si="142"/>
        <v>9.9999999999999995E-7</v>
      </c>
      <c r="H220" s="13">
        <f t="shared" si="142"/>
        <v>9.9999999999999995E-7</v>
      </c>
      <c r="I220" s="13">
        <f t="shared" si="142"/>
        <v>9.9999999999999995E-7</v>
      </c>
      <c r="J220" s="13">
        <f t="shared" si="142"/>
        <v>9.9999999999999995E-7</v>
      </c>
      <c r="K220" s="13">
        <f t="shared" si="142"/>
        <v>9.9999999999999995E-7</v>
      </c>
      <c r="L220" s="13">
        <f t="shared" si="142"/>
        <v>9.9999999999999995E-7</v>
      </c>
      <c r="M220" s="13">
        <f t="shared" si="142"/>
        <v>9.9999999999999995E-7</v>
      </c>
      <c r="N220" s="13">
        <f t="shared" si="142"/>
        <v>9.9999999999999995E-7</v>
      </c>
      <c r="O220" s="13">
        <f t="shared" si="142"/>
        <v>9.9999999999999995E-7</v>
      </c>
      <c r="P220" s="13">
        <f t="shared" si="142"/>
        <v>9.9999999999999995E-7</v>
      </c>
      <c r="Q220" s="13">
        <f t="shared" si="142"/>
        <v>9.9999999999999995E-7</v>
      </c>
      <c r="R220" s="13">
        <f t="shared" si="142"/>
        <v>9.9999999999999995E-7</v>
      </c>
      <c r="S220" s="13">
        <f t="shared" si="142"/>
        <v>9.9999999999999995E-7</v>
      </c>
      <c r="T220" s="13">
        <f t="shared" si="142"/>
        <v>9.9999999999999995E-7</v>
      </c>
      <c r="U220" s="13">
        <f t="shared" si="142"/>
        <v>9.9999999999999995E-7</v>
      </c>
      <c r="V220" s="13">
        <f t="shared" si="142"/>
        <v>9.9999999999999995E-7</v>
      </c>
    </row>
    <row r="221" spans="2:23" hidden="1" outlineLevel="1">
      <c r="B221" s="307" t="s">
        <v>81</v>
      </c>
      <c r="C221" s="13">
        <f t="shared" ref="C221:V221" si="143">0.15/100000</f>
        <v>1.5E-6</v>
      </c>
      <c r="D221" s="13">
        <f t="shared" si="143"/>
        <v>1.5E-6</v>
      </c>
      <c r="E221" s="13">
        <f t="shared" si="143"/>
        <v>1.5E-6</v>
      </c>
      <c r="F221" s="13">
        <f t="shared" si="143"/>
        <v>1.5E-6</v>
      </c>
      <c r="G221" s="13">
        <f t="shared" si="143"/>
        <v>1.5E-6</v>
      </c>
      <c r="H221" s="13">
        <f t="shared" si="143"/>
        <v>1.5E-6</v>
      </c>
      <c r="I221" s="13">
        <f t="shared" si="143"/>
        <v>1.5E-6</v>
      </c>
      <c r="J221" s="13">
        <f t="shared" si="143"/>
        <v>1.5E-6</v>
      </c>
      <c r="K221" s="13">
        <f t="shared" si="143"/>
        <v>1.5E-6</v>
      </c>
      <c r="L221" s="13">
        <f t="shared" si="143"/>
        <v>1.5E-6</v>
      </c>
      <c r="M221" s="13">
        <f t="shared" si="143"/>
        <v>1.5E-6</v>
      </c>
      <c r="N221" s="13">
        <f t="shared" si="143"/>
        <v>1.5E-6</v>
      </c>
      <c r="O221" s="13">
        <f t="shared" si="143"/>
        <v>1.5E-6</v>
      </c>
      <c r="P221" s="13">
        <f t="shared" si="143"/>
        <v>1.5E-6</v>
      </c>
      <c r="Q221" s="13">
        <f t="shared" si="143"/>
        <v>1.5E-6</v>
      </c>
      <c r="R221" s="13">
        <f t="shared" si="143"/>
        <v>1.5E-6</v>
      </c>
      <c r="S221" s="13">
        <f t="shared" si="143"/>
        <v>1.5E-6</v>
      </c>
      <c r="T221" s="13">
        <f t="shared" si="143"/>
        <v>1.5E-6</v>
      </c>
      <c r="U221" s="13">
        <f t="shared" si="143"/>
        <v>1.5E-6</v>
      </c>
      <c r="V221" s="13">
        <f t="shared" si="143"/>
        <v>1.5E-6</v>
      </c>
    </row>
    <row r="222" spans="2:23" hidden="1" outlineLevel="1">
      <c r="B222" s="307" t="s">
        <v>80</v>
      </c>
      <c r="C222" s="13">
        <f t="shared" ref="C222:V222" si="144">0.25/100000</f>
        <v>2.5000000000000002E-6</v>
      </c>
      <c r="D222" s="13">
        <f t="shared" si="144"/>
        <v>2.5000000000000002E-6</v>
      </c>
      <c r="E222" s="13">
        <f t="shared" si="144"/>
        <v>2.5000000000000002E-6</v>
      </c>
      <c r="F222" s="13">
        <f t="shared" si="144"/>
        <v>2.5000000000000002E-6</v>
      </c>
      <c r="G222" s="13">
        <f t="shared" si="144"/>
        <v>2.5000000000000002E-6</v>
      </c>
      <c r="H222" s="13">
        <f t="shared" si="144"/>
        <v>2.5000000000000002E-6</v>
      </c>
      <c r="I222" s="13">
        <f t="shared" si="144"/>
        <v>2.5000000000000002E-6</v>
      </c>
      <c r="J222" s="13">
        <f t="shared" si="144"/>
        <v>2.5000000000000002E-6</v>
      </c>
      <c r="K222" s="13">
        <f t="shared" si="144"/>
        <v>2.5000000000000002E-6</v>
      </c>
      <c r="L222" s="13">
        <f t="shared" si="144"/>
        <v>2.5000000000000002E-6</v>
      </c>
      <c r="M222" s="13">
        <f t="shared" si="144"/>
        <v>2.5000000000000002E-6</v>
      </c>
      <c r="N222" s="13">
        <f t="shared" si="144"/>
        <v>2.5000000000000002E-6</v>
      </c>
      <c r="O222" s="13">
        <f t="shared" si="144"/>
        <v>2.5000000000000002E-6</v>
      </c>
      <c r="P222" s="13">
        <f t="shared" si="144"/>
        <v>2.5000000000000002E-6</v>
      </c>
      <c r="Q222" s="13">
        <f t="shared" si="144"/>
        <v>2.5000000000000002E-6</v>
      </c>
      <c r="R222" s="13">
        <f t="shared" si="144"/>
        <v>2.5000000000000002E-6</v>
      </c>
      <c r="S222" s="13">
        <f t="shared" si="144"/>
        <v>2.5000000000000002E-6</v>
      </c>
      <c r="T222" s="13">
        <f t="shared" si="144"/>
        <v>2.5000000000000002E-6</v>
      </c>
      <c r="U222" s="13">
        <f t="shared" si="144"/>
        <v>2.5000000000000002E-6</v>
      </c>
      <c r="V222" s="13">
        <f t="shared" si="144"/>
        <v>2.5000000000000002E-6</v>
      </c>
    </row>
    <row r="223" spans="2:23" hidden="1" outlineLevel="1">
      <c r="B223" s="307" t="s">
        <v>79</v>
      </c>
      <c r="C223" s="13">
        <f t="shared" ref="C223:V223" si="145">0.8/100000</f>
        <v>7.9999999999999996E-6</v>
      </c>
      <c r="D223" s="13">
        <f t="shared" si="145"/>
        <v>7.9999999999999996E-6</v>
      </c>
      <c r="E223" s="13">
        <f t="shared" si="145"/>
        <v>7.9999999999999996E-6</v>
      </c>
      <c r="F223" s="13">
        <f t="shared" si="145"/>
        <v>7.9999999999999996E-6</v>
      </c>
      <c r="G223" s="13">
        <f t="shared" si="145"/>
        <v>7.9999999999999996E-6</v>
      </c>
      <c r="H223" s="13">
        <f t="shared" si="145"/>
        <v>7.9999999999999996E-6</v>
      </c>
      <c r="I223" s="13">
        <f t="shared" si="145"/>
        <v>7.9999999999999996E-6</v>
      </c>
      <c r="J223" s="13">
        <f t="shared" si="145"/>
        <v>7.9999999999999996E-6</v>
      </c>
      <c r="K223" s="13">
        <f t="shared" si="145"/>
        <v>7.9999999999999996E-6</v>
      </c>
      <c r="L223" s="13">
        <f t="shared" si="145"/>
        <v>7.9999999999999996E-6</v>
      </c>
      <c r="M223" s="13">
        <f t="shared" si="145"/>
        <v>7.9999999999999996E-6</v>
      </c>
      <c r="N223" s="13">
        <f t="shared" si="145"/>
        <v>7.9999999999999996E-6</v>
      </c>
      <c r="O223" s="13">
        <f t="shared" si="145"/>
        <v>7.9999999999999996E-6</v>
      </c>
      <c r="P223" s="13">
        <f t="shared" si="145"/>
        <v>7.9999999999999996E-6</v>
      </c>
      <c r="Q223" s="13">
        <f t="shared" si="145"/>
        <v>7.9999999999999996E-6</v>
      </c>
      <c r="R223" s="13">
        <f t="shared" si="145"/>
        <v>7.9999999999999996E-6</v>
      </c>
      <c r="S223" s="13">
        <f t="shared" si="145"/>
        <v>7.9999999999999996E-6</v>
      </c>
      <c r="T223" s="13">
        <f t="shared" si="145"/>
        <v>7.9999999999999996E-6</v>
      </c>
      <c r="U223" s="13">
        <f t="shared" si="145"/>
        <v>7.9999999999999996E-6</v>
      </c>
      <c r="V223" s="13">
        <f t="shared" si="145"/>
        <v>7.9999999999999996E-6</v>
      </c>
    </row>
    <row r="224" spans="2:23" hidden="1" outlineLevel="1">
      <c r="B224" s="307" t="s">
        <v>78</v>
      </c>
      <c r="C224" s="13">
        <f t="shared" ref="C224:V224" si="146">1.7/100000</f>
        <v>1.7E-5</v>
      </c>
      <c r="D224" s="13">
        <f t="shared" si="146"/>
        <v>1.7E-5</v>
      </c>
      <c r="E224" s="13">
        <f t="shared" si="146"/>
        <v>1.7E-5</v>
      </c>
      <c r="F224" s="13">
        <f t="shared" si="146"/>
        <v>1.7E-5</v>
      </c>
      <c r="G224" s="13">
        <f t="shared" si="146"/>
        <v>1.7E-5</v>
      </c>
      <c r="H224" s="13">
        <f t="shared" si="146"/>
        <v>1.7E-5</v>
      </c>
      <c r="I224" s="13">
        <f t="shared" si="146"/>
        <v>1.7E-5</v>
      </c>
      <c r="J224" s="13">
        <f t="shared" si="146"/>
        <v>1.7E-5</v>
      </c>
      <c r="K224" s="13">
        <f t="shared" si="146"/>
        <v>1.7E-5</v>
      </c>
      <c r="L224" s="13">
        <f t="shared" si="146"/>
        <v>1.7E-5</v>
      </c>
      <c r="M224" s="13">
        <f t="shared" si="146"/>
        <v>1.7E-5</v>
      </c>
      <c r="N224" s="13">
        <f t="shared" si="146"/>
        <v>1.7E-5</v>
      </c>
      <c r="O224" s="13">
        <f t="shared" si="146"/>
        <v>1.7E-5</v>
      </c>
      <c r="P224" s="13">
        <f t="shared" si="146"/>
        <v>1.7E-5</v>
      </c>
      <c r="Q224" s="13">
        <f t="shared" si="146"/>
        <v>1.7E-5</v>
      </c>
      <c r="R224" s="13">
        <f t="shared" si="146"/>
        <v>1.7E-5</v>
      </c>
      <c r="S224" s="13">
        <f t="shared" si="146"/>
        <v>1.7E-5</v>
      </c>
      <c r="T224" s="13">
        <f t="shared" si="146"/>
        <v>1.7E-5</v>
      </c>
      <c r="U224" s="13">
        <f t="shared" si="146"/>
        <v>1.7E-5</v>
      </c>
      <c r="V224" s="13">
        <f t="shared" si="146"/>
        <v>1.7E-5</v>
      </c>
    </row>
    <row r="225" spans="2:22" hidden="1" outlineLevel="1">
      <c r="B225" s="307" t="s">
        <v>77</v>
      </c>
      <c r="C225" s="13">
        <f t="shared" ref="C225:V225" si="147">3.3/100000</f>
        <v>3.2999999999999996E-5</v>
      </c>
      <c r="D225" s="13">
        <f t="shared" si="147"/>
        <v>3.2999999999999996E-5</v>
      </c>
      <c r="E225" s="13">
        <f t="shared" si="147"/>
        <v>3.2999999999999996E-5</v>
      </c>
      <c r="F225" s="13">
        <f t="shared" si="147"/>
        <v>3.2999999999999996E-5</v>
      </c>
      <c r="G225" s="13">
        <f t="shared" si="147"/>
        <v>3.2999999999999996E-5</v>
      </c>
      <c r="H225" s="13">
        <f t="shared" si="147"/>
        <v>3.2999999999999996E-5</v>
      </c>
      <c r="I225" s="13">
        <f t="shared" si="147"/>
        <v>3.2999999999999996E-5</v>
      </c>
      <c r="J225" s="13">
        <f t="shared" si="147"/>
        <v>3.2999999999999996E-5</v>
      </c>
      <c r="K225" s="13">
        <f t="shared" si="147"/>
        <v>3.2999999999999996E-5</v>
      </c>
      <c r="L225" s="13">
        <f t="shared" si="147"/>
        <v>3.2999999999999996E-5</v>
      </c>
      <c r="M225" s="13">
        <f t="shared" si="147"/>
        <v>3.2999999999999996E-5</v>
      </c>
      <c r="N225" s="13">
        <f t="shared" si="147"/>
        <v>3.2999999999999996E-5</v>
      </c>
      <c r="O225" s="13">
        <f t="shared" si="147"/>
        <v>3.2999999999999996E-5</v>
      </c>
      <c r="P225" s="13">
        <f t="shared" si="147"/>
        <v>3.2999999999999996E-5</v>
      </c>
      <c r="Q225" s="13">
        <f t="shared" si="147"/>
        <v>3.2999999999999996E-5</v>
      </c>
      <c r="R225" s="13">
        <f t="shared" si="147"/>
        <v>3.2999999999999996E-5</v>
      </c>
      <c r="S225" s="13">
        <f t="shared" si="147"/>
        <v>3.2999999999999996E-5</v>
      </c>
      <c r="T225" s="13">
        <f t="shared" si="147"/>
        <v>3.2999999999999996E-5</v>
      </c>
      <c r="U225" s="13">
        <f t="shared" si="147"/>
        <v>3.2999999999999996E-5</v>
      </c>
      <c r="V225" s="13">
        <f t="shared" si="147"/>
        <v>3.2999999999999996E-5</v>
      </c>
    </row>
    <row r="226" spans="2:22" hidden="1" outlineLevel="1">
      <c r="B226" s="307" t="s">
        <v>76</v>
      </c>
      <c r="C226" s="13">
        <f t="shared" ref="C226:V226" si="148">6.4/100000</f>
        <v>6.3999999999999997E-5</v>
      </c>
      <c r="D226" s="13">
        <f t="shared" si="148"/>
        <v>6.3999999999999997E-5</v>
      </c>
      <c r="E226" s="13">
        <f t="shared" si="148"/>
        <v>6.3999999999999997E-5</v>
      </c>
      <c r="F226" s="13">
        <f t="shared" si="148"/>
        <v>6.3999999999999997E-5</v>
      </c>
      <c r="G226" s="13">
        <f t="shared" si="148"/>
        <v>6.3999999999999997E-5</v>
      </c>
      <c r="H226" s="13">
        <f t="shared" si="148"/>
        <v>6.3999999999999997E-5</v>
      </c>
      <c r="I226" s="13">
        <f t="shared" si="148"/>
        <v>6.3999999999999997E-5</v>
      </c>
      <c r="J226" s="13">
        <f t="shared" si="148"/>
        <v>6.3999999999999997E-5</v>
      </c>
      <c r="K226" s="13">
        <f t="shared" si="148"/>
        <v>6.3999999999999997E-5</v>
      </c>
      <c r="L226" s="13">
        <f t="shared" si="148"/>
        <v>6.3999999999999997E-5</v>
      </c>
      <c r="M226" s="13">
        <f t="shared" si="148"/>
        <v>6.3999999999999997E-5</v>
      </c>
      <c r="N226" s="13">
        <f t="shared" si="148"/>
        <v>6.3999999999999997E-5</v>
      </c>
      <c r="O226" s="13">
        <f t="shared" si="148"/>
        <v>6.3999999999999997E-5</v>
      </c>
      <c r="P226" s="13">
        <f t="shared" si="148"/>
        <v>6.3999999999999997E-5</v>
      </c>
      <c r="Q226" s="13">
        <f t="shared" si="148"/>
        <v>6.3999999999999997E-5</v>
      </c>
      <c r="R226" s="13">
        <f t="shared" si="148"/>
        <v>6.3999999999999997E-5</v>
      </c>
      <c r="S226" s="13">
        <f t="shared" si="148"/>
        <v>6.3999999999999997E-5</v>
      </c>
      <c r="T226" s="13">
        <f t="shared" si="148"/>
        <v>6.3999999999999997E-5</v>
      </c>
      <c r="U226" s="13">
        <f t="shared" si="148"/>
        <v>6.3999999999999997E-5</v>
      </c>
      <c r="V226" s="13">
        <f t="shared" si="148"/>
        <v>6.3999999999999997E-5</v>
      </c>
    </row>
    <row r="227" spans="2:22" hidden="1" outlineLevel="1">
      <c r="B227" s="307" t="s">
        <v>75</v>
      </c>
      <c r="C227" s="13">
        <f t="shared" ref="C227:V227" si="149">11.9/100000</f>
        <v>1.1900000000000001E-4</v>
      </c>
      <c r="D227" s="13">
        <f t="shared" si="149"/>
        <v>1.1900000000000001E-4</v>
      </c>
      <c r="E227" s="13">
        <f t="shared" si="149"/>
        <v>1.1900000000000001E-4</v>
      </c>
      <c r="F227" s="13">
        <f t="shared" si="149"/>
        <v>1.1900000000000001E-4</v>
      </c>
      <c r="G227" s="13">
        <f t="shared" si="149"/>
        <v>1.1900000000000001E-4</v>
      </c>
      <c r="H227" s="13">
        <f t="shared" si="149"/>
        <v>1.1900000000000001E-4</v>
      </c>
      <c r="I227" s="13">
        <f t="shared" si="149"/>
        <v>1.1900000000000001E-4</v>
      </c>
      <c r="J227" s="13">
        <f t="shared" si="149"/>
        <v>1.1900000000000001E-4</v>
      </c>
      <c r="K227" s="13">
        <f t="shared" si="149"/>
        <v>1.1900000000000001E-4</v>
      </c>
      <c r="L227" s="13">
        <f t="shared" si="149"/>
        <v>1.1900000000000001E-4</v>
      </c>
      <c r="M227" s="13">
        <f t="shared" si="149"/>
        <v>1.1900000000000001E-4</v>
      </c>
      <c r="N227" s="13">
        <f t="shared" si="149"/>
        <v>1.1900000000000001E-4</v>
      </c>
      <c r="O227" s="13">
        <f t="shared" si="149"/>
        <v>1.1900000000000001E-4</v>
      </c>
      <c r="P227" s="13">
        <f t="shared" si="149"/>
        <v>1.1900000000000001E-4</v>
      </c>
      <c r="Q227" s="13">
        <f t="shared" si="149"/>
        <v>1.1900000000000001E-4</v>
      </c>
      <c r="R227" s="13">
        <f t="shared" si="149"/>
        <v>1.1900000000000001E-4</v>
      </c>
      <c r="S227" s="13">
        <f t="shared" si="149"/>
        <v>1.1900000000000001E-4</v>
      </c>
      <c r="T227" s="13">
        <f t="shared" si="149"/>
        <v>1.1900000000000001E-4</v>
      </c>
      <c r="U227" s="13">
        <f t="shared" si="149"/>
        <v>1.1900000000000001E-4</v>
      </c>
      <c r="V227" s="13">
        <f t="shared" si="149"/>
        <v>1.1900000000000001E-4</v>
      </c>
    </row>
    <row r="228" spans="2:22" hidden="1" outlineLevel="1">
      <c r="B228" s="307" t="s">
        <v>74</v>
      </c>
      <c r="C228" s="13">
        <f t="shared" ref="C228:V228" si="150">20.1/100000</f>
        <v>2.0100000000000001E-4</v>
      </c>
      <c r="D228" s="13">
        <f t="shared" si="150"/>
        <v>2.0100000000000001E-4</v>
      </c>
      <c r="E228" s="13">
        <f t="shared" si="150"/>
        <v>2.0100000000000001E-4</v>
      </c>
      <c r="F228" s="13">
        <f t="shared" si="150"/>
        <v>2.0100000000000001E-4</v>
      </c>
      <c r="G228" s="13">
        <f t="shared" si="150"/>
        <v>2.0100000000000001E-4</v>
      </c>
      <c r="H228" s="13">
        <f t="shared" si="150"/>
        <v>2.0100000000000001E-4</v>
      </c>
      <c r="I228" s="13">
        <f t="shared" si="150"/>
        <v>2.0100000000000001E-4</v>
      </c>
      <c r="J228" s="13">
        <f t="shared" si="150"/>
        <v>2.0100000000000001E-4</v>
      </c>
      <c r="K228" s="13">
        <f t="shared" si="150"/>
        <v>2.0100000000000001E-4</v>
      </c>
      <c r="L228" s="13">
        <f t="shared" si="150"/>
        <v>2.0100000000000001E-4</v>
      </c>
      <c r="M228" s="13">
        <f t="shared" si="150"/>
        <v>2.0100000000000001E-4</v>
      </c>
      <c r="N228" s="13">
        <f t="shared" si="150"/>
        <v>2.0100000000000001E-4</v>
      </c>
      <c r="O228" s="13">
        <f t="shared" si="150"/>
        <v>2.0100000000000001E-4</v>
      </c>
      <c r="P228" s="13">
        <f t="shared" si="150"/>
        <v>2.0100000000000001E-4</v>
      </c>
      <c r="Q228" s="13">
        <f t="shared" si="150"/>
        <v>2.0100000000000001E-4</v>
      </c>
      <c r="R228" s="13">
        <f t="shared" si="150"/>
        <v>2.0100000000000001E-4</v>
      </c>
      <c r="S228" s="13">
        <f t="shared" si="150"/>
        <v>2.0100000000000001E-4</v>
      </c>
      <c r="T228" s="13">
        <f t="shared" si="150"/>
        <v>2.0100000000000001E-4</v>
      </c>
      <c r="U228" s="13">
        <f t="shared" si="150"/>
        <v>2.0100000000000001E-4</v>
      </c>
      <c r="V228" s="13">
        <f t="shared" si="150"/>
        <v>2.0100000000000001E-4</v>
      </c>
    </row>
    <row r="229" spans="2:22" hidden="1" outlineLevel="1">
      <c r="B229" s="307" t="s">
        <v>73</v>
      </c>
      <c r="C229" s="13">
        <f t="shared" ref="C229:V229" si="151">32.1/100000</f>
        <v>3.21E-4</v>
      </c>
      <c r="D229" s="13">
        <f t="shared" si="151"/>
        <v>3.21E-4</v>
      </c>
      <c r="E229" s="13">
        <f t="shared" si="151"/>
        <v>3.21E-4</v>
      </c>
      <c r="F229" s="13">
        <f t="shared" si="151"/>
        <v>3.21E-4</v>
      </c>
      <c r="G229" s="13">
        <f t="shared" si="151"/>
        <v>3.21E-4</v>
      </c>
      <c r="H229" s="13">
        <f t="shared" si="151"/>
        <v>3.21E-4</v>
      </c>
      <c r="I229" s="13">
        <f t="shared" si="151"/>
        <v>3.21E-4</v>
      </c>
      <c r="J229" s="13">
        <f t="shared" si="151"/>
        <v>3.21E-4</v>
      </c>
      <c r="K229" s="13">
        <f t="shared" si="151"/>
        <v>3.21E-4</v>
      </c>
      <c r="L229" s="13">
        <f t="shared" si="151"/>
        <v>3.21E-4</v>
      </c>
      <c r="M229" s="13">
        <f t="shared" si="151"/>
        <v>3.21E-4</v>
      </c>
      <c r="N229" s="13">
        <f t="shared" si="151"/>
        <v>3.21E-4</v>
      </c>
      <c r="O229" s="13">
        <f t="shared" si="151"/>
        <v>3.21E-4</v>
      </c>
      <c r="P229" s="13">
        <f t="shared" si="151"/>
        <v>3.21E-4</v>
      </c>
      <c r="Q229" s="13">
        <f t="shared" si="151"/>
        <v>3.21E-4</v>
      </c>
      <c r="R229" s="13">
        <f t="shared" si="151"/>
        <v>3.21E-4</v>
      </c>
      <c r="S229" s="13">
        <f t="shared" si="151"/>
        <v>3.21E-4</v>
      </c>
      <c r="T229" s="13">
        <f t="shared" si="151"/>
        <v>3.21E-4</v>
      </c>
      <c r="U229" s="13">
        <f t="shared" si="151"/>
        <v>3.21E-4</v>
      </c>
      <c r="V229" s="13">
        <f t="shared" si="151"/>
        <v>3.21E-4</v>
      </c>
    </row>
    <row r="230" spans="2:22" hidden="1" outlineLevel="1">
      <c r="B230" s="307" t="s">
        <v>72</v>
      </c>
      <c r="C230" s="13">
        <f t="shared" ref="C230:V230" si="152">44.5/100000</f>
        <v>4.4499999999999997E-4</v>
      </c>
      <c r="D230" s="13">
        <f t="shared" si="152"/>
        <v>4.4499999999999997E-4</v>
      </c>
      <c r="E230" s="13">
        <f t="shared" si="152"/>
        <v>4.4499999999999997E-4</v>
      </c>
      <c r="F230" s="13">
        <f t="shared" si="152"/>
        <v>4.4499999999999997E-4</v>
      </c>
      <c r="G230" s="13">
        <f t="shared" si="152"/>
        <v>4.4499999999999997E-4</v>
      </c>
      <c r="H230" s="13">
        <f t="shared" si="152"/>
        <v>4.4499999999999997E-4</v>
      </c>
      <c r="I230" s="13">
        <f t="shared" si="152"/>
        <v>4.4499999999999997E-4</v>
      </c>
      <c r="J230" s="13">
        <f t="shared" si="152"/>
        <v>4.4499999999999997E-4</v>
      </c>
      <c r="K230" s="13">
        <f t="shared" si="152"/>
        <v>4.4499999999999997E-4</v>
      </c>
      <c r="L230" s="13">
        <f t="shared" si="152"/>
        <v>4.4499999999999997E-4</v>
      </c>
      <c r="M230" s="13">
        <f t="shared" si="152"/>
        <v>4.4499999999999997E-4</v>
      </c>
      <c r="N230" s="13">
        <f t="shared" si="152"/>
        <v>4.4499999999999997E-4</v>
      </c>
      <c r="O230" s="13">
        <f t="shared" si="152"/>
        <v>4.4499999999999997E-4</v>
      </c>
      <c r="P230" s="13">
        <f t="shared" si="152"/>
        <v>4.4499999999999997E-4</v>
      </c>
      <c r="Q230" s="13">
        <f t="shared" si="152"/>
        <v>4.4499999999999997E-4</v>
      </c>
      <c r="R230" s="13">
        <f t="shared" si="152"/>
        <v>4.4499999999999997E-4</v>
      </c>
      <c r="S230" s="13">
        <f t="shared" si="152"/>
        <v>4.4499999999999997E-4</v>
      </c>
      <c r="T230" s="13">
        <f t="shared" si="152"/>
        <v>4.4499999999999997E-4</v>
      </c>
      <c r="U230" s="13">
        <f t="shared" si="152"/>
        <v>4.4499999999999997E-4</v>
      </c>
      <c r="V230" s="13">
        <f t="shared" si="152"/>
        <v>4.4499999999999997E-4</v>
      </c>
    </row>
    <row r="231" spans="2:22" hidden="1" outlineLevel="1">
      <c r="B231" s="308" t="s">
        <v>71</v>
      </c>
      <c r="C231" s="13">
        <f t="shared" ref="C231:V231" si="153">49.7/100000</f>
        <v>4.9700000000000005E-4</v>
      </c>
      <c r="D231" s="13">
        <f t="shared" si="153"/>
        <v>4.9700000000000005E-4</v>
      </c>
      <c r="E231" s="13">
        <f t="shared" si="153"/>
        <v>4.9700000000000005E-4</v>
      </c>
      <c r="F231" s="13">
        <f t="shared" si="153"/>
        <v>4.9700000000000005E-4</v>
      </c>
      <c r="G231" s="13">
        <f t="shared" si="153"/>
        <v>4.9700000000000005E-4</v>
      </c>
      <c r="H231" s="13">
        <f t="shared" si="153"/>
        <v>4.9700000000000005E-4</v>
      </c>
      <c r="I231" s="13">
        <f t="shared" si="153"/>
        <v>4.9700000000000005E-4</v>
      </c>
      <c r="J231" s="13">
        <f t="shared" si="153"/>
        <v>4.9700000000000005E-4</v>
      </c>
      <c r="K231" s="13">
        <f t="shared" si="153"/>
        <v>4.9700000000000005E-4</v>
      </c>
      <c r="L231" s="13">
        <f t="shared" si="153"/>
        <v>4.9700000000000005E-4</v>
      </c>
      <c r="M231" s="13">
        <f t="shared" si="153"/>
        <v>4.9700000000000005E-4</v>
      </c>
      <c r="N231" s="13">
        <f t="shared" si="153"/>
        <v>4.9700000000000005E-4</v>
      </c>
      <c r="O231" s="13">
        <f t="shared" si="153"/>
        <v>4.9700000000000005E-4</v>
      </c>
      <c r="P231" s="13">
        <f t="shared" si="153"/>
        <v>4.9700000000000005E-4</v>
      </c>
      <c r="Q231" s="13">
        <f t="shared" si="153"/>
        <v>4.9700000000000005E-4</v>
      </c>
      <c r="R231" s="13">
        <f t="shared" si="153"/>
        <v>4.9700000000000005E-4</v>
      </c>
      <c r="S231" s="13">
        <f t="shared" si="153"/>
        <v>4.9700000000000005E-4</v>
      </c>
      <c r="T231" s="13">
        <f t="shared" si="153"/>
        <v>4.9700000000000005E-4</v>
      </c>
      <c r="U231" s="13">
        <f t="shared" si="153"/>
        <v>4.9700000000000005E-4</v>
      </c>
      <c r="V231" s="13">
        <f t="shared" si="153"/>
        <v>4.9700000000000005E-4</v>
      </c>
    </row>
    <row r="232" spans="2:22" hidden="1" outlineLevel="1">
      <c r="B232" s="308"/>
    </row>
    <row r="233" spans="2:22" hidden="1" outlineLevel="1">
      <c r="B233" s="309" t="s">
        <v>83</v>
      </c>
    </row>
    <row r="234" spans="2:22" hidden="1" outlineLevel="1">
      <c r="B234" s="307" t="s">
        <v>82</v>
      </c>
      <c r="C234" s="5">
        <f t="shared" ref="C234:V234" si="154">C220*C206*1000</f>
        <v>11.459213916254239</v>
      </c>
      <c r="D234" s="5">
        <f t="shared" si="154"/>
        <v>11.470002555677961</v>
      </c>
      <c r="E234" s="5">
        <f t="shared" si="154"/>
        <v>11.477445889245844</v>
      </c>
      <c r="F234" s="5">
        <f t="shared" si="154"/>
        <v>11.481764289885373</v>
      </c>
      <c r="G234" s="5">
        <f t="shared" si="154"/>
        <v>11.482988506634854</v>
      </c>
      <c r="H234" s="5">
        <f t="shared" si="154"/>
        <v>11.479500784119475</v>
      </c>
      <c r="I234" s="5">
        <f t="shared" si="154"/>
        <v>11.480490911080109</v>
      </c>
      <c r="J234" s="5">
        <f t="shared" si="154"/>
        <v>11.481666853102546</v>
      </c>
      <c r="K234" s="5">
        <f t="shared" si="154"/>
        <v>11.483026728291529</v>
      </c>
      <c r="L234" s="5">
        <f t="shared" si="154"/>
        <v>11.484385291575281</v>
      </c>
      <c r="M234" s="5">
        <f t="shared" si="154"/>
        <v>11.486322539604004</v>
      </c>
      <c r="N234" s="5">
        <f t="shared" si="154"/>
        <v>11.488837624013275</v>
      </c>
      <c r="O234" s="5">
        <f t="shared" si="154"/>
        <v>11.491353259134018</v>
      </c>
      <c r="P234" s="5">
        <f t="shared" si="154"/>
        <v>11.493869445086816</v>
      </c>
      <c r="Q234" s="5">
        <f t="shared" si="154"/>
        <v>11.496386181992282</v>
      </c>
      <c r="R234" s="5">
        <f t="shared" si="154"/>
        <v>11.498903469971056</v>
      </c>
      <c r="S234" s="5">
        <f t="shared" si="154"/>
        <v>11.501421309143804</v>
      </c>
      <c r="T234" s="5">
        <f t="shared" si="154"/>
        <v>11.503939699631218</v>
      </c>
      <c r="U234" s="5">
        <f t="shared" si="154"/>
        <v>11.50645864155401</v>
      </c>
      <c r="V234" s="5">
        <f t="shared" si="154"/>
        <v>11.50897813503293</v>
      </c>
    </row>
    <row r="235" spans="2:22" hidden="1" outlineLevel="1">
      <c r="B235" s="307" t="s">
        <v>81</v>
      </c>
      <c r="C235" s="5">
        <f t="shared" ref="C235:V235" si="155">C221*C207*1000</f>
        <v>9.9286230073393611</v>
      </c>
      <c r="D235" s="5">
        <f t="shared" si="155"/>
        <v>9.9201586363464465</v>
      </c>
      <c r="E235" s="5">
        <f t="shared" si="155"/>
        <v>9.9088221584277534</v>
      </c>
      <c r="F235" s="5">
        <f t="shared" si="155"/>
        <v>9.8948189198692429</v>
      </c>
      <c r="G235" s="5">
        <f t="shared" si="155"/>
        <v>9.8781897008606006</v>
      </c>
      <c r="H235" s="5">
        <f t="shared" si="155"/>
        <v>9.8764939475521736</v>
      </c>
      <c r="I235" s="5">
        <f t="shared" si="155"/>
        <v>9.8786502045957008</v>
      </c>
      <c r="J235" s="5">
        <f t="shared" si="155"/>
        <v>9.8809663318573175</v>
      </c>
      <c r="K235" s="5">
        <f t="shared" si="155"/>
        <v>9.8834407729121025</v>
      </c>
      <c r="L235" s="5">
        <f t="shared" si="155"/>
        <v>9.8859141289532619</v>
      </c>
      <c r="M235" s="5">
        <f t="shared" si="155"/>
        <v>9.8885596642533731</v>
      </c>
      <c r="N235" s="5">
        <f t="shared" si="155"/>
        <v>9.8913774377860992</v>
      </c>
      <c r="O235" s="5">
        <f t="shared" si="155"/>
        <v>9.8941960142515022</v>
      </c>
      <c r="P235" s="5">
        <f t="shared" si="155"/>
        <v>9.8970153938783803</v>
      </c>
      <c r="Q235" s="5">
        <f t="shared" si="155"/>
        <v>9.8998355768955939</v>
      </c>
      <c r="R235" s="5">
        <f t="shared" si="155"/>
        <v>9.9026565635320765</v>
      </c>
      <c r="S235" s="5">
        <f t="shared" si="155"/>
        <v>9.9054783540168163</v>
      </c>
      <c r="T235" s="5">
        <f t="shared" si="155"/>
        <v>9.9083009485788764</v>
      </c>
      <c r="U235" s="5">
        <f t="shared" si="155"/>
        <v>9.9111243474473802</v>
      </c>
      <c r="V235" s="5">
        <f t="shared" si="155"/>
        <v>9.9139485508515186</v>
      </c>
    </row>
    <row r="236" spans="2:22" hidden="1" outlineLevel="1">
      <c r="B236" s="307" t="s">
        <v>80</v>
      </c>
      <c r="C236" s="5">
        <f t="shared" ref="C236:V236" si="156">C222*C208*1000</f>
        <v>22.094765469111291</v>
      </c>
      <c r="D236" s="5">
        <f t="shared" si="156"/>
        <v>21.645596483286013</v>
      </c>
      <c r="E236" s="5">
        <f t="shared" si="156"/>
        <v>21.190673144692457</v>
      </c>
      <c r="F236" s="5">
        <f t="shared" si="156"/>
        <v>20.730800522369897</v>
      </c>
      <c r="G236" s="5">
        <f t="shared" si="156"/>
        <v>20.266410943332883</v>
      </c>
      <c r="H236" s="5">
        <f t="shared" si="156"/>
        <v>19.983775581632273</v>
      </c>
      <c r="I236" s="5">
        <f t="shared" si="156"/>
        <v>19.70905162518121</v>
      </c>
      <c r="J236" s="5">
        <f t="shared" si="156"/>
        <v>19.43465060513369</v>
      </c>
      <c r="K236" s="5">
        <f t="shared" si="156"/>
        <v>19.160555961096605</v>
      </c>
      <c r="L236" s="5">
        <f t="shared" si="156"/>
        <v>18.886449772492334</v>
      </c>
      <c r="M236" s="5">
        <f t="shared" si="156"/>
        <v>18.617662524259803</v>
      </c>
      <c r="N236" s="5">
        <f t="shared" si="156"/>
        <v>18.354079207929328</v>
      </c>
      <c r="O236" s="5">
        <f t="shared" si="156"/>
        <v>18.094227625620636</v>
      </c>
      <c r="P236" s="5">
        <f t="shared" si="156"/>
        <v>17.838054944555825</v>
      </c>
      <c r="Q236" s="5">
        <f t="shared" si="156"/>
        <v>17.585509079947713</v>
      </c>
      <c r="R236" s="5">
        <f t="shared" si="156"/>
        <v>17.336538684410019</v>
      </c>
      <c r="S236" s="5">
        <f t="shared" si="156"/>
        <v>17.091093137517451</v>
      </c>
      <c r="T236" s="5">
        <f t="shared" si="156"/>
        <v>16.849122535513594</v>
      </c>
      <c r="U236" s="5">
        <f t="shared" si="156"/>
        <v>16.61057768116455</v>
      </c>
      <c r="V236" s="5">
        <f t="shared" si="156"/>
        <v>16.375410073756203</v>
      </c>
    </row>
    <row r="237" spans="2:22" hidden="1" outlineLevel="1">
      <c r="B237" s="307" t="s">
        <v>79</v>
      </c>
      <c r="C237" s="5">
        <f t="shared" ref="C237:V237" si="157">C223*C209*1000</f>
        <v>77.389881480127812</v>
      </c>
      <c r="D237" s="5">
        <f t="shared" si="157"/>
        <v>77.889886468449319</v>
      </c>
      <c r="E237" s="5">
        <f t="shared" si="157"/>
        <v>78.366666510915437</v>
      </c>
      <c r="F237" s="5">
        <f t="shared" si="157"/>
        <v>78.821364377614799</v>
      </c>
      <c r="G237" s="5">
        <f t="shared" si="157"/>
        <v>79.253848687168031</v>
      </c>
      <c r="H237" s="5">
        <f t="shared" si="157"/>
        <v>78.48150367006464</v>
      </c>
      <c r="I237" s="5">
        <f t="shared" si="157"/>
        <v>77.740086868936459</v>
      </c>
      <c r="J237" s="5">
        <f t="shared" si="157"/>
        <v>76.999938976118187</v>
      </c>
      <c r="K237" s="5">
        <f t="shared" si="157"/>
        <v>76.261011172570718</v>
      </c>
      <c r="L237" s="5">
        <f t="shared" si="157"/>
        <v>75.522049336336096</v>
      </c>
      <c r="M237" s="5">
        <f t="shared" si="157"/>
        <v>74.796042318997692</v>
      </c>
      <c r="N237" s="5">
        <f t="shared" si="157"/>
        <v>74.082747954584462</v>
      </c>
      <c r="O237" s="5">
        <f t="shared" si="157"/>
        <v>73.376255940062023</v>
      </c>
      <c r="P237" s="5">
        <f t="shared" si="157"/>
        <v>72.676501404647311</v>
      </c>
      <c r="Q237" s="5">
        <f t="shared" si="157"/>
        <v>71.983420096198998</v>
      </c>
      <c r="R237" s="5">
        <f t="shared" si="157"/>
        <v>71.29694837531801</v>
      </c>
      <c r="S237" s="5">
        <f t="shared" si="157"/>
        <v>70.617023209503998</v>
      </c>
      <c r="T237" s="5">
        <f t="shared" si="157"/>
        <v>69.943582167367666</v>
      </c>
      <c r="U237" s="5">
        <f t="shared" si="157"/>
        <v>69.276563412898255</v>
      </c>
      <c r="V237" s="5">
        <f t="shared" si="157"/>
        <v>68.615905699785714</v>
      </c>
    </row>
    <row r="238" spans="2:22" hidden="1" outlineLevel="1">
      <c r="B238" s="307" t="s">
        <v>78</v>
      </c>
      <c r="C238" s="5">
        <f t="shared" ref="C238:V238" si="158">C224*C210*1000</f>
        <v>70.903285088822315</v>
      </c>
      <c r="D238" s="5">
        <f t="shared" si="158"/>
        <v>72.984098734889358</v>
      </c>
      <c r="E238" s="5">
        <f t="shared" si="158"/>
        <v>75.041231600660836</v>
      </c>
      <c r="F238" s="5">
        <f t="shared" si="158"/>
        <v>77.074418043433596</v>
      </c>
      <c r="G238" s="5">
        <f t="shared" si="158"/>
        <v>79.082249662456803</v>
      </c>
      <c r="H238" s="5">
        <f t="shared" si="158"/>
        <v>80.285216392250632</v>
      </c>
      <c r="I238" s="5">
        <f t="shared" si="158"/>
        <v>81.518984297348709</v>
      </c>
      <c r="J238" s="5">
        <f t="shared" si="158"/>
        <v>82.754054126770569</v>
      </c>
      <c r="K238" s="5">
        <f t="shared" si="158"/>
        <v>83.990471673367082</v>
      </c>
      <c r="L238" s="5">
        <f t="shared" si="158"/>
        <v>85.22692114303689</v>
      </c>
      <c r="M238" s="5">
        <f t="shared" si="158"/>
        <v>86.481638847036166</v>
      </c>
      <c r="N238" s="5">
        <f t="shared" si="158"/>
        <v>87.754895664540953</v>
      </c>
      <c r="O238" s="5">
        <f t="shared" si="158"/>
        <v>89.046898460324286</v>
      </c>
      <c r="P238" s="5">
        <f t="shared" si="158"/>
        <v>90.357923228747126</v>
      </c>
      <c r="Q238" s="5">
        <f t="shared" si="158"/>
        <v>91.688250027595913</v>
      </c>
      <c r="R238" s="5">
        <f t="shared" si="158"/>
        <v>93.038163037907921</v>
      </c>
      <c r="S238" s="5">
        <f t="shared" si="158"/>
        <v>94.407950624677213</v>
      </c>
      <c r="T238" s="5">
        <f t="shared" si="158"/>
        <v>95.797905398454546</v>
      </c>
      <c r="U238" s="5">
        <f t="shared" si="158"/>
        <v>97.208324277853933</v>
      </c>
      <c r="V238" s="5">
        <f t="shared" si="158"/>
        <v>98.639508552979791</v>
      </c>
    </row>
    <row r="239" spans="2:22" hidden="1" outlineLevel="1">
      <c r="B239" s="307" t="s">
        <v>77</v>
      </c>
      <c r="C239" s="5">
        <f t="shared" ref="C239:V239" si="159">C225*C211*1000</f>
        <v>124.37168151071009</v>
      </c>
      <c r="D239" s="5">
        <f t="shared" si="159"/>
        <v>126.45170191613633</v>
      </c>
      <c r="E239" s="5">
        <f t="shared" si="159"/>
        <v>128.49250813405348</v>
      </c>
      <c r="F239" s="5">
        <f t="shared" si="159"/>
        <v>130.49490413783926</v>
      </c>
      <c r="G239" s="5">
        <f t="shared" si="159"/>
        <v>132.45766558756208</v>
      </c>
      <c r="H239" s="5">
        <f t="shared" si="159"/>
        <v>136.4506700670847</v>
      </c>
      <c r="I239" s="5">
        <f t="shared" si="159"/>
        <v>140.49520431625697</v>
      </c>
      <c r="J239" s="5">
        <f t="shared" si="159"/>
        <v>144.5419550491591</v>
      </c>
      <c r="K239" s="5">
        <f t="shared" si="159"/>
        <v>148.59109368625215</v>
      </c>
      <c r="L239" s="5">
        <f t="shared" si="159"/>
        <v>152.64035182383139</v>
      </c>
      <c r="M239" s="5">
        <f t="shared" si="159"/>
        <v>156.80004663737304</v>
      </c>
      <c r="N239" s="5">
        <f t="shared" si="159"/>
        <v>161.07319256216076</v>
      </c>
      <c r="O239" s="5">
        <f t="shared" si="159"/>
        <v>165.46279110597584</v>
      </c>
      <c r="P239" s="5">
        <f t="shared" si="159"/>
        <v>169.97201585865508</v>
      </c>
      <c r="Q239" s="5">
        <f t="shared" si="159"/>
        <v>174.60412689733417</v>
      </c>
      <c r="R239" s="5">
        <f t="shared" si="159"/>
        <v>179.36247314341642</v>
      </c>
      <c r="S239" s="5">
        <f t="shared" si="159"/>
        <v>184.25049478377451</v>
      </c>
      <c r="T239" s="5">
        <f t="shared" si="159"/>
        <v>189.27172575793514</v>
      </c>
      <c r="U239" s="5">
        <f t="shared" si="159"/>
        <v>194.42979631304482</v>
      </c>
      <c r="V239" s="5">
        <f t="shared" si="159"/>
        <v>199.72843562846435</v>
      </c>
    </row>
    <row r="240" spans="2:22" hidden="1" outlineLevel="1">
      <c r="B240" s="307" t="s">
        <v>76</v>
      </c>
      <c r="C240" s="5">
        <f t="shared" ref="C240:V240" si="160">C226*C212*1000</f>
        <v>235.51254210434362</v>
      </c>
      <c r="D240" s="5">
        <f t="shared" si="160"/>
        <v>234.80888114872582</v>
      </c>
      <c r="E240" s="5">
        <f t="shared" si="160"/>
        <v>234.03783672653179</v>
      </c>
      <c r="F240" s="5">
        <f t="shared" si="160"/>
        <v>233.20468655222729</v>
      </c>
      <c r="G240" s="5">
        <f t="shared" si="160"/>
        <v>232.31079711673115</v>
      </c>
      <c r="H240" s="5">
        <f t="shared" si="160"/>
        <v>236.32952306466177</v>
      </c>
      <c r="I240" s="5">
        <f t="shared" si="160"/>
        <v>240.43871531007738</v>
      </c>
      <c r="J240" s="5">
        <f t="shared" si="160"/>
        <v>244.55174085513548</v>
      </c>
      <c r="K240" s="5">
        <f t="shared" si="160"/>
        <v>248.6687574397188</v>
      </c>
      <c r="L240" s="5">
        <f t="shared" si="160"/>
        <v>252.78588398779505</v>
      </c>
      <c r="M240" s="5">
        <f t="shared" si="160"/>
        <v>256.97118784927943</v>
      </c>
      <c r="N240" s="5">
        <f t="shared" si="160"/>
        <v>261.22579819139088</v>
      </c>
      <c r="O240" s="5">
        <f t="shared" si="160"/>
        <v>265.5508510967901</v>
      </c>
      <c r="P240" s="5">
        <f t="shared" si="160"/>
        <v>269.9475128661071</v>
      </c>
      <c r="Q240" s="5">
        <f t="shared" si="160"/>
        <v>274.41696911013173</v>
      </c>
      <c r="R240" s="5">
        <f t="shared" si="160"/>
        <v>278.96042506952762</v>
      </c>
      <c r="S240" s="5">
        <f t="shared" si="160"/>
        <v>283.57910593983888</v>
      </c>
      <c r="T240" s="5">
        <f t="shared" si="160"/>
        <v>288.27425720187841</v>
      </c>
      <c r="U240" s="5">
        <f t="shared" si="160"/>
        <v>293.04714495758668</v>
      </c>
      <c r="V240" s="5">
        <f t="shared" si="160"/>
        <v>297.89905627144981</v>
      </c>
    </row>
    <row r="241" spans="2:22" hidden="1" outlineLevel="1">
      <c r="B241" s="307" t="s">
        <v>75</v>
      </c>
      <c r="C241" s="5">
        <f t="shared" ref="C241:V241" si="161">C227*C213*1000</f>
        <v>385.83350646447207</v>
      </c>
      <c r="D241" s="5">
        <f t="shared" si="161"/>
        <v>395.13660847213572</v>
      </c>
      <c r="E241" s="5">
        <f t="shared" si="161"/>
        <v>404.3138378012153</v>
      </c>
      <c r="F241" s="5">
        <f t="shared" si="161"/>
        <v>413.36538292960319</v>
      </c>
      <c r="G241" s="5">
        <f t="shared" si="161"/>
        <v>422.28518318282642</v>
      </c>
      <c r="H241" s="5">
        <f t="shared" si="161"/>
        <v>421.29584133959685</v>
      </c>
      <c r="I241" s="5">
        <f t="shared" si="161"/>
        <v>420.47119795084086</v>
      </c>
      <c r="J241" s="5">
        <f t="shared" si="161"/>
        <v>419.65337227989659</v>
      </c>
      <c r="K241" s="5">
        <f t="shared" si="161"/>
        <v>418.84225388813707</v>
      </c>
      <c r="L241" s="5">
        <f t="shared" si="161"/>
        <v>418.03105850749586</v>
      </c>
      <c r="M241" s="5">
        <f t="shared" si="161"/>
        <v>417.22172836581279</v>
      </c>
      <c r="N241" s="5">
        <f t="shared" si="161"/>
        <v>416.41425868398051</v>
      </c>
      <c r="O241" s="5">
        <f t="shared" si="161"/>
        <v>415.60835173784193</v>
      </c>
      <c r="P241" s="5">
        <f t="shared" si="161"/>
        <v>414.80400450295792</v>
      </c>
      <c r="Q241" s="5">
        <f t="shared" si="161"/>
        <v>414.00121396074269</v>
      </c>
      <c r="R241" s="5">
        <f t="shared" si="161"/>
        <v>413.19997709845268</v>
      </c>
      <c r="S241" s="5">
        <f t="shared" si="161"/>
        <v>412.40029090917477</v>
      </c>
      <c r="T241" s="5">
        <f t="shared" si="161"/>
        <v>411.60215239181554</v>
      </c>
      <c r="U241" s="5">
        <f t="shared" si="161"/>
        <v>410.80555855108946</v>
      </c>
      <c r="V241" s="5">
        <f t="shared" si="161"/>
        <v>410.01050639750821</v>
      </c>
    </row>
    <row r="242" spans="2:22" hidden="1" outlineLevel="1">
      <c r="B242" s="307" t="s">
        <v>74</v>
      </c>
      <c r="C242" s="5">
        <f t="shared" ref="C242:V242" si="162">C228*C214*1000</f>
        <v>607.04076953750723</v>
      </c>
      <c r="D242" s="5">
        <f t="shared" si="162"/>
        <v>603.82215223078242</v>
      </c>
      <c r="E242" s="5">
        <f t="shared" si="162"/>
        <v>600.43193199228813</v>
      </c>
      <c r="F242" s="5">
        <f t="shared" si="162"/>
        <v>596.88484873478546</v>
      </c>
      <c r="G242" s="5">
        <f t="shared" si="162"/>
        <v>593.18553977678528</v>
      </c>
      <c r="H242" s="5">
        <f t="shared" si="162"/>
        <v>608.63892614735016</v>
      </c>
      <c r="I242" s="5">
        <f t="shared" si="162"/>
        <v>624.32315235241799</v>
      </c>
      <c r="J242" s="5">
        <f t="shared" si="162"/>
        <v>640.01726063716603</v>
      </c>
      <c r="K242" s="5">
        <f t="shared" si="162"/>
        <v>655.72190238764995</v>
      </c>
      <c r="L242" s="5">
        <f t="shared" si="162"/>
        <v>671.4269982318275</v>
      </c>
      <c r="M242" s="5">
        <f t="shared" si="162"/>
        <v>687.50928310354345</v>
      </c>
      <c r="N242" s="5">
        <f t="shared" si="162"/>
        <v>703.9778409587542</v>
      </c>
      <c r="O242" s="5">
        <f t="shared" si="162"/>
        <v>720.8408857023544</v>
      </c>
      <c r="P242" s="5">
        <f t="shared" si="162"/>
        <v>738.10786685059679</v>
      </c>
      <c r="Q242" s="5">
        <f t="shared" si="162"/>
        <v>755.78846027290342</v>
      </c>
      <c r="R242" s="5">
        <f t="shared" si="162"/>
        <v>773.89257361391617</v>
      </c>
      <c r="S242" s="5">
        <f t="shared" si="162"/>
        <v>792.43035184542737</v>
      </c>
      <c r="T242" s="5">
        <f t="shared" si="162"/>
        <v>811.41218295130045</v>
      </c>
      <c r="U242" s="5">
        <f t="shared" si="162"/>
        <v>830.84870374856757</v>
      </c>
      <c r="V242" s="5">
        <f t="shared" si="162"/>
        <v>850.75080584796478</v>
      </c>
    </row>
    <row r="243" spans="2:22" hidden="1" outlineLevel="1">
      <c r="B243" s="307" t="s">
        <v>73</v>
      </c>
      <c r="C243" s="5">
        <f t="shared" ref="C243:V243" si="163">C229*C215*1000</f>
        <v>823.12568994115952</v>
      </c>
      <c r="D243" s="5">
        <f t="shared" si="163"/>
        <v>833.81026782027675</v>
      </c>
      <c r="E243" s="5">
        <f t="shared" si="163"/>
        <v>844.23987786585008</v>
      </c>
      <c r="F243" s="5">
        <f t="shared" si="163"/>
        <v>854.42233369440646</v>
      </c>
      <c r="G243" s="5">
        <f t="shared" si="163"/>
        <v>864.35197828067498</v>
      </c>
      <c r="H243" s="5">
        <f t="shared" si="163"/>
        <v>861.14603206926495</v>
      </c>
      <c r="I243" s="5">
        <f t="shared" si="163"/>
        <v>858.27723388012691</v>
      </c>
      <c r="J243" s="5">
        <f t="shared" si="163"/>
        <v>855.42236909827864</v>
      </c>
      <c r="K243" s="5">
        <f t="shared" si="163"/>
        <v>852.58115512573886</v>
      </c>
      <c r="L243" s="5">
        <f t="shared" si="163"/>
        <v>849.73974414873419</v>
      </c>
      <c r="M243" s="5">
        <f t="shared" si="163"/>
        <v>846.90960531438577</v>
      </c>
      <c r="N243" s="5">
        <f t="shared" si="163"/>
        <v>844.09068969227508</v>
      </c>
      <c r="O243" s="5">
        <f t="shared" si="163"/>
        <v>841.28115675426068</v>
      </c>
      <c r="P243" s="5">
        <f t="shared" si="163"/>
        <v>838.48097527033292</v>
      </c>
      <c r="Q243" s="5">
        <f t="shared" si="163"/>
        <v>835.69011411443103</v>
      </c>
      <c r="R243" s="5">
        <f t="shared" si="163"/>
        <v>832.90854226409635</v>
      </c>
      <c r="S243" s="5">
        <f t="shared" si="163"/>
        <v>830.13622880012747</v>
      </c>
      <c r="T243" s="5">
        <f t="shared" si="163"/>
        <v>827.37314290623692</v>
      </c>
      <c r="U243" s="5">
        <f t="shared" si="163"/>
        <v>824.61925386870803</v>
      </c>
      <c r="V243" s="5">
        <f t="shared" si="163"/>
        <v>821.87453107605461</v>
      </c>
    </row>
    <row r="244" spans="2:22" hidden="1" outlineLevel="1">
      <c r="B244" s="307" t="s">
        <v>72</v>
      </c>
      <c r="C244" s="5">
        <f t="shared" ref="C244:V244" si="164">C230*C216*1000</f>
        <v>852.40096306456076</v>
      </c>
      <c r="D244" s="5">
        <f t="shared" si="164"/>
        <v>866.72726365620758</v>
      </c>
      <c r="E244" s="5">
        <f t="shared" si="164"/>
        <v>880.78469916541314</v>
      </c>
      <c r="F244" s="5">
        <f t="shared" si="164"/>
        <v>894.57872268046162</v>
      </c>
      <c r="G244" s="5">
        <f t="shared" si="164"/>
        <v>908.100886993465</v>
      </c>
      <c r="H244" s="5">
        <f t="shared" si="164"/>
        <v>923.12964105569438</v>
      </c>
      <c r="I244" s="5">
        <f t="shared" si="164"/>
        <v>938.51204779954628</v>
      </c>
      <c r="J244" s="5">
        <f t="shared" si="164"/>
        <v>953.9094265489706</v>
      </c>
      <c r="K244" s="5">
        <f t="shared" si="164"/>
        <v>969.32236132685921</v>
      </c>
      <c r="L244" s="5">
        <f t="shared" si="164"/>
        <v>984.73570323829006</v>
      </c>
      <c r="M244" s="5">
        <f t="shared" si="164"/>
        <v>1000.460319873216</v>
      </c>
      <c r="N244" s="5">
        <f t="shared" si="164"/>
        <v>1016.5050086042942</v>
      </c>
      <c r="O244" s="5">
        <f t="shared" si="164"/>
        <v>1032.8070109252903</v>
      </c>
      <c r="P244" s="5">
        <f t="shared" si="164"/>
        <v>1049.3704534530975</v>
      </c>
      <c r="Q244" s="5">
        <f t="shared" si="164"/>
        <v>1066.1995289844276</v>
      </c>
      <c r="R244" s="5">
        <f t="shared" si="164"/>
        <v>1083.2984975571594</v>
      </c>
      <c r="S244" s="5">
        <f t="shared" si="164"/>
        <v>1100.6716875287034</v>
      </c>
      <c r="T244" s="5">
        <f t="shared" si="164"/>
        <v>1118.3234966716652</v>
      </c>
      <c r="U244" s="5">
        <f t="shared" si="164"/>
        <v>1136.2583932870768</v>
      </c>
      <c r="V244" s="5">
        <f t="shared" si="164"/>
        <v>1154.4809173354836</v>
      </c>
    </row>
    <row r="245" spans="2:22" hidden="1" outlineLevel="1">
      <c r="B245" s="308" t="s">
        <v>71</v>
      </c>
      <c r="C245" s="5">
        <f t="shared" ref="C245:V245" si="165">C231*C217*1000</f>
        <v>828.69529198496002</v>
      </c>
      <c r="D245" s="5">
        <f t="shared" si="165"/>
        <v>864.44981694310582</v>
      </c>
      <c r="E245" s="5">
        <f t="shared" si="165"/>
        <v>899.91063907683417</v>
      </c>
      <c r="F245" s="5">
        <f t="shared" si="165"/>
        <v>935.06540407561954</v>
      </c>
      <c r="G245" s="5">
        <f t="shared" si="165"/>
        <v>969.88857476248336</v>
      </c>
      <c r="H245" s="5">
        <f t="shared" si="165"/>
        <v>999.36374976610216</v>
      </c>
      <c r="I245" s="5">
        <f t="shared" si="165"/>
        <v>1029.2162315682149</v>
      </c>
      <c r="J245" s="5">
        <f t="shared" si="165"/>
        <v>1059.0849473271076</v>
      </c>
      <c r="K245" s="5">
        <f t="shared" si="165"/>
        <v>1088.9711635938024</v>
      </c>
      <c r="L245" s="5">
        <f t="shared" si="165"/>
        <v>1118.8582627974708</v>
      </c>
      <c r="M245" s="5">
        <f t="shared" si="165"/>
        <v>1149.565621277668</v>
      </c>
      <c r="N245" s="5">
        <f t="shared" si="165"/>
        <v>1181.1157512653783</v>
      </c>
      <c r="O245" s="5">
        <f t="shared" si="165"/>
        <v>1213.5317828456703</v>
      </c>
      <c r="P245" s="5">
        <f t="shared" si="165"/>
        <v>1246.8374809148634</v>
      </c>
      <c r="Q245" s="5">
        <f t="shared" si="165"/>
        <v>1281.0572626030907</v>
      </c>
      <c r="R245" s="5">
        <f t="shared" si="165"/>
        <v>1316.2162151750249</v>
      </c>
      <c r="S245" s="5">
        <f t="shared" si="165"/>
        <v>1352.3401144218985</v>
      </c>
      <c r="T245" s="5">
        <f t="shared" si="165"/>
        <v>1389.4554435582941</v>
      </c>
      <c r="U245" s="5">
        <f t="shared" si="165"/>
        <v>1427.5894126375651</v>
      </c>
      <c r="V245" s="5">
        <f t="shared" si="165"/>
        <v>1466.7699785001162</v>
      </c>
    </row>
    <row r="246" spans="2:22" hidden="1" outlineLevel="1">
      <c r="B246" s="308"/>
    </row>
    <row r="247" spans="2:22" hidden="1" outlineLevel="1">
      <c r="B247" s="307" t="s">
        <v>317</v>
      </c>
      <c r="C247" s="5">
        <f t="shared" ref="C247:V247" si="166">SUM(C234:C239)</f>
        <v>316.14745047236511</v>
      </c>
      <c r="D247" s="5">
        <f t="shared" si="166"/>
        <v>320.36144479478543</v>
      </c>
      <c r="E247" s="5">
        <f t="shared" si="166"/>
        <v>324.47734743799583</v>
      </c>
      <c r="F247" s="5">
        <f t="shared" si="166"/>
        <v>328.49807029101214</v>
      </c>
      <c r="G247" s="5">
        <f t="shared" si="166"/>
        <v>332.42135308801528</v>
      </c>
      <c r="H247" s="5">
        <f t="shared" si="166"/>
        <v>336.55716044270389</v>
      </c>
      <c r="I247" s="5">
        <f t="shared" si="166"/>
        <v>340.82246822339914</v>
      </c>
      <c r="J247" s="5">
        <f t="shared" si="166"/>
        <v>345.09323194214141</v>
      </c>
      <c r="K247" s="5">
        <f t="shared" si="166"/>
        <v>349.36959999449016</v>
      </c>
      <c r="L247" s="5">
        <f t="shared" si="166"/>
        <v>353.64607149622526</v>
      </c>
      <c r="M247" s="5">
        <f t="shared" si="166"/>
        <v>358.0702725315241</v>
      </c>
      <c r="N247" s="5">
        <f t="shared" si="166"/>
        <v>362.64513045101489</v>
      </c>
      <c r="O247" s="5">
        <f t="shared" si="166"/>
        <v>367.36572240536827</v>
      </c>
      <c r="P247" s="5">
        <f t="shared" si="166"/>
        <v>372.23538027557055</v>
      </c>
      <c r="Q247" s="5">
        <f t="shared" si="166"/>
        <v>377.25752785996463</v>
      </c>
      <c r="R247" s="5">
        <f t="shared" si="166"/>
        <v>382.43568327455552</v>
      </c>
      <c r="S247" s="5">
        <f t="shared" si="166"/>
        <v>387.77346141863381</v>
      </c>
      <c r="T247" s="5">
        <f t="shared" si="166"/>
        <v>393.27457650748102</v>
      </c>
      <c r="U247" s="5">
        <f t="shared" si="166"/>
        <v>398.94284467396295</v>
      </c>
      <c r="V247" s="5">
        <f t="shared" si="166"/>
        <v>404.78218664087052</v>
      </c>
    </row>
    <row r="248" spans="2:22" hidden="1" outlineLevel="1">
      <c r="B248" s="307" t="s">
        <v>313</v>
      </c>
      <c r="C248" s="5">
        <f t="shared" ref="C248:V248" si="167">SUM(C240:C242)</f>
        <v>1228.3868181063231</v>
      </c>
      <c r="D248" s="5">
        <f t="shared" si="167"/>
        <v>1233.7676418516439</v>
      </c>
      <c r="E248" s="5">
        <f t="shared" si="167"/>
        <v>1238.7836065200352</v>
      </c>
      <c r="F248" s="5">
        <f t="shared" si="167"/>
        <v>1243.4549182166161</v>
      </c>
      <c r="G248" s="5">
        <f t="shared" si="167"/>
        <v>1247.781520076343</v>
      </c>
      <c r="H248" s="5">
        <f t="shared" si="167"/>
        <v>1266.2642905516086</v>
      </c>
      <c r="I248" s="5">
        <f t="shared" si="167"/>
        <v>1285.2330656133363</v>
      </c>
      <c r="J248" s="5">
        <f t="shared" si="167"/>
        <v>1304.2223737721981</v>
      </c>
      <c r="K248" s="5">
        <f t="shared" si="167"/>
        <v>1323.2329137155057</v>
      </c>
      <c r="L248" s="5">
        <f t="shared" si="167"/>
        <v>1342.2439407271186</v>
      </c>
      <c r="M248" s="5">
        <f t="shared" si="167"/>
        <v>1361.7021993186358</v>
      </c>
      <c r="N248" s="5">
        <f t="shared" si="167"/>
        <v>1381.6178978341254</v>
      </c>
      <c r="O248" s="5">
        <f t="shared" si="167"/>
        <v>1402.0000885369864</v>
      </c>
      <c r="P248" s="5">
        <f t="shared" si="167"/>
        <v>1422.8593842196619</v>
      </c>
      <c r="Q248" s="5">
        <f t="shared" si="167"/>
        <v>1444.2066433437778</v>
      </c>
      <c r="R248" s="5">
        <f t="shared" si="167"/>
        <v>1466.0529757818963</v>
      </c>
      <c r="S248" s="5">
        <f t="shared" si="167"/>
        <v>1488.4097486944411</v>
      </c>
      <c r="T248" s="5">
        <f t="shared" si="167"/>
        <v>1511.2885925449946</v>
      </c>
      <c r="U248" s="5">
        <f t="shared" si="167"/>
        <v>1534.7014072572438</v>
      </c>
      <c r="V248" s="5">
        <f t="shared" si="167"/>
        <v>1558.6603685169227</v>
      </c>
    </row>
    <row r="249" spans="2:22" hidden="1" outlineLevel="1">
      <c r="B249" s="307" t="s">
        <v>315</v>
      </c>
      <c r="C249" s="5">
        <f t="shared" ref="C249:V249" si="168">SUM(C243:C245)</f>
        <v>2504.2219449906802</v>
      </c>
      <c r="D249" s="5">
        <f t="shared" si="168"/>
        <v>2564.98734841959</v>
      </c>
      <c r="E249" s="5">
        <f t="shared" si="168"/>
        <v>2624.9352161080974</v>
      </c>
      <c r="F249" s="5">
        <f t="shared" si="168"/>
        <v>2684.0664604504877</v>
      </c>
      <c r="G249" s="5">
        <f t="shared" si="168"/>
        <v>2742.3414400366237</v>
      </c>
      <c r="H249" s="5">
        <f t="shared" si="168"/>
        <v>2783.6394228910613</v>
      </c>
      <c r="I249" s="5">
        <f t="shared" si="168"/>
        <v>2826.0055132478883</v>
      </c>
      <c r="J249" s="5">
        <f t="shared" si="168"/>
        <v>2868.4167429743566</v>
      </c>
      <c r="K249" s="5">
        <f t="shared" si="168"/>
        <v>2910.8746800464005</v>
      </c>
      <c r="L249" s="5">
        <f t="shared" si="168"/>
        <v>2953.3337101844954</v>
      </c>
      <c r="M249" s="5">
        <f t="shared" si="168"/>
        <v>2996.9355464652699</v>
      </c>
      <c r="N249" s="5">
        <f t="shared" si="168"/>
        <v>3041.7114495619476</v>
      </c>
      <c r="O249" s="5">
        <f t="shared" si="168"/>
        <v>3087.6199505252216</v>
      </c>
      <c r="P249" s="5">
        <f t="shared" si="168"/>
        <v>3134.6889096382938</v>
      </c>
      <c r="Q249" s="5">
        <f t="shared" si="168"/>
        <v>3182.9469057019496</v>
      </c>
      <c r="R249" s="5">
        <f t="shared" si="168"/>
        <v>3232.4232549962808</v>
      </c>
      <c r="S249" s="5">
        <f t="shared" si="168"/>
        <v>3283.148030750729</v>
      </c>
      <c r="T249" s="5">
        <f t="shared" si="168"/>
        <v>3335.1520831361963</v>
      </c>
      <c r="U249" s="5">
        <f t="shared" si="168"/>
        <v>3388.46705979335</v>
      </c>
      <c r="V249" s="5">
        <f t="shared" si="168"/>
        <v>3443.1254269116544</v>
      </c>
    </row>
    <row r="250" spans="2:22" hidden="1" outlineLevel="1">
      <c r="B250" s="308"/>
      <c r="C250" s="5"/>
    </row>
    <row r="251" spans="2:22" hidden="1" outlineLevel="1">
      <c r="B251" s="307" t="s">
        <v>317</v>
      </c>
      <c r="C251" s="17">
        <f>C247/(SUM(C247:C249))</f>
        <v>7.8085079415945044E-2</v>
      </c>
    </row>
    <row r="252" spans="2:22" hidden="1" outlineLevel="1">
      <c r="B252" s="307" t="s">
        <v>313</v>
      </c>
      <c r="C252" s="17">
        <f>C248/(SUM(C247:C249))</f>
        <v>0.30339856324008746</v>
      </c>
    </row>
    <row r="253" spans="2:22" hidden="1" outlineLevel="1">
      <c r="B253" s="307" t="s">
        <v>315</v>
      </c>
      <c r="C253" s="17">
        <f>C249/(SUM(C247:C249))</f>
        <v>0.61851635734396748</v>
      </c>
    </row>
    <row r="254" spans="2:22" collapsed="1">
      <c r="B254" s="307"/>
    </row>
    <row r="255" spans="2:22" hidden="1" outlineLevel="1">
      <c r="B255" s="308" t="s">
        <v>90</v>
      </c>
      <c r="C255" s="29">
        <f t="shared" ref="C255:V255" si="169">C278*1000</f>
        <v>46144000</v>
      </c>
      <c r="D255" s="29">
        <f t="shared" si="169"/>
        <v>46257999.999999993</v>
      </c>
      <c r="E255" s="29">
        <f t="shared" si="169"/>
        <v>46356999.999999993</v>
      </c>
      <c r="F255" s="29">
        <f t="shared" si="169"/>
        <v>46461999.999999985</v>
      </c>
      <c r="G255" s="29">
        <f t="shared" si="169"/>
        <v>46567000.000000007</v>
      </c>
      <c r="H255" s="29">
        <f t="shared" si="169"/>
        <v>46669000</v>
      </c>
      <c r="I255" s="29">
        <f t="shared" si="169"/>
        <v>46874000.000000007</v>
      </c>
      <c r="J255" s="29">
        <f t="shared" si="169"/>
        <v>47080999.999999993</v>
      </c>
      <c r="K255" s="29">
        <f t="shared" si="169"/>
        <v>47288000.000000007</v>
      </c>
      <c r="L255" s="29">
        <f t="shared" si="169"/>
        <v>47496000</v>
      </c>
      <c r="M255" s="29">
        <f t="shared" si="169"/>
        <v>47723677.480271906</v>
      </c>
      <c r="N255" s="29">
        <f t="shared" si="169"/>
        <v>47971033.092466563</v>
      </c>
      <c r="O255" s="29">
        <f t="shared" si="169"/>
        <v>48235223.981106088</v>
      </c>
      <c r="P255" s="29">
        <f t="shared" si="169"/>
        <v>48516268.237858683</v>
      </c>
      <c r="Q255" s="29">
        <f t="shared" si="169"/>
        <v>48814197.156458117</v>
      </c>
      <c r="R255" s="29">
        <f t="shared" si="169"/>
        <v>49129055.175355613</v>
      </c>
      <c r="S255" s="29">
        <f t="shared" si="169"/>
        <v>49460899.832776248</v>
      </c>
      <c r="T255" s="29">
        <f t="shared" si="169"/>
        <v>49809801.734079532</v>
      </c>
      <c r="U255" s="29">
        <f t="shared" si="169"/>
        <v>50175844.531338066</v>
      </c>
      <c r="V255" s="29">
        <f t="shared" si="169"/>
        <v>50559124.915058598</v>
      </c>
    </row>
    <row r="256" spans="2:22" ht="15.75" hidden="1" outlineLevel="1" thickBot="1">
      <c r="B256" s="308" t="s">
        <v>87</v>
      </c>
      <c r="C256" s="48">
        <f>21.6/100000</f>
        <v>2.1600000000000002E-4</v>
      </c>
      <c r="D256" s="48">
        <f t="shared" ref="D256:V256" si="170">D257/D255</f>
        <v>2.1814653778557948E-4</v>
      </c>
      <c r="E256" s="48">
        <f t="shared" si="170"/>
        <v>2.2027584766304664E-4</v>
      </c>
      <c r="F256" s="48">
        <f t="shared" si="170"/>
        <v>2.2238813620775234E-4</v>
      </c>
      <c r="G256" s="48">
        <f t="shared" si="170"/>
        <v>2.2448360670554072E-4</v>
      </c>
      <c r="H256" s="48">
        <f t="shared" si="170"/>
        <v>2.2701322441821066E-4</v>
      </c>
      <c r="I256" s="48">
        <f t="shared" si="170"/>
        <v>2.2952065396140457E-4</v>
      </c>
      <c r="J256" s="48">
        <f t="shared" si="170"/>
        <v>2.3200618599079551E-4</v>
      </c>
      <c r="K256" s="48">
        <f t="shared" si="170"/>
        <v>2.3447010610750429E-4</v>
      </c>
      <c r="L256" s="48">
        <f t="shared" si="170"/>
        <v>2.3691269496749971E-4</v>
      </c>
      <c r="M256" s="48">
        <f t="shared" si="170"/>
        <v>2.3934909550130692E-4</v>
      </c>
      <c r="N256" s="48">
        <f t="shared" si="170"/>
        <v>2.41779147036221E-4</v>
      </c>
      <c r="O256" s="48">
        <f t="shared" si="170"/>
        <v>2.4421438805356446E-4</v>
      </c>
      <c r="P256" s="48">
        <f t="shared" si="170"/>
        <v>2.4665495239293797E-4</v>
      </c>
      <c r="Q256" s="48">
        <f t="shared" si="170"/>
        <v>2.491009829610932E-4</v>
      </c>
      <c r="R256" s="48">
        <f t="shared" si="170"/>
        <v>2.5155263056754387E-4</v>
      </c>
      <c r="S256" s="48">
        <f t="shared" si="170"/>
        <v>2.5401005277948926E-4</v>
      </c>
      <c r="T256" s="48">
        <f t="shared" si="170"/>
        <v>2.5647341280070552E-4</v>
      </c>
      <c r="U256" s="48">
        <f t="shared" si="170"/>
        <v>2.5894287837857313E-4</v>
      </c>
      <c r="V256" s="48">
        <f t="shared" si="170"/>
        <v>2.6141862074294313E-4</v>
      </c>
    </row>
    <row r="257" spans="2:23" ht="15.75" hidden="1" outlineLevel="1" thickBot="1">
      <c r="B257" s="344" t="s">
        <v>89</v>
      </c>
      <c r="C257" s="341">
        <f>C255*C256</f>
        <v>9967.1040000000012</v>
      </c>
      <c r="D257" s="342">
        <f t="shared" ref="D257:V257" si="171">SUM(D258:D260)</f>
        <v>10091.022544885334</v>
      </c>
      <c r="E257" s="342">
        <f t="shared" si="171"/>
        <v>10211.327470115852</v>
      </c>
      <c r="F257" s="342">
        <f t="shared" si="171"/>
        <v>10332.597584484585</v>
      </c>
      <c r="G257" s="342">
        <f t="shared" si="171"/>
        <v>10453.528113456916</v>
      </c>
      <c r="H257" s="342">
        <f t="shared" si="171"/>
        <v>10594.480170373474</v>
      </c>
      <c r="I257" s="342">
        <f t="shared" si="171"/>
        <v>10758.551133786879</v>
      </c>
      <c r="J257" s="342">
        <f t="shared" si="171"/>
        <v>10923.083242632641</v>
      </c>
      <c r="K257" s="342">
        <f t="shared" si="171"/>
        <v>11087.622377611664</v>
      </c>
      <c r="L257" s="342">
        <f t="shared" si="171"/>
        <v>11252.405360176366</v>
      </c>
      <c r="M257" s="342">
        <f t="shared" si="171"/>
        <v>11422.619038899171</v>
      </c>
      <c r="N257" s="342">
        <f t="shared" si="171"/>
        <v>11598.395463542896</v>
      </c>
      <c r="O257" s="342">
        <f t="shared" si="171"/>
        <v>11779.73570717244</v>
      </c>
      <c r="P257" s="342">
        <f t="shared" si="171"/>
        <v>11966.777832492042</v>
      </c>
      <c r="Q257" s="342">
        <f t="shared" si="171"/>
        <v>12159.664494130317</v>
      </c>
      <c r="R257" s="342">
        <f t="shared" si="171"/>
        <v>12358.543066658709</v>
      </c>
      <c r="S257" s="342">
        <f t="shared" si="171"/>
        <v>12563.565777044527</v>
      </c>
      <c r="T257" s="342">
        <f t="shared" si="171"/>
        <v>12774.889841665878</v>
      </c>
      <c r="U257" s="342">
        <f t="shared" si="171"/>
        <v>12992.677608020465</v>
      </c>
      <c r="V257" s="343">
        <f t="shared" si="171"/>
        <v>13217.096701264791</v>
      </c>
    </row>
    <row r="258" spans="2:23" hidden="1" outlineLevel="1">
      <c r="B258" s="308" t="s">
        <v>317</v>
      </c>
      <c r="C258" s="19">
        <f>C257*0.1</f>
        <v>996.71040000000016</v>
      </c>
      <c r="D258" s="19">
        <f t="shared" ref="D258:V258" si="172">1000*C261*SUM(D266:D271)</f>
        <v>995.8005046751806</v>
      </c>
      <c r="E258" s="19">
        <f t="shared" si="172"/>
        <v>994.57929842423334</v>
      </c>
      <c r="F258" s="19">
        <f t="shared" si="172"/>
        <v>993.4989273516519</v>
      </c>
      <c r="G258" s="19">
        <f t="shared" si="172"/>
        <v>992.43008946295402</v>
      </c>
      <c r="H258" s="19">
        <f t="shared" si="172"/>
        <v>989.99587246581711</v>
      </c>
      <c r="I258" s="19">
        <f t="shared" si="172"/>
        <v>989.75689199827434</v>
      </c>
      <c r="J258" s="19">
        <f t="shared" si="172"/>
        <v>989.5600599287875</v>
      </c>
      <c r="K258" s="19">
        <f t="shared" si="172"/>
        <v>989.36295360835913</v>
      </c>
      <c r="L258" s="19">
        <f t="shared" si="172"/>
        <v>989.18640332920006</v>
      </c>
      <c r="M258" s="19">
        <f t="shared" si="172"/>
        <v>989.39079111603132</v>
      </c>
      <c r="N258" s="19">
        <f t="shared" si="172"/>
        <v>989.971703515287</v>
      </c>
      <c r="O258" s="19">
        <f t="shared" si="172"/>
        <v>990.84675988013339</v>
      </c>
      <c r="P258" s="19">
        <f t="shared" si="172"/>
        <v>992.01183129112235</v>
      </c>
      <c r="Q258" s="19">
        <f t="shared" si="172"/>
        <v>993.46302103328765</v>
      </c>
      <c r="R258" s="19">
        <f t="shared" si="172"/>
        <v>995.19665903515579</v>
      </c>
      <c r="S258" s="19">
        <f t="shared" si="172"/>
        <v>997.2092965334117</v>
      </c>
      <c r="T258" s="19">
        <f t="shared" si="172"/>
        <v>999.49770095680685</v>
      </c>
      <c r="U258" s="19">
        <f t="shared" si="172"/>
        <v>1002.0588510231478</v>
      </c>
      <c r="V258" s="19">
        <f t="shared" si="172"/>
        <v>1004.8899320434094</v>
      </c>
    </row>
    <row r="259" spans="2:23" hidden="1" outlineLevel="1">
      <c r="B259" s="308" t="s">
        <v>313</v>
      </c>
      <c r="C259" s="5">
        <f>C257*0.35</f>
        <v>3488.4864000000002</v>
      </c>
      <c r="D259" s="19">
        <f t="shared" ref="D259:V259" si="173">1000*C262*(SUM(D272:D274))</f>
        <v>3539.9913814976658</v>
      </c>
      <c r="E259" s="19">
        <f t="shared" si="173"/>
        <v>3590.2009918969106</v>
      </c>
      <c r="F259" s="19">
        <f t="shared" si="173"/>
        <v>3640.7213208619287</v>
      </c>
      <c r="G259" s="19">
        <f t="shared" si="173"/>
        <v>3691.094978559202</v>
      </c>
      <c r="H259" s="19">
        <f t="shared" si="173"/>
        <v>3769.6993471411756</v>
      </c>
      <c r="I259" s="19">
        <f t="shared" si="173"/>
        <v>3856.4661907767277</v>
      </c>
      <c r="J259" s="19">
        <f t="shared" si="173"/>
        <v>3943.3988373686393</v>
      </c>
      <c r="K259" s="19">
        <f t="shared" si="173"/>
        <v>4030.3356809873349</v>
      </c>
      <c r="L259" s="19">
        <f t="shared" si="173"/>
        <v>4117.3633557634139</v>
      </c>
      <c r="M259" s="19">
        <f t="shared" si="173"/>
        <v>4206.5192117074348</v>
      </c>
      <c r="N259" s="19">
        <f t="shared" si="173"/>
        <v>4297.858560441493</v>
      </c>
      <c r="O259" s="19">
        <f t="shared" si="173"/>
        <v>4391.4348919375825</v>
      </c>
      <c r="P259" s="19">
        <f t="shared" si="173"/>
        <v>4487.3063248813205</v>
      </c>
      <c r="Q259" s="19">
        <f t="shared" si="173"/>
        <v>4585.5325272189584</v>
      </c>
      <c r="R259" s="19">
        <f t="shared" si="173"/>
        <v>4686.1747579047824</v>
      </c>
      <c r="S259" s="19">
        <f t="shared" si="173"/>
        <v>4789.2959097787989</v>
      </c>
      <c r="T259" s="19">
        <f t="shared" si="173"/>
        <v>4894.9605536053814</v>
      </c>
      <c r="U259" s="19">
        <f t="shared" si="173"/>
        <v>5003.2349833043818</v>
      </c>
      <c r="V259" s="19">
        <f t="shared" si="173"/>
        <v>5114.1872624070729</v>
      </c>
    </row>
    <row r="260" spans="2:23" hidden="1" outlineLevel="1">
      <c r="B260" s="308" t="s">
        <v>315</v>
      </c>
      <c r="C260" s="5">
        <f>C257*0.55</f>
        <v>5481.9072000000015</v>
      </c>
      <c r="D260" s="19">
        <f t="shared" ref="D260:V260" si="174">1000*C263*(SUM(D275:D277))</f>
        <v>5555.2306587124867</v>
      </c>
      <c r="E260" s="19">
        <f t="shared" si="174"/>
        <v>5626.5471797947075</v>
      </c>
      <c r="F260" s="19">
        <f t="shared" si="174"/>
        <v>5698.3773362710053</v>
      </c>
      <c r="G260" s="19">
        <f t="shared" si="174"/>
        <v>5770.0030454347598</v>
      </c>
      <c r="H260" s="19">
        <f t="shared" si="174"/>
        <v>5834.7849507664805</v>
      </c>
      <c r="I260" s="19">
        <f t="shared" si="174"/>
        <v>5912.3280510118775</v>
      </c>
      <c r="J260" s="19">
        <f t="shared" si="174"/>
        <v>5990.1243453352135</v>
      </c>
      <c r="K260" s="19">
        <f t="shared" si="174"/>
        <v>6067.923743015971</v>
      </c>
      <c r="L260" s="19">
        <f t="shared" si="174"/>
        <v>6145.8556010837519</v>
      </c>
      <c r="M260" s="19">
        <f t="shared" si="174"/>
        <v>6226.7090360757038</v>
      </c>
      <c r="N260" s="19">
        <f t="shared" si="174"/>
        <v>6310.5651995861172</v>
      </c>
      <c r="O260" s="19">
        <f t="shared" si="174"/>
        <v>6397.454055354724</v>
      </c>
      <c r="P260" s="19">
        <f t="shared" si="174"/>
        <v>6487.4596763195987</v>
      </c>
      <c r="Q260" s="19">
        <f t="shared" si="174"/>
        <v>6580.6689458780693</v>
      </c>
      <c r="R260" s="19">
        <f t="shared" si="174"/>
        <v>6677.1716497187708</v>
      </c>
      <c r="S260" s="19">
        <f t="shared" si="174"/>
        <v>6777.0605707323166</v>
      </c>
      <c r="T260" s="19">
        <f t="shared" si="174"/>
        <v>6880.4315871036906</v>
      </c>
      <c r="U260" s="19">
        <f t="shared" si="174"/>
        <v>6987.3837736929363</v>
      </c>
      <c r="V260" s="19">
        <f t="shared" si="174"/>
        <v>7098.0195068143084</v>
      </c>
    </row>
    <row r="261" spans="2:23" hidden="1" outlineLevel="1">
      <c r="B261" s="308" t="s">
        <v>318</v>
      </c>
      <c r="C261" s="47">
        <f t="shared" ref="C261:V261" si="175">C258/(1000*SUM(C266:C271))</f>
        <v>2.7817122700570094E-5</v>
      </c>
      <c r="D261" s="47">
        <f t="shared" si="175"/>
        <v>2.7817122700570094E-5</v>
      </c>
      <c r="E261" s="47">
        <f t="shared" si="175"/>
        <v>2.781712270057009E-5</v>
      </c>
      <c r="F261" s="47">
        <f t="shared" si="175"/>
        <v>2.781712270057009E-5</v>
      </c>
      <c r="G261" s="47">
        <f t="shared" si="175"/>
        <v>2.781712270057009E-5</v>
      </c>
      <c r="H261" s="47">
        <f t="shared" si="175"/>
        <v>2.7817122700570087E-5</v>
      </c>
      <c r="I261" s="47">
        <f t="shared" si="175"/>
        <v>2.7817122700570087E-5</v>
      </c>
      <c r="J261" s="47">
        <f t="shared" si="175"/>
        <v>2.781712270057009E-5</v>
      </c>
      <c r="K261" s="47">
        <f t="shared" si="175"/>
        <v>2.7817122700570094E-5</v>
      </c>
      <c r="L261" s="47">
        <f t="shared" si="175"/>
        <v>2.7817122700570097E-5</v>
      </c>
      <c r="M261" s="47">
        <f t="shared" si="175"/>
        <v>2.7817122700570097E-5</v>
      </c>
      <c r="N261" s="47">
        <f t="shared" si="175"/>
        <v>2.78171227005701E-5</v>
      </c>
      <c r="O261" s="47">
        <f t="shared" si="175"/>
        <v>2.7817122700570104E-5</v>
      </c>
      <c r="P261" s="47">
        <f t="shared" si="175"/>
        <v>2.7817122700570104E-5</v>
      </c>
      <c r="Q261" s="47">
        <f t="shared" si="175"/>
        <v>2.7817122700570107E-5</v>
      </c>
      <c r="R261" s="47">
        <f t="shared" si="175"/>
        <v>2.7817122700570111E-5</v>
      </c>
      <c r="S261" s="47">
        <f t="shared" si="175"/>
        <v>2.7817122700570111E-5</v>
      </c>
      <c r="T261" s="47">
        <f t="shared" si="175"/>
        <v>2.7817122700570111E-5</v>
      </c>
      <c r="U261" s="47">
        <f t="shared" si="175"/>
        <v>2.7817122700570114E-5</v>
      </c>
      <c r="V261" s="47">
        <f t="shared" si="175"/>
        <v>2.7817122700570114E-5</v>
      </c>
    </row>
    <row r="262" spans="2:23" hidden="1" outlineLevel="1">
      <c r="B262" s="308" t="s">
        <v>314</v>
      </c>
      <c r="C262" s="46">
        <f t="shared" ref="C262:V262" si="176">C259/(1000*(SUM(C272:C274)))</f>
        <v>5.5268250977760682E-4</v>
      </c>
      <c r="D262" s="46">
        <f t="shared" si="176"/>
        <v>5.5268250977760682E-4</v>
      </c>
      <c r="E262" s="46">
        <f t="shared" si="176"/>
        <v>5.5268250977760682E-4</v>
      </c>
      <c r="F262" s="46">
        <f t="shared" si="176"/>
        <v>5.5268250977760682E-4</v>
      </c>
      <c r="G262" s="46">
        <f t="shared" si="176"/>
        <v>5.5268250977760682E-4</v>
      </c>
      <c r="H262" s="46">
        <f t="shared" si="176"/>
        <v>5.5268250977760682E-4</v>
      </c>
      <c r="I262" s="46">
        <f t="shared" si="176"/>
        <v>5.5268250977760682E-4</v>
      </c>
      <c r="J262" s="46">
        <f t="shared" si="176"/>
        <v>5.5268250977760672E-4</v>
      </c>
      <c r="K262" s="46">
        <f t="shared" si="176"/>
        <v>5.5268250977760672E-4</v>
      </c>
      <c r="L262" s="46">
        <f t="shared" si="176"/>
        <v>5.5268250977760672E-4</v>
      </c>
      <c r="M262" s="46">
        <f t="shared" si="176"/>
        <v>5.5268250977760661E-4</v>
      </c>
      <c r="N262" s="46">
        <f t="shared" si="176"/>
        <v>5.5268250977760661E-4</v>
      </c>
      <c r="O262" s="46">
        <f t="shared" si="176"/>
        <v>5.5268250977760661E-4</v>
      </c>
      <c r="P262" s="46">
        <f t="shared" si="176"/>
        <v>5.5268250977760661E-4</v>
      </c>
      <c r="Q262" s="46">
        <f t="shared" si="176"/>
        <v>5.526825097776065E-4</v>
      </c>
      <c r="R262" s="46">
        <f t="shared" si="176"/>
        <v>5.526825097776065E-4</v>
      </c>
      <c r="S262" s="46">
        <f t="shared" si="176"/>
        <v>5.526825097776065E-4</v>
      </c>
      <c r="T262" s="46">
        <f t="shared" si="176"/>
        <v>5.526825097776065E-4</v>
      </c>
      <c r="U262" s="46">
        <f t="shared" si="176"/>
        <v>5.526825097776065E-4</v>
      </c>
      <c r="V262" s="46">
        <f t="shared" si="176"/>
        <v>5.526825097776065E-4</v>
      </c>
    </row>
    <row r="263" spans="2:23" hidden="1" outlineLevel="1">
      <c r="B263" s="308" t="s">
        <v>316</v>
      </c>
      <c r="C263" s="45">
        <f t="shared" ref="C263:V263" si="177">C260/(1000*(SUM(C275:C277)))</f>
        <v>1.3700454054057299E-3</v>
      </c>
      <c r="D263" s="45">
        <f t="shared" si="177"/>
        <v>1.3700454054057299E-3</v>
      </c>
      <c r="E263" s="45">
        <f t="shared" si="177"/>
        <v>1.3700454054057297E-3</v>
      </c>
      <c r="F263" s="45">
        <f t="shared" si="177"/>
        <v>1.3700454054057295E-3</v>
      </c>
      <c r="G263" s="45">
        <f t="shared" si="177"/>
        <v>1.3700454054057295E-3</v>
      </c>
      <c r="H263" s="45">
        <f t="shared" si="177"/>
        <v>1.3700454054057295E-3</v>
      </c>
      <c r="I263" s="45">
        <f t="shared" si="177"/>
        <v>1.3700454054057292E-3</v>
      </c>
      <c r="J263" s="45">
        <f t="shared" si="177"/>
        <v>1.370045405405729E-3</v>
      </c>
      <c r="K263" s="45">
        <f t="shared" si="177"/>
        <v>1.3700454054057288E-3</v>
      </c>
      <c r="L263" s="45">
        <f t="shared" si="177"/>
        <v>1.3700454054057286E-3</v>
      </c>
      <c r="M263" s="45">
        <f t="shared" si="177"/>
        <v>1.3700454054057284E-3</v>
      </c>
      <c r="N263" s="45">
        <f t="shared" si="177"/>
        <v>1.3700454054057284E-3</v>
      </c>
      <c r="O263" s="45">
        <f t="shared" si="177"/>
        <v>1.3700454054057282E-3</v>
      </c>
      <c r="P263" s="45">
        <f t="shared" si="177"/>
        <v>1.3700454054057279E-3</v>
      </c>
      <c r="Q263" s="45">
        <f t="shared" si="177"/>
        <v>1.3700454054057277E-3</v>
      </c>
      <c r="R263" s="45">
        <f t="shared" si="177"/>
        <v>1.3700454054057279E-3</v>
      </c>
      <c r="S263" s="45">
        <f t="shared" si="177"/>
        <v>1.3700454054057277E-3</v>
      </c>
      <c r="T263" s="45">
        <f t="shared" si="177"/>
        <v>1.3700454054057279E-3</v>
      </c>
      <c r="U263" s="45">
        <f t="shared" si="177"/>
        <v>1.3700454054057277E-3</v>
      </c>
      <c r="V263" s="45">
        <f t="shared" si="177"/>
        <v>1.3700454054057277E-3</v>
      </c>
    </row>
    <row r="264" spans="2:23" ht="15.75" hidden="1" outlineLevel="1" thickBot="1">
      <c r="B264" s="308"/>
    </row>
    <row r="265" spans="2:23" ht="15.75" hidden="1" outlineLevel="1" thickBot="1">
      <c r="B265" s="322" t="s">
        <v>85</v>
      </c>
      <c r="C265" s="32">
        <v>2011</v>
      </c>
      <c r="D265" s="32">
        <v>2012</v>
      </c>
      <c r="E265" s="32">
        <v>2013</v>
      </c>
      <c r="F265" s="32">
        <v>2014</v>
      </c>
      <c r="G265" s="32">
        <v>2015</v>
      </c>
      <c r="H265" s="32">
        <v>2016</v>
      </c>
      <c r="I265" s="32">
        <v>2017</v>
      </c>
      <c r="J265" s="32">
        <v>2018</v>
      </c>
      <c r="K265" s="32">
        <v>2019</v>
      </c>
      <c r="L265" s="32">
        <v>2020</v>
      </c>
      <c r="M265" s="32">
        <v>2021</v>
      </c>
      <c r="N265" s="32">
        <v>2022</v>
      </c>
      <c r="O265" s="32">
        <f t="shared" ref="O265:V265" si="178">N265+1</f>
        <v>2023</v>
      </c>
      <c r="P265" s="32">
        <f t="shared" si="178"/>
        <v>2024</v>
      </c>
      <c r="Q265" s="32">
        <f t="shared" si="178"/>
        <v>2025</v>
      </c>
      <c r="R265" s="32">
        <f t="shared" si="178"/>
        <v>2026</v>
      </c>
      <c r="S265" s="32">
        <f t="shared" si="178"/>
        <v>2027</v>
      </c>
      <c r="T265" s="32">
        <f t="shared" si="178"/>
        <v>2028</v>
      </c>
      <c r="U265" s="32">
        <f t="shared" si="178"/>
        <v>2029</v>
      </c>
      <c r="V265" s="31">
        <f t="shared" si="178"/>
        <v>2030</v>
      </c>
      <c r="W265" s="166" t="s">
        <v>220</v>
      </c>
    </row>
    <row r="266" spans="2:23" hidden="1" outlineLevel="1">
      <c r="B266" s="13" t="s">
        <v>82</v>
      </c>
      <c r="C266" s="44">
        <v>9167.4965491438634</v>
      </c>
      <c r="D266" s="44">
        <v>9214.3380317537394</v>
      </c>
      <c r="E266" s="44">
        <v>9258.1084104901529</v>
      </c>
      <c r="F266" s="44">
        <v>9302.9902166153825</v>
      </c>
      <c r="G266" s="44">
        <v>9347.7892833792321</v>
      </c>
      <c r="H266" s="44">
        <v>9360.8650444963732</v>
      </c>
      <c r="I266" s="44">
        <v>9394.6170522091707</v>
      </c>
      <c r="J266" s="44">
        <v>9428.7697735829279</v>
      </c>
      <c r="K266" s="44">
        <v>9462.922054564935</v>
      </c>
      <c r="L266" s="44">
        <v>9497.2738603204671</v>
      </c>
      <c r="M266" s="44">
        <v>9534.2919982976473</v>
      </c>
      <c r="N266" s="44">
        <v>9573.9910303762044</v>
      </c>
      <c r="O266" s="19">
        <f t="shared" ref="O266:V277" si="179">N266*(1+$W266)</f>
        <v>9613.8553618968454</v>
      </c>
      <c r="P266" s="19">
        <f t="shared" si="179"/>
        <v>9653.8856811359346</v>
      </c>
      <c r="Q266" s="19">
        <f t="shared" si="179"/>
        <v>9694.0826792356966</v>
      </c>
      <c r="R266" s="19">
        <f t="shared" si="179"/>
        <v>9734.4470502161403</v>
      </c>
      <c r="S266" s="19">
        <f t="shared" si="179"/>
        <v>9774.9794909870488</v>
      </c>
      <c r="T266" s="19">
        <f t="shared" si="179"/>
        <v>9815.6807013600082</v>
      </c>
      <c r="U266" s="19">
        <f t="shared" si="179"/>
        <v>9856.5513840604908</v>
      </c>
      <c r="V266" s="19">
        <f t="shared" si="179"/>
        <v>9897.5922447399862</v>
      </c>
      <c r="W266" s="305">
        <f t="shared" ref="W266:W278" si="180">N266/M266-1</f>
        <v>4.1638154239083125E-3</v>
      </c>
    </row>
    <row r="267" spans="2:23" hidden="1" outlineLevel="1">
      <c r="B267" s="13" t="s">
        <v>81</v>
      </c>
      <c r="C267" s="44">
        <v>5824.1266253123504</v>
      </c>
      <c r="D267" s="44">
        <v>5643.632148454295</v>
      </c>
      <c r="E267" s="44">
        <v>5461.9777213282368</v>
      </c>
      <c r="F267" s="44">
        <v>5281.7298671558747</v>
      </c>
      <c r="G267" s="44">
        <v>5102.148509498079</v>
      </c>
      <c r="H267" s="44">
        <v>5052.3262135952991</v>
      </c>
      <c r="I267" s="44">
        <v>5013.7906914383475</v>
      </c>
      <c r="J267" s="44">
        <v>4975.4680083958365</v>
      </c>
      <c r="K267" s="44">
        <v>4937.1416950023795</v>
      </c>
      <c r="L267" s="44">
        <v>4898.9149421395323</v>
      </c>
      <c r="M267" s="44">
        <v>4861.0781165846947</v>
      </c>
      <c r="N267" s="44">
        <v>4823.6267850735167</v>
      </c>
      <c r="O267" s="19">
        <f t="shared" si="179"/>
        <v>4786.4639908370582</v>
      </c>
      <c r="P267" s="19">
        <f t="shared" si="179"/>
        <v>4749.5875108900336</v>
      </c>
      <c r="Q267" s="19">
        <f t="shared" si="179"/>
        <v>4712.9951393737601</v>
      </c>
      <c r="R267" s="19">
        <f t="shared" si="179"/>
        <v>4676.6846874242101</v>
      </c>
      <c r="S267" s="19">
        <f t="shared" si="179"/>
        <v>4640.6539830410784</v>
      </c>
      <c r="T267" s="19">
        <f t="shared" si="179"/>
        <v>4604.9008709578584</v>
      </c>
      <c r="U267" s="19">
        <f t="shared" si="179"/>
        <v>4569.4232125129201</v>
      </c>
      <c r="V267" s="19">
        <f t="shared" si="179"/>
        <v>4534.21888552158</v>
      </c>
      <c r="W267" s="305">
        <f t="shared" si="180"/>
        <v>-7.7043262035646487E-3</v>
      </c>
    </row>
    <row r="268" spans="2:23" hidden="1" outlineLevel="1">
      <c r="B268" s="311" t="s">
        <v>80</v>
      </c>
      <c r="C268" s="44">
        <v>7863.8394295424332</v>
      </c>
      <c r="D268" s="44">
        <v>7745.0380041012886</v>
      </c>
      <c r="E268" s="44">
        <v>7624.2004063818822</v>
      </c>
      <c r="F268" s="44">
        <v>7504.8458521154107</v>
      </c>
      <c r="G268" s="44">
        <v>7385.964039185119</v>
      </c>
      <c r="H268" s="44">
        <v>7155.8970173901271</v>
      </c>
      <c r="I268" s="44">
        <v>6942.1728234362699</v>
      </c>
      <c r="J268" s="44">
        <v>6728.7404462744107</v>
      </c>
      <c r="K268" s="44">
        <v>6515.2934136093736</v>
      </c>
      <c r="L268" s="44">
        <v>6301.9645998723563</v>
      </c>
      <c r="M268" s="44">
        <v>6095.7027452255816</v>
      </c>
      <c r="N268" s="44">
        <v>5896.2710340170624</v>
      </c>
      <c r="O268" s="19">
        <f t="shared" si="179"/>
        <v>5703.3640844476686</v>
      </c>
      <c r="P268" s="19">
        <f t="shared" si="179"/>
        <v>5516.7684273845853</v>
      </c>
      <c r="Q268" s="19">
        <f t="shared" si="179"/>
        <v>5336.2775777157458</v>
      </c>
      <c r="R268" s="19">
        <f t="shared" si="179"/>
        <v>5161.6918058552246</v>
      </c>
      <c r="S268" s="19">
        <f t="shared" si="179"/>
        <v>4992.8179167242342</v>
      </c>
      <c r="T268" s="19">
        <f t="shared" si="179"/>
        <v>4829.4690359631495</v>
      </c>
      <c r="U268" s="19">
        <f t="shared" si="179"/>
        <v>4671.4644031379894</v>
      </c>
      <c r="V268" s="19">
        <f t="shared" si="179"/>
        <v>4518.6291717125077</v>
      </c>
      <c r="W268" s="305">
        <f t="shared" si="180"/>
        <v>-3.2716771067080486E-2</v>
      </c>
    </row>
    <row r="269" spans="2:23" hidden="1" outlineLevel="1">
      <c r="B269" s="311" t="s">
        <v>79</v>
      </c>
      <c r="C269" s="44">
        <v>7224.8564126530255</v>
      </c>
      <c r="D269" s="44">
        <v>7307.9632932801742</v>
      </c>
      <c r="E269" s="44">
        <v>7388.4760468046079</v>
      </c>
      <c r="F269" s="44">
        <v>7469.7108188368084</v>
      </c>
      <c r="G269" s="44">
        <v>7550.7224108917653</v>
      </c>
      <c r="H269" s="44">
        <v>7611.9337032827061</v>
      </c>
      <c r="I269" s="44">
        <v>7689.8450884254908</v>
      </c>
      <c r="J269" s="44">
        <v>7768.0853768317138</v>
      </c>
      <c r="K269" s="44">
        <v>7846.3283239469065</v>
      </c>
      <c r="L269" s="44">
        <v>7924.7407459424921</v>
      </c>
      <c r="M269" s="44">
        <v>8004.0123443472976</v>
      </c>
      <c r="N269" s="44">
        <v>8084.1532246362476</v>
      </c>
      <c r="O269" s="19">
        <f t="shared" si="179"/>
        <v>8165.0965225648979</v>
      </c>
      <c r="P269" s="19">
        <f t="shared" si="179"/>
        <v>8246.8502724107148</v>
      </c>
      <c r="Q269" s="19">
        <f t="shared" si="179"/>
        <v>8329.4225888950732</v>
      </c>
      <c r="R269" s="19">
        <f t="shared" si="179"/>
        <v>8412.8216679887155</v>
      </c>
      <c r="S269" s="19">
        <f t="shared" si="179"/>
        <v>8497.055787725265</v>
      </c>
      <c r="T269" s="19">
        <f t="shared" si="179"/>
        <v>8582.1333090228854</v>
      </c>
      <c r="U269" s="19">
        <f t="shared" si="179"/>
        <v>8668.0626765141715</v>
      </c>
      <c r="V269" s="19">
        <f t="shared" si="179"/>
        <v>8754.8524193843496</v>
      </c>
      <c r="W269" s="305">
        <f t="shared" si="180"/>
        <v>1.0012588292114266E-2</v>
      </c>
    </row>
    <row r="270" spans="2:23" hidden="1" outlineLevel="1">
      <c r="B270" s="311" t="s">
        <v>78</v>
      </c>
      <c r="C270" s="44">
        <v>3084.7090722376088</v>
      </c>
      <c r="D270" s="44">
        <v>3153.1179012473867</v>
      </c>
      <c r="E270" s="44">
        <v>3220.2952564962047</v>
      </c>
      <c r="F270" s="44">
        <v>3287.6711875772976</v>
      </c>
      <c r="G270" s="44">
        <v>3354.839224986782</v>
      </c>
      <c r="H270" s="44">
        <v>3403.7292092972948</v>
      </c>
      <c r="I270" s="44">
        <v>3460.0386287961528</v>
      </c>
      <c r="J270" s="44">
        <v>3516.49642016703</v>
      </c>
      <c r="K270" s="44">
        <v>3572.9566839217796</v>
      </c>
      <c r="L270" s="44">
        <v>3629.4958048267072</v>
      </c>
      <c r="M270" s="44">
        <v>3686.9531732733667</v>
      </c>
      <c r="N270" s="44">
        <v>3745.344064422784</v>
      </c>
      <c r="O270" s="19">
        <f t="shared" si="179"/>
        <v>3804.659701835305</v>
      </c>
      <c r="P270" s="19">
        <f t="shared" si="179"/>
        <v>3864.9147308714355</v>
      </c>
      <c r="Q270" s="19">
        <f t="shared" si="179"/>
        <v>3926.1240288326931</v>
      </c>
      <c r="R270" s="19">
        <f t="shared" si="179"/>
        <v>3988.3027086348961</v>
      </c>
      <c r="S270" s="19">
        <f t="shared" si="179"/>
        <v>4051.4661225396271</v>
      </c>
      <c r="T270" s="19">
        <f t="shared" si="179"/>
        <v>4115.6298659447903</v>
      </c>
      <c r="U270" s="19">
        <f t="shared" si="179"/>
        <v>4180.8097812352025</v>
      </c>
      <c r="V270" s="19">
        <f t="shared" si="179"/>
        <v>4247.0219616941658</v>
      </c>
      <c r="W270" s="305">
        <f t="shared" si="180"/>
        <v>1.5837166463813945E-2</v>
      </c>
    </row>
    <row r="271" spans="2:23" hidden="1" outlineLevel="1">
      <c r="B271" s="311" t="s">
        <v>77</v>
      </c>
      <c r="C271" s="44">
        <v>2665.7949163805361</v>
      </c>
      <c r="D271" s="44">
        <v>2734.023725606241</v>
      </c>
      <c r="E271" s="44">
        <v>2801.1540203839031</v>
      </c>
      <c r="F271" s="44">
        <v>2868.4255722752259</v>
      </c>
      <c r="G271" s="44">
        <v>2935.4863066888347</v>
      </c>
      <c r="H271" s="44">
        <v>3004.6907223169428</v>
      </c>
      <c r="I271" s="44">
        <v>3080.386497863713</v>
      </c>
      <c r="J271" s="44">
        <v>3156.2148248876811</v>
      </c>
      <c r="K271" s="44">
        <v>3232.0468879953287</v>
      </c>
      <c r="L271" s="44">
        <v>3307.9522856349959</v>
      </c>
      <c r="M271" s="44">
        <v>3385.6514141331036</v>
      </c>
      <c r="N271" s="44">
        <v>3465.1869202901439</v>
      </c>
      <c r="O271" s="19">
        <f t="shared" si="179"/>
        <v>3546.5908694632753</v>
      </c>
      <c r="P271" s="19">
        <f t="shared" si="179"/>
        <v>3629.9071549961513</v>
      </c>
      <c r="Q271" s="19">
        <f t="shared" si="179"/>
        <v>3715.1807013720427</v>
      </c>
      <c r="R271" s="19">
        <f t="shared" si="179"/>
        <v>3802.4574884373033</v>
      </c>
      <c r="S271" s="19">
        <f t="shared" si="179"/>
        <v>3891.7845761938929</v>
      </c>
      <c r="T271" s="19">
        <f t="shared" si="179"/>
        <v>3983.2101301743223</v>
      </c>
      <c r="U271" s="19">
        <f t="shared" si="179"/>
        <v>4076.7834474127076</v>
      </c>
      <c r="V271" s="19">
        <f t="shared" si="179"/>
        <v>4172.5549830259324</v>
      </c>
      <c r="W271" s="305">
        <f t="shared" si="180"/>
        <v>2.34919359462189E-2</v>
      </c>
    </row>
    <row r="272" spans="2:23" hidden="1" outlineLevel="1">
      <c r="B272" s="311" t="s">
        <v>76</v>
      </c>
      <c r="C272" s="44">
        <v>2432.5605330648332</v>
      </c>
      <c r="D272" s="44">
        <v>2451.4653602601193</v>
      </c>
      <c r="E272" s="44">
        <v>2469.5309155896684</v>
      </c>
      <c r="F272" s="44">
        <v>2487.8698097319739</v>
      </c>
      <c r="G272" s="44">
        <v>2506.1646028146661</v>
      </c>
      <c r="H272" s="44">
        <v>2574.1448921034134</v>
      </c>
      <c r="I272" s="44">
        <v>2647.6669458813885</v>
      </c>
      <c r="J272" s="44">
        <v>2721.3030829845557</v>
      </c>
      <c r="K272" s="44">
        <v>2794.9429392841603</v>
      </c>
      <c r="L272" s="44">
        <v>2868.6468641337656</v>
      </c>
      <c r="M272" s="44">
        <v>2944.2973533639124</v>
      </c>
      <c r="N272" s="43">
        <v>3021.9458949704226</v>
      </c>
      <c r="O272" s="19">
        <f t="shared" si="179"/>
        <v>3101.6422243137008</v>
      </c>
      <c r="P272" s="19">
        <f t="shared" si="179"/>
        <v>3183.4403467173261</v>
      </c>
      <c r="Q272" s="19">
        <f t="shared" si="179"/>
        <v>3267.3956917613668</v>
      </c>
      <c r="R272" s="19">
        <f t="shared" si="179"/>
        <v>3353.5651508436154</v>
      </c>
      <c r="S272" s="19">
        <f t="shared" si="179"/>
        <v>3442.0071157314051</v>
      </c>
      <c r="T272" s="19">
        <f t="shared" si="179"/>
        <v>3532.7815181301357</v>
      </c>
      <c r="U272" s="19">
        <f t="shared" si="179"/>
        <v>3625.9498702953229</v>
      </c>
      <c r="V272" s="19">
        <f t="shared" si="179"/>
        <v>3721.5753067156866</v>
      </c>
      <c r="W272" s="305">
        <f t="shared" si="180"/>
        <v>2.637252026117376E-2</v>
      </c>
    </row>
    <row r="273" spans="2:23" hidden="1" outlineLevel="1">
      <c r="B273" s="311" t="s">
        <v>75</v>
      </c>
      <c r="C273" s="44">
        <v>2073.8940360396355</v>
      </c>
      <c r="D273" s="44">
        <v>2130.370948126716</v>
      </c>
      <c r="E273" s="44">
        <v>2185.9804716612375</v>
      </c>
      <c r="F273" s="44">
        <v>2241.6885696939476</v>
      </c>
      <c r="G273" s="44">
        <v>2297.2210404449897</v>
      </c>
      <c r="H273" s="44">
        <v>2316.9812417059775</v>
      </c>
      <c r="I273" s="44">
        <v>2341.8222274316358</v>
      </c>
      <c r="J273" s="44">
        <v>2366.7633955456758</v>
      </c>
      <c r="K273" s="44">
        <v>2391.7054402328358</v>
      </c>
      <c r="L273" s="44">
        <v>2416.6992322731753</v>
      </c>
      <c r="M273" s="44">
        <v>2441.9570004477837</v>
      </c>
      <c r="N273" s="43">
        <v>2467.4815619122687</v>
      </c>
      <c r="O273" s="19">
        <f t="shared" si="179"/>
        <v>2493.2729189173119</v>
      </c>
      <c r="P273" s="19">
        <f t="shared" si="179"/>
        <v>2519.3338601439477</v>
      </c>
      <c r="Q273" s="19">
        <f t="shared" si="179"/>
        <v>2545.6672034219055</v>
      </c>
      <c r="R273" s="19">
        <f t="shared" si="179"/>
        <v>2572.2757960342865</v>
      </c>
      <c r="S273" s="19">
        <f t="shared" si="179"/>
        <v>2599.1625150254258</v>
      </c>
      <c r="T273" s="19">
        <f t="shared" si="179"/>
        <v>2626.3302675119712</v>
      </c>
      <c r="U273" s="19">
        <f t="shared" si="179"/>
        <v>2653.781990997215</v>
      </c>
      <c r="V273" s="19">
        <f t="shared" si="179"/>
        <v>2681.5206536887085</v>
      </c>
      <c r="W273" s="305">
        <f t="shared" si="180"/>
        <v>1.0452502423181409E-2</v>
      </c>
    </row>
    <row r="274" spans="2:23" hidden="1" outlineLevel="1">
      <c r="B274" s="311" t="s">
        <v>74</v>
      </c>
      <c r="C274" s="44">
        <v>1805.4629211083618</v>
      </c>
      <c r="D274" s="44">
        <v>1823.2720836303429</v>
      </c>
      <c r="E274" s="44">
        <v>1840.4441177307267</v>
      </c>
      <c r="F274" s="44">
        <v>1857.8064393502568</v>
      </c>
      <c r="G274" s="44">
        <v>1875.1231086175426</v>
      </c>
      <c r="H274" s="44">
        <v>1929.6059871655607</v>
      </c>
      <c r="I274" s="44">
        <v>1988.2351486101111</v>
      </c>
      <c r="J274" s="44">
        <v>2046.9500410904429</v>
      </c>
      <c r="K274" s="44">
        <v>2105.6679317212534</v>
      </c>
      <c r="L274" s="44">
        <v>2164.4343524445976</v>
      </c>
      <c r="M274" s="44">
        <v>2224.8408722704389</v>
      </c>
      <c r="N274" s="43">
        <v>2286.9332645211844</v>
      </c>
      <c r="O274" s="19">
        <f t="shared" si="179"/>
        <v>2350.7585740441145</v>
      </c>
      <c r="P274" s="19">
        <f t="shared" si="179"/>
        <v>2416.3651642886539</v>
      </c>
      <c r="Q274" s="19">
        <f t="shared" si="179"/>
        <v>2483.8027484647009</v>
      </c>
      <c r="R274" s="19">
        <f t="shared" si="179"/>
        <v>2553.1224272126751</v>
      </c>
      <c r="S274" s="19">
        <f t="shared" si="179"/>
        <v>2624.3767273248832</v>
      </c>
      <c r="T274" s="19">
        <f t="shared" si="179"/>
        <v>2697.6196415475483</v>
      </c>
      <c r="U274" s="19">
        <f t="shared" si="179"/>
        <v>2772.9066694936641</v>
      </c>
      <c r="V274" s="19">
        <f t="shared" si="179"/>
        <v>2850.2948596976689</v>
      </c>
      <c r="W274" s="305">
        <f t="shared" si="180"/>
        <v>2.7908689122283281E-2</v>
      </c>
    </row>
    <row r="275" spans="2:23" hidden="1" outlineLevel="1">
      <c r="B275" s="311" t="s">
        <v>73</v>
      </c>
      <c r="C275" s="44">
        <v>1683.2052186208655</v>
      </c>
      <c r="D275" s="44">
        <v>1658.1036289901251</v>
      </c>
      <c r="E275" s="44">
        <v>1632.5649787138691</v>
      </c>
      <c r="F275" s="44">
        <v>1607.3426747423787</v>
      </c>
      <c r="G275" s="44">
        <v>1582.220439375395</v>
      </c>
      <c r="H275" s="44">
        <v>1601.2063715712075</v>
      </c>
      <c r="I275" s="44">
        <v>1623.6915826742811</v>
      </c>
      <c r="J275" s="44">
        <v>1646.2463493848263</v>
      </c>
      <c r="K275" s="44">
        <v>1668.8020397969153</v>
      </c>
      <c r="L275" s="44">
        <v>1691.3942532141175</v>
      </c>
      <c r="M275" s="44">
        <v>1714.3075226063156</v>
      </c>
      <c r="N275" s="43">
        <v>1737.5466176971099</v>
      </c>
      <c r="O275" s="19">
        <f t="shared" si="179"/>
        <v>1761.1007411789703</v>
      </c>
      <c r="P275" s="19">
        <f t="shared" si="179"/>
        <v>1784.9741635661655</v>
      </c>
      <c r="Q275" s="19">
        <f t="shared" si="179"/>
        <v>1809.1712132639118</v>
      </c>
      <c r="R275" s="19">
        <f t="shared" si="179"/>
        <v>1833.6962773531413</v>
      </c>
      <c r="S275" s="19">
        <f t="shared" si="179"/>
        <v>1858.5538023859074</v>
      </c>
      <c r="T275" s="19">
        <f t="shared" si="179"/>
        <v>1883.7482951915733</v>
      </c>
      <c r="U275" s="19">
        <f t="shared" si="179"/>
        <v>1909.2843236939298</v>
      </c>
      <c r="V275" s="19">
        <f t="shared" si="179"/>
        <v>1935.1665177393886</v>
      </c>
      <c r="W275" s="305">
        <f t="shared" si="180"/>
        <v>1.3555966350461635E-2</v>
      </c>
    </row>
    <row r="276" spans="2:23" hidden="1" outlineLevel="1">
      <c r="B276" s="311" t="s">
        <v>72</v>
      </c>
      <c r="C276" s="44">
        <v>1257.7042044471391</v>
      </c>
      <c r="D276" s="44">
        <v>1287.4371292050348</v>
      </c>
      <c r="E276" s="44">
        <v>1316.6610271417828</v>
      </c>
      <c r="F276" s="44">
        <v>1345.9597549124762</v>
      </c>
      <c r="G276" s="44">
        <v>1375.1674232001146</v>
      </c>
      <c r="H276" s="44">
        <v>1357.7186449571102</v>
      </c>
      <c r="I276" s="44">
        <v>1343.3120573301255</v>
      </c>
      <c r="J276" s="44">
        <v>1328.9624208923594</v>
      </c>
      <c r="K276" s="44">
        <v>1314.6115667036972</v>
      </c>
      <c r="L276" s="44">
        <v>1300.2868873442565</v>
      </c>
      <c r="M276" s="44">
        <v>1286.1386830823308</v>
      </c>
      <c r="N276" s="43">
        <v>1272.1664337760028</v>
      </c>
      <c r="O276" s="19">
        <f t="shared" si="179"/>
        <v>1258.34597506057</v>
      </c>
      <c r="P276" s="19">
        <f t="shared" si="179"/>
        <v>1244.6756579256992</v>
      </c>
      <c r="Q276" s="19">
        <f t="shared" si="179"/>
        <v>1231.1538512754419</v>
      </c>
      <c r="R276" s="19">
        <f t="shared" si="179"/>
        <v>1217.7789417336182</v>
      </c>
      <c r="S276" s="19">
        <f t="shared" si="179"/>
        <v>1204.5493334513135</v>
      </c>
      <c r="T276" s="19">
        <f t="shared" si="179"/>
        <v>1191.4634479164674</v>
      </c>
      <c r="U276" s="19">
        <f t="shared" si="179"/>
        <v>1178.5197237655311</v>
      </c>
      <c r="V276" s="19">
        <f t="shared" si="179"/>
        <v>1165.7166165971707</v>
      </c>
      <c r="W276" s="305">
        <f t="shared" si="180"/>
        <v>-1.0863719045322906E-2</v>
      </c>
    </row>
    <row r="277" spans="2:23" hidden="1" outlineLevel="1">
      <c r="B277" s="311" t="s">
        <v>71</v>
      </c>
      <c r="C277" s="42">
        <v>1060.3500814493445</v>
      </c>
      <c r="D277" s="42">
        <v>1109.2377453445404</v>
      </c>
      <c r="E277" s="42">
        <v>1157.6066272777318</v>
      </c>
      <c r="F277" s="42">
        <v>1205.9592369929526</v>
      </c>
      <c r="G277" s="42">
        <v>1254.1536109174904</v>
      </c>
      <c r="H277" s="42">
        <v>1299.9009521179912</v>
      </c>
      <c r="I277" s="42">
        <v>1348.4212559033197</v>
      </c>
      <c r="J277" s="42">
        <v>1396.9998599625403</v>
      </c>
      <c r="K277" s="42">
        <v>1445.5810232204369</v>
      </c>
      <c r="L277" s="42">
        <v>1494.1961718535474</v>
      </c>
      <c r="M277" s="42">
        <v>1544.4462566394268</v>
      </c>
      <c r="N277" s="43">
        <v>1596.3862607736176</v>
      </c>
      <c r="O277" s="19">
        <f t="shared" si="179"/>
        <v>1650.0730165463726</v>
      </c>
      <c r="P277" s="19">
        <f t="shared" si="179"/>
        <v>1705.5652675280421</v>
      </c>
      <c r="Q277" s="19">
        <f t="shared" si="179"/>
        <v>1762.9237328457643</v>
      </c>
      <c r="R277" s="19">
        <f t="shared" si="179"/>
        <v>1822.2111736217946</v>
      </c>
      <c r="S277" s="19">
        <f t="shared" si="179"/>
        <v>1883.4924616461669</v>
      </c>
      <c r="T277" s="19">
        <f t="shared" si="179"/>
        <v>1946.8346503588289</v>
      </c>
      <c r="U277" s="19">
        <f t="shared" si="179"/>
        <v>2012.3070482189189</v>
      </c>
      <c r="V277" s="19">
        <f t="shared" si="179"/>
        <v>2079.9812945414656</v>
      </c>
      <c r="W277" s="305">
        <f t="shared" si="180"/>
        <v>3.3630179043722341E-2</v>
      </c>
    </row>
    <row r="278" spans="2:23" hidden="1" outlineLevel="1">
      <c r="B278" s="312" t="s">
        <v>84</v>
      </c>
      <c r="C278" s="19">
        <f t="shared" ref="C278:V278" si="181">SUM(C266:C277)</f>
        <v>46144</v>
      </c>
      <c r="D278" s="19">
        <f t="shared" si="181"/>
        <v>46257.999999999993</v>
      </c>
      <c r="E278" s="19">
        <f t="shared" si="181"/>
        <v>46356.999999999993</v>
      </c>
      <c r="F278" s="19">
        <f t="shared" si="181"/>
        <v>46461.999999999985</v>
      </c>
      <c r="G278" s="19">
        <f t="shared" si="181"/>
        <v>46567.000000000007</v>
      </c>
      <c r="H278" s="19">
        <f t="shared" si="181"/>
        <v>46669</v>
      </c>
      <c r="I278" s="19">
        <f t="shared" si="181"/>
        <v>46874.000000000007</v>
      </c>
      <c r="J278" s="19">
        <f t="shared" si="181"/>
        <v>47080.999999999993</v>
      </c>
      <c r="K278" s="19">
        <f t="shared" si="181"/>
        <v>47288.000000000007</v>
      </c>
      <c r="L278" s="19">
        <f t="shared" si="181"/>
        <v>47496</v>
      </c>
      <c r="M278" s="19">
        <f t="shared" si="181"/>
        <v>47723.677480271908</v>
      </c>
      <c r="N278" s="41">
        <f t="shared" si="181"/>
        <v>47971.033092466561</v>
      </c>
      <c r="O278" s="19">
        <f t="shared" si="181"/>
        <v>48235.223981106086</v>
      </c>
      <c r="P278" s="19">
        <f t="shared" si="181"/>
        <v>48516.268237858683</v>
      </c>
      <c r="Q278" s="19">
        <f t="shared" si="181"/>
        <v>48814.197156458118</v>
      </c>
      <c r="R278" s="19">
        <f t="shared" si="181"/>
        <v>49129.055175355614</v>
      </c>
      <c r="S278" s="19">
        <f t="shared" si="181"/>
        <v>49460.899832776246</v>
      </c>
      <c r="T278" s="19">
        <f t="shared" si="181"/>
        <v>49809.801734079534</v>
      </c>
      <c r="U278" s="19">
        <f t="shared" si="181"/>
        <v>50175.844531338065</v>
      </c>
      <c r="V278" s="19">
        <f t="shared" si="181"/>
        <v>50559.124915058601</v>
      </c>
      <c r="W278" s="305">
        <f t="shared" si="180"/>
        <v>5.1830794535250302E-3</v>
      </c>
    </row>
    <row r="279" spans="2:23" hidden="1" outlineLevel="1">
      <c r="P279" s="26"/>
    </row>
    <row r="280" spans="2:23" hidden="1" outlineLevel="1">
      <c r="B280" s="307" t="s">
        <v>82</v>
      </c>
      <c r="C280" s="13">
        <f t="shared" ref="C280:V280" si="182">0.1/100000</f>
        <v>9.9999999999999995E-7</v>
      </c>
      <c r="D280" s="13">
        <f t="shared" si="182"/>
        <v>9.9999999999999995E-7</v>
      </c>
      <c r="E280" s="13">
        <f t="shared" si="182"/>
        <v>9.9999999999999995E-7</v>
      </c>
      <c r="F280" s="13">
        <f t="shared" si="182"/>
        <v>9.9999999999999995E-7</v>
      </c>
      <c r="G280" s="13">
        <f t="shared" si="182"/>
        <v>9.9999999999999995E-7</v>
      </c>
      <c r="H280" s="13">
        <f t="shared" si="182"/>
        <v>9.9999999999999995E-7</v>
      </c>
      <c r="I280" s="13">
        <f t="shared" si="182"/>
        <v>9.9999999999999995E-7</v>
      </c>
      <c r="J280" s="13">
        <f t="shared" si="182"/>
        <v>9.9999999999999995E-7</v>
      </c>
      <c r="K280" s="13">
        <f t="shared" si="182"/>
        <v>9.9999999999999995E-7</v>
      </c>
      <c r="L280" s="13">
        <f t="shared" si="182"/>
        <v>9.9999999999999995E-7</v>
      </c>
      <c r="M280" s="13">
        <f t="shared" si="182"/>
        <v>9.9999999999999995E-7</v>
      </c>
      <c r="N280" s="13">
        <f t="shared" si="182"/>
        <v>9.9999999999999995E-7</v>
      </c>
      <c r="O280" s="13">
        <f t="shared" si="182"/>
        <v>9.9999999999999995E-7</v>
      </c>
      <c r="P280" s="13">
        <f t="shared" si="182"/>
        <v>9.9999999999999995E-7</v>
      </c>
      <c r="Q280" s="13">
        <f t="shared" si="182"/>
        <v>9.9999999999999995E-7</v>
      </c>
      <c r="R280" s="13">
        <f t="shared" si="182"/>
        <v>9.9999999999999995E-7</v>
      </c>
      <c r="S280" s="13">
        <f t="shared" si="182"/>
        <v>9.9999999999999995E-7</v>
      </c>
      <c r="T280" s="13">
        <f t="shared" si="182"/>
        <v>9.9999999999999995E-7</v>
      </c>
      <c r="U280" s="13">
        <f t="shared" si="182"/>
        <v>9.9999999999999995E-7</v>
      </c>
      <c r="V280" s="13">
        <f t="shared" si="182"/>
        <v>9.9999999999999995E-7</v>
      </c>
    </row>
    <row r="281" spans="2:23" hidden="1" outlineLevel="1">
      <c r="B281" s="307" t="s">
        <v>81</v>
      </c>
      <c r="C281" s="13">
        <f t="shared" ref="C281:V281" si="183">0.15/100000</f>
        <v>1.5E-6</v>
      </c>
      <c r="D281" s="13">
        <f t="shared" si="183"/>
        <v>1.5E-6</v>
      </c>
      <c r="E281" s="13">
        <f t="shared" si="183"/>
        <v>1.5E-6</v>
      </c>
      <c r="F281" s="13">
        <f t="shared" si="183"/>
        <v>1.5E-6</v>
      </c>
      <c r="G281" s="13">
        <f t="shared" si="183"/>
        <v>1.5E-6</v>
      </c>
      <c r="H281" s="13">
        <f t="shared" si="183"/>
        <v>1.5E-6</v>
      </c>
      <c r="I281" s="13">
        <f t="shared" si="183"/>
        <v>1.5E-6</v>
      </c>
      <c r="J281" s="13">
        <f t="shared" si="183"/>
        <v>1.5E-6</v>
      </c>
      <c r="K281" s="13">
        <f t="shared" si="183"/>
        <v>1.5E-6</v>
      </c>
      <c r="L281" s="13">
        <f t="shared" si="183"/>
        <v>1.5E-6</v>
      </c>
      <c r="M281" s="13">
        <f t="shared" si="183"/>
        <v>1.5E-6</v>
      </c>
      <c r="N281" s="13">
        <f t="shared" si="183"/>
        <v>1.5E-6</v>
      </c>
      <c r="O281" s="13">
        <f t="shared" si="183"/>
        <v>1.5E-6</v>
      </c>
      <c r="P281" s="13">
        <f t="shared" si="183"/>
        <v>1.5E-6</v>
      </c>
      <c r="Q281" s="13">
        <f t="shared" si="183"/>
        <v>1.5E-6</v>
      </c>
      <c r="R281" s="13">
        <f t="shared" si="183"/>
        <v>1.5E-6</v>
      </c>
      <c r="S281" s="13">
        <f t="shared" si="183"/>
        <v>1.5E-6</v>
      </c>
      <c r="T281" s="13">
        <f t="shared" si="183"/>
        <v>1.5E-6</v>
      </c>
      <c r="U281" s="13">
        <f t="shared" si="183"/>
        <v>1.5E-6</v>
      </c>
      <c r="V281" s="13">
        <f t="shared" si="183"/>
        <v>1.5E-6</v>
      </c>
    </row>
    <row r="282" spans="2:23" hidden="1" outlineLevel="1">
      <c r="B282" s="307" t="s">
        <v>80</v>
      </c>
      <c r="C282" s="13">
        <f t="shared" ref="C282:V282" si="184">0.25/100000</f>
        <v>2.5000000000000002E-6</v>
      </c>
      <c r="D282" s="13">
        <f t="shared" si="184"/>
        <v>2.5000000000000002E-6</v>
      </c>
      <c r="E282" s="13">
        <f t="shared" si="184"/>
        <v>2.5000000000000002E-6</v>
      </c>
      <c r="F282" s="13">
        <f t="shared" si="184"/>
        <v>2.5000000000000002E-6</v>
      </c>
      <c r="G282" s="13">
        <f t="shared" si="184"/>
        <v>2.5000000000000002E-6</v>
      </c>
      <c r="H282" s="13">
        <f t="shared" si="184"/>
        <v>2.5000000000000002E-6</v>
      </c>
      <c r="I282" s="13">
        <f t="shared" si="184"/>
        <v>2.5000000000000002E-6</v>
      </c>
      <c r="J282" s="13">
        <f t="shared" si="184"/>
        <v>2.5000000000000002E-6</v>
      </c>
      <c r="K282" s="13">
        <f t="shared" si="184"/>
        <v>2.5000000000000002E-6</v>
      </c>
      <c r="L282" s="13">
        <f t="shared" si="184"/>
        <v>2.5000000000000002E-6</v>
      </c>
      <c r="M282" s="13">
        <f t="shared" si="184"/>
        <v>2.5000000000000002E-6</v>
      </c>
      <c r="N282" s="13">
        <f t="shared" si="184"/>
        <v>2.5000000000000002E-6</v>
      </c>
      <c r="O282" s="13">
        <f t="shared" si="184"/>
        <v>2.5000000000000002E-6</v>
      </c>
      <c r="P282" s="13">
        <f t="shared" si="184"/>
        <v>2.5000000000000002E-6</v>
      </c>
      <c r="Q282" s="13">
        <f t="shared" si="184"/>
        <v>2.5000000000000002E-6</v>
      </c>
      <c r="R282" s="13">
        <f t="shared" si="184"/>
        <v>2.5000000000000002E-6</v>
      </c>
      <c r="S282" s="13">
        <f t="shared" si="184"/>
        <v>2.5000000000000002E-6</v>
      </c>
      <c r="T282" s="13">
        <f t="shared" si="184"/>
        <v>2.5000000000000002E-6</v>
      </c>
      <c r="U282" s="13">
        <f t="shared" si="184"/>
        <v>2.5000000000000002E-6</v>
      </c>
      <c r="V282" s="13">
        <f t="shared" si="184"/>
        <v>2.5000000000000002E-6</v>
      </c>
    </row>
    <row r="283" spans="2:23" hidden="1" outlineLevel="1">
      <c r="B283" s="307" t="s">
        <v>79</v>
      </c>
      <c r="C283" s="13">
        <f t="shared" ref="C283:V283" si="185">0.8/100000</f>
        <v>7.9999999999999996E-6</v>
      </c>
      <c r="D283" s="13">
        <f t="shared" si="185"/>
        <v>7.9999999999999996E-6</v>
      </c>
      <c r="E283" s="13">
        <f t="shared" si="185"/>
        <v>7.9999999999999996E-6</v>
      </c>
      <c r="F283" s="13">
        <f t="shared" si="185"/>
        <v>7.9999999999999996E-6</v>
      </c>
      <c r="G283" s="13">
        <f t="shared" si="185"/>
        <v>7.9999999999999996E-6</v>
      </c>
      <c r="H283" s="13">
        <f t="shared" si="185"/>
        <v>7.9999999999999996E-6</v>
      </c>
      <c r="I283" s="13">
        <f t="shared" si="185"/>
        <v>7.9999999999999996E-6</v>
      </c>
      <c r="J283" s="13">
        <f t="shared" si="185"/>
        <v>7.9999999999999996E-6</v>
      </c>
      <c r="K283" s="13">
        <f t="shared" si="185"/>
        <v>7.9999999999999996E-6</v>
      </c>
      <c r="L283" s="13">
        <f t="shared" si="185"/>
        <v>7.9999999999999996E-6</v>
      </c>
      <c r="M283" s="13">
        <f t="shared" si="185"/>
        <v>7.9999999999999996E-6</v>
      </c>
      <c r="N283" s="13">
        <f t="shared" si="185"/>
        <v>7.9999999999999996E-6</v>
      </c>
      <c r="O283" s="13">
        <f t="shared" si="185"/>
        <v>7.9999999999999996E-6</v>
      </c>
      <c r="P283" s="13">
        <f t="shared" si="185"/>
        <v>7.9999999999999996E-6</v>
      </c>
      <c r="Q283" s="13">
        <f t="shared" si="185"/>
        <v>7.9999999999999996E-6</v>
      </c>
      <c r="R283" s="13">
        <f t="shared" si="185"/>
        <v>7.9999999999999996E-6</v>
      </c>
      <c r="S283" s="13">
        <f t="shared" si="185"/>
        <v>7.9999999999999996E-6</v>
      </c>
      <c r="T283" s="13">
        <f t="shared" si="185"/>
        <v>7.9999999999999996E-6</v>
      </c>
      <c r="U283" s="13">
        <f t="shared" si="185"/>
        <v>7.9999999999999996E-6</v>
      </c>
      <c r="V283" s="13">
        <f t="shared" si="185"/>
        <v>7.9999999999999996E-6</v>
      </c>
    </row>
    <row r="284" spans="2:23" hidden="1" outlineLevel="1">
      <c r="B284" s="307" t="s">
        <v>78</v>
      </c>
      <c r="C284" s="13">
        <f t="shared" ref="C284:V284" si="186">1.7/100000</f>
        <v>1.7E-5</v>
      </c>
      <c r="D284" s="13">
        <f t="shared" si="186"/>
        <v>1.7E-5</v>
      </c>
      <c r="E284" s="13">
        <f t="shared" si="186"/>
        <v>1.7E-5</v>
      </c>
      <c r="F284" s="13">
        <f t="shared" si="186"/>
        <v>1.7E-5</v>
      </c>
      <c r="G284" s="13">
        <f t="shared" si="186"/>
        <v>1.7E-5</v>
      </c>
      <c r="H284" s="13">
        <f t="shared" si="186"/>
        <v>1.7E-5</v>
      </c>
      <c r="I284" s="13">
        <f t="shared" si="186"/>
        <v>1.7E-5</v>
      </c>
      <c r="J284" s="13">
        <f t="shared" si="186"/>
        <v>1.7E-5</v>
      </c>
      <c r="K284" s="13">
        <f t="shared" si="186"/>
        <v>1.7E-5</v>
      </c>
      <c r="L284" s="13">
        <f t="shared" si="186"/>
        <v>1.7E-5</v>
      </c>
      <c r="M284" s="13">
        <f t="shared" si="186"/>
        <v>1.7E-5</v>
      </c>
      <c r="N284" s="13">
        <f t="shared" si="186"/>
        <v>1.7E-5</v>
      </c>
      <c r="O284" s="13">
        <f t="shared" si="186"/>
        <v>1.7E-5</v>
      </c>
      <c r="P284" s="13">
        <f t="shared" si="186"/>
        <v>1.7E-5</v>
      </c>
      <c r="Q284" s="13">
        <f t="shared" si="186"/>
        <v>1.7E-5</v>
      </c>
      <c r="R284" s="13">
        <f t="shared" si="186"/>
        <v>1.7E-5</v>
      </c>
      <c r="S284" s="13">
        <f t="shared" si="186"/>
        <v>1.7E-5</v>
      </c>
      <c r="T284" s="13">
        <f t="shared" si="186"/>
        <v>1.7E-5</v>
      </c>
      <c r="U284" s="13">
        <f t="shared" si="186"/>
        <v>1.7E-5</v>
      </c>
      <c r="V284" s="13">
        <f t="shared" si="186"/>
        <v>1.7E-5</v>
      </c>
    </row>
    <row r="285" spans="2:23" hidden="1" outlineLevel="1">
      <c r="B285" s="307" t="s">
        <v>77</v>
      </c>
      <c r="C285" s="13">
        <f t="shared" ref="C285:V285" si="187">3.3/100000</f>
        <v>3.2999999999999996E-5</v>
      </c>
      <c r="D285" s="13">
        <f t="shared" si="187"/>
        <v>3.2999999999999996E-5</v>
      </c>
      <c r="E285" s="13">
        <f t="shared" si="187"/>
        <v>3.2999999999999996E-5</v>
      </c>
      <c r="F285" s="13">
        <f t="shared" si="187"/>
        <v>3.2999999999999996E-5</v>
      </c>
      <c r="G285" s="13">
        <f t="shared" si="187"/>
        <v>3.2999999999999996E-5</v>
      </c>
      <c r="H285" s="13">
        <f t="shared" si="187"/>
        <v>3.2999999999999996E-5</v>
      </c>
      <c r="I285" s="13">
        <f t="shared" si="187"/>
        <v>3.2999999999999996E-5</v>
      </c>
      <c r="J285" s="13">
        <f t="shared" si="187"/>
        <v>3.2999999999999996E-5</v>
      </c>
      <c r="K285" s="13">
        <f t="shared" si="187"/>
        <v>3.2999999999999996E-5</v>
      </c>
      <c r="L285" s="13">
        <f t="shared" si="187"/>
        <v>3.2999999999999996E-5</v>
      </c>
      <c r="M285" s="13">
        <f t="shared" si="187"/>
        <v>3.2999999999999996E-5</v>
      </c>
      <c r="N285" s="13">
        <f t="shared" si="187"/>
        <v>3.2999999999999996E-5</v>
      </c>
      <c r="O285" s="13">
        <f t="shared" si="187"/>
        <v>3.2999999999999996E-5</v>
      </c>
      <c r="P285" s="13">
        <f t="shared" si="187"/>
        <v>3.2999999999999996E-5</v>
      </c>
      <c r="Q285" s="13">
        <f t="shared" si="187"/>
        <v>3.2999999999999996E-5</v>
      </c>
      <c r="R285" s="13">
        <f t="shared" si="187"/>
        <v>3.2999999999999996E-5</v>
      </c>
      <c r="S285" s="13">
        <f t="shared" si="187"/>
        <v>3.2999999999999996E-5</v>
      </c>
      <c r="T285" s="13">
        <f t="shared" si="187"/>
        <v>3.2999999999999996E-5</v>
      </c>
      <c r="U285" s="13">
        <f t="shared" si="187"/>
        <v>3.2999999999999996E-5</v>
      </c>
      <c r="V285" s="13">
        <f t="shared" si="187"/>
        <v>3.2999999999999996E-5</v>
      </c>
    </row>
    <row r="286" spans="2:23" hidden="1" outlineLevel="1">
      <c r="B286" s="307" t="s">
        <v>76</v>
      </c>
      <c r="C286" s="13">
        <f t="shared" ref="C286:V286" si="188">6.4/100000</f>
        <v>6.3999999999999997E-5</v>
      </c>
      <c r="D286" s="13">
        <f t="shared" si="188"/>
        <v>6.3999999999999997E-5</v>
      </c>
      <c r="E286" s="13">
        <f t="shared" si="188"/>
        <v>6.3999999999999997E-5</v>
      </c>
      <c r="F286" s="13">
        <f t="shared" si="188"/>
        <v>6.3999999999999997E-5</v>
      </c>
      <c r="G286" s="13">
        <f t="shared" si="188"/>
        <v>6.3999999999999997E-5</v>
      </c>
      <c r="H286" s="13">
        <f t="shared" si="188"/>
        <v>6.3999999999999997E-5</v>
      </c>
      <c r="I286" s="13">
        <f t="shared" si="188"/>
        <v>6.3999999999999997E-5</v>
      </c>
      <c r="J286" s="13">
        <f t="shared" si="188"/>
        <v>6.3999999999999997E-5</v>
      </c>
      <c r="K286" s="13">
        <f t="shared" si="188"/>
        <v>6.3999999999999997E-5</v>
      </c>
      <c r="L286" s="13">
        <f t="shared" si="188"/>
        <v>6.3999999999999997E-5</v>
      </c>
      <c r="M286" s="13">
        <f t="shared" si="188"/>
        <v>6.3999999999999997E-5</v>
      </c>
      <c r="N286" s="13">
        <f t="shared" si="188"/>
        <v>6.3999999999999997E-5</v>
      </c>
      <c r="O286" s="13">
        <f t="shared" si="188"/>
        <v>6.3999999999999997E-5</v>
      </c>
      <c r="P286" s="13">
        <f t="shared" si="188"/>
        <v>6.3999999999999997E-5</v>
      </c>
      <c r="Q286" s="13">
        <f t="shared" si="188"/>
        <v>6.3999999999999997E-5</v>
      </c>
      <c r="R286" s="13">
        <f t="shared" si="188"/>
        <v>6.3999999999999997E-5</v>
      </c>
      <c r="S286" s="13">
        <f t="shared" si="188"/>
        <v>6.3999999999999997E-5</v>
      </c>
      <c r="T286" s="13">
        <f t="shared" si="188"/>
        <v>6.3999999999999997E-5</v>
      </c>
      <c r="U286" s="13">
        <f t="shared" si="188"/>
        <v>6.3999999999999997E-5</v>
      </c>
      <c r="V286" s="13">
        <f t="shared" si="188"/>
        <v>6.3999999999999997E-5</v>
      </c>
    </row>
    <row r="287" spans="2:23" hidden="1" outlineLevel="1">
      <c r="B287" s="307" t="s">
        <v>75</v>
      </c>
      <c r="C287" s="13">
        <f t="shared" ref="C287:V287" si="189">11.9/100000</f>
        <v>1.1900000000000001E-4</v>
      </c>
      <c r="D287" s="13">
        <f t="shared" si="189"/>
        <v>1.1900000000000001E-4</v>
      </c>
      <c r="E287" s="13">
        <f t="shared" si="189"/>
        <v>1.1900000000000001E-4</v>
      </c>
      <c r="F287" s="13">
        <f t="shared" si="189"/>
        <v>1.1900000000000001E-4</v>
      </c>
      <c r="G287" s="13">
        <f t="shared" si="189"/>
        <v>1.1900000000000001E-4</v>
      </c>
      <c r="H287" s="13">
        <f t="shared" si="189"/>
        <v>1.1900000000000001E-4</v>
      </c>
      <c r="I287" s="13">
        <f t="shared" si="189"/>
        <v>1.1900000000000001E-4</v>
      </c>
      <c r="J287" s="13">
        <f t="shared" si="189"/>
        <v>1.1900000000000001E-4</v>
      </c>
      <c r="K287" s="13">
        <f t="shared" si="189"/>
        <v>1.1900000000000001E-4</v>
      </c>
      <c r="L287" s="13">
        <f t="shared" si="189"/>
        <v>1.1900000000000001E-4</v>
      </c>
      <c r="M287" s="13">
        <f t="shared" si="189"/>
        <v>1.1900000000000001E-4</v>
      </c>
      <c r="N287" s="13">
        <f t="shared" si="189"/>
        <v>1.1900000000000001E-4</v>
      </c>
      <c r="O287" s="13">
        <f t="shared" si="189"/>
        <v>1.1900000000000001E-4</v>
      </c>
      <c r="P287" s="13">
        <f t="shared" si="189"/>
        <v>1.1900000000000001E-4</v>
      </c>
      <c r="Q287" s="13">
        <f t="shared" si="189"/>
        <v>1.1900000000000001E-4</v>
      </c>
      <c r="R287" s="13">
        <f t="shared" si="189"/>
        <v>1.1900000000000001E-4</v>
      </c>
      <c r="S287" s="13">
        <f t="shared" si="189"/>
        <v>1.1900000000000001E-4</v>
      </c>
      <c r="T287" s="13">
        <f t="shared" si="189"/>
        <v>1.1900000000000001E-4</v>
      </c>
      <c r="U287" s="13">
        <f t="shared" si="189"/>
        <v>1.1900000000000001E-4</v>
      </c>
      <c r="V287" s="13">
        <f t="shared" si="189"/>
        <v>1.1900000000000001E-4</v>
      </c>
    </row>
    <row r="288" spans="2:23" hidden="1" outlineLevel="1">
      <c r="B288" s="307" t="s">
        <v>74</v>
      </c>
      <c r="C288" s="13">
        <f t="shared" ref="C288:V288" si="190">20.1/100000</f>
        <v>2.0100000000000001E-4</v>
      </c>
      <c r="D288" s="13">
        <f t="shared" si="190"/>
        <v>2.0100000000000001E-4</v>
      </c>
      <c r="E288" s="13">
        <f t="shared" si="190"/>
        <v>2.0100000000000001E-4</v>
      </c>
      <c r="F288" s="13">
        <f t="shared" si="190"/>
        <v>2.0100000000000001E-4</v>
      </c>
      <c r="G288" s="13">
        <f t="shared" si="190"/>
        <v>2.0100000000000001E-4</v>
      </c>
      <c r="H288" s="13">
        <f t="shared" si="190"/>
        <v>2.0100000000000001E-4</v>
      </c>
      <c r="I288" s="13">
        <f t="shared" si="190"/>
        <v>2.0100000000000001E-4</v>
      </c>
      <c r="J288" s="13">
        <f t="shared" si="190"/>
        <v>2.0100000000000001E-4</v>
      </c>
      <c r="K288" s="13">
        <f t="shared" si="190"/>
        <v>2.0100000000000001E-4</v>
      </c>
      <c r="L288" s="13">
        <f t="shared" si="190"/>
        <v>2.0100000000000001E-4</v>
      </c>
      <c r="M288" s="13">
        <f t="shared" si="190"/>
        <v>2.0100000000000001E-4</v>
      </c>
      <c r="N288" s="13">
        <f t="shared" si="190"/>
        <v>2.0100000000000001E-4</v>
      </c>
      <c r="O288" s="13">
        <f t="shared" si="190"/>
        <v>2.0100000000000001E-4</v>
      </c>
      <c r="P288" s="13">
        <f t="shared" si="190"/>
        <v>2.0100000000000001E-4</v>
      </c>
      <c r="Q288" s="13">
        <f t="shared" si="190"/>
        <v>2.0100000000000001E-4</v>
      </c>
      <c r="R288" s="13">
        <f t="shared" si="190"/>
        <v>2.0100000000000001E-4</v>
      </c>
      <c r="S288" s="13">
        <f t="shared" si="190"/>
        <v>2.0100000000000001E-4</v>
      </c>
      <c r="T288" s="13">
        <f t="shared" si="190"/>
        <v>2.0100000000000001E-4</v>
      </c>
      <c r="U288" s="13">
        <f t="shared" si="190"/>
        <v>2.0100000000000001E-4</v>
      </c>
      <c r="V288" s="13">
        <f t="shared" si="190"/>
        <v>2.0100000000000001E-4</v>
      </c>
    </row>
    <row r="289" spans="2:22" hidden="1" outlineLevel="1">
      <c r="B289" s="307" t="s">
        <v>73</v>
      </c>
      <c r="C289" s="13">
        <f t="shared" ref="C289:V289" si="191">32.1/100000</f>
        <v>3.21E-4</v>
      </c>
      <c r="D289" s="13">
        <f t="shared" si="191"/>
        <v>3.21E-4</v>
      </c>
      <c r="E289" s="13">
        <f t="shared" si="191"/>
        <v>3.21E-4</v>
      </c>
      <c r="F289" s="13">
        <f t="shared" si="191"/>
        <v>3.21E-4</v>
      </c>
      <c r="G289" s="13">
        <f t="shared" si="191"/>
        <v>3.21E-4</v>
      </c>
      <c r="H289" s="13">
        <f t="shared" si="191"/>
        <v>3.21E-4</v>
      </c>
      <c r="I289" s="13">
        <f t="shared" si="191"/>
        <v>3.21E-4</v>
      </c>
      <c r="J289" s="13">
        <f t="shared" si="191"/>
        <v>3.21E-4</v>
      </c>
      <c r="K289" s="13">
        <f t="shared" si="191"/>
        <v>3.21E-4</v>
      </c>
      <c r="L289" s="13">
        <f t="shared" si="191"/>
        <v>3.21E-4</v>
      </c>
      <c r="M289" s="13">
        <f t="shared" si="191"/>
        <v>3.21E-4</v>
      </c>
      <c r="N289" s="13">
        <f t="shared" si="191"/>
        <v>3.21E-4</v>
      </c>
      <c r="O289" s="13">
        <f t="shared" si="191"/>
        <v>3.21E-4</v>
      </c>
      <c r="P289" s="13">
        <f t="shared" si="191"/>
        <v>3.21E-4</v>
      </c>
      <c r="Q289" s="13">
        <f t="shared" si="191"/>
        <v>3.21E-4</v>
      </c>
      <c r="R289" s="13">
        <f t="shared" si="191"/>
        <v>3.21E-4</v>
      </c>
      <c r="S289" s="13">
        <f t="shared" si="191"/>
        <v>3.21E-4</v>
      </c>
      <c r="T289" s="13">
        <f t="shared" si="191"/>
        <v>3.21E-4</v>
      </c>
      <c r="U289" s="13">
        <f t="shared" si="191"/>
        <v>3.21E-4</v>
      </c>
      <c r="V289" s="13">
        <f t="shared" si="191"/>
        <v>3.21E-4</v>
      </c>
    </row>
    <row r="290" spans="2:22" hidden="1" outlineLevel="1">
      <c r="B290" s="307" t="s">
        <v>72</v>
      </c>
      <c r="C290" s="13">
        <f t="shared" ref="C290:V290" si="192">44.5/100000</f>
        <v>4.4499999999999997E-4</v>
      </c>
      <c r="D290" s="13">
        <f t="shared" si="192"/>
        <v>4.4499999999999997E-4</v>
      </c>
      <c r="E290" s="13">
        <f t="shared" si="192"/>
        <v>4.4499999999999997E-4</v>
      </c>
      <c r="F290" s="13">
        <f t="shared" si="192"/>
        <v>4.4499999999999997E-4</v>
      </c>
      <c r="G290" s="13">
        <f t="shared" si="192"/>
        <v>4.4499999999999997E-4</v>
      </c>
      <c r="H290" s="13">
        <f t="shared" si="192"/>
        <v>4.4499999999999997E-4</v>
      </c>
      <c r="I290" s="13">
        <f t="shared" si="192"/>
        <v>4.4499999999999997E-4</v>
      </c>
      <c r="J290" s="13">
        <f t="shared" si="192"/>
        <v>4.4499999999999997E-4</v>
      </c>
      <c r="K290" s="13">
        <f t="shared" si="192"/>
        <v>4.4499999999999997E-4</v>
      </c>
      <c r="L290" s="13">
        <f t="shared" si="192"/>
        <v>4.4499999999999997E-4</v>
      </c>
      <c r="M290" s="13">
        <f t="shared" si="192"/>
        <v>4.4499999999999997E-4</v>
      </c>
      <c r="N290" s="13">
        <f t="shared" si="192"/>
        <v>4.4499999999999997E-4</v>
      </c>
      <c r="O290" s="13">
        <f t="shared" si="192"/>
        <v>4.4499999999999997E-4</v>
      </c>
      <c r="P290" s="13">
        <f t="shared" si="192"/>
        <v>4.4499999999999997E-4</v>
      </c>
      <c r="Q290" s="13">
        <f t="shared" si="192"/>
        <v>4.4499999999999997E-4</v>
      </c>
      <c r="R290" s="13">
        <f t="shared" si="192"/>
        <v>4.4499999999999997E-4</v>
      </c>
      <c r="S290" s="13">
        <f t="shared" si="192"/>
        <v>4.4499999999999997E-4</v>
      </c>
      <c r="T290" s="13">
        <f t="shared" si="192"/>
        <v>4.4499999999999997E-4</v>
      </c>
      <c r="U290" s="13">
        <f t="shared" si="192"/>
        <v>4.4499999999999997E-4</v>
      </c>
      <c r="V290" s="13">
        <f t="shared" si="192"/>
        <v>4.4499999999999997E-4</v>
      </c>
    </row>
    <row r="291" spans="2:22" hidden="1" outlineLevel="1">
      <c r="B291" s="308" t="s">
        <v>71</v>
      </c>
      <c r="C291" s="13">
        <f t="shared" ref="C291:V291" si="193">49.7/100000</f>
        <v>4.9700000000000005E-4</v>
      </c>
      <c r="D291" s="13">
        <f t="shared" si="193"/>
        <v>4.9700000000000005E-4</v>
      </c>
      <c r="E291" s="13">
        <f t="shared" si="193"/>
        <v>4.9700000000000005E-4</v>
      </c>
      <c r="F291" s="13">
        <f t="shared" si="193"/>
        <v>4.9700000000000005E-4</v>
      </c>
      <c r="G291" s="13">
        <f t="shared" si="193"/>
        <v>4.9700000000000005E-4</v>
      </c>
      <c r="H291" s="13">
        <f t="shared" si="193"/>
        <v>4.9700000000000005E-4</v>
      </c>
      <c r="I291" s="13">
        <f t="shared" si="193"/>
        <v>4.9700000000000005E-4</v>
      </c>
      <c r="J291" s="13">
        <f t="shared" si="193"/>
        <v>4.9700000000000005E-4</v>
      </c>
      <c r="K291" s="13">
        <f t="shared" si="193"/>
        <v>4.9700000000000005E-4</v>
      </c>
      <c r="L291" s="13">
        <f t="shared" si="193"/>
        <v>4.9700000000000005E-4</v>
      </c>
      <c r="M291" s="13">
        <f t="shared" si="193"/>
        <v>4.9700000000000005E-4</v>
      </c>
      <c r="N291" s="13">
        <f t="shared" si="193"/>
        <v>4.9700000000000005E-4</v>
      </c>
      <c r="O291" s="13">
        <f t="shared" si="193"/>
        <v>4.9700000000000005E-4</v>
      </c>
      <c r="P291" s="13">
        <f t="shared" si="193"/>
        <v>4.9700000000000005E-4</v>
      </c>
      <c r="Q291" s="13">
        <f t="shared" si="193"/>
        <v>4.9700000000000005E-4</v>
      </c>
      <c r="R291" s="13">
        <f t="shared" si="193"/>
        <v>4.9700000000000005E-4</v>
      </c>
      <c r="S291" s="13">
        <f t="shared" si="193"/>
        <v>4.9700000000000005E-4</v>
      </c>
      <c r="T291" s="13">
        <f t="shared" si="193"/>
        <v>4.9700000000000005E-4</v>
      </c>
      <c r="U291" s="13">
        <f t="shared" si="193"/>
        <v>4.9700000000000005E-4</v>
      </c>
      <c r="V291" s="13">
        <f t="shared" si="193"/>
        <v>4.9700000000000005E-4</v>
      </c>
    </row>
    <row r="292" spans="2:22" hidden="1" outlineLevel="1"/>
    <row r="293" spans="2:22" hidden="1" outlineLevel="1">
      <c r="B293" s="309" t="s">
        <v>83</v>
      </c>
    </row>
    <row r="294" spans="2:22" hidden="1" outlineLevel="1">
      <c r="B294" s="307" t="s">
        <v>82</v>
      </c>
      <c r="C294" s="5">
        <f t="shared" ref="C294:V294" si="194">C280*C266*1000</f>
        <v>9.1674965491438627</v>
      </c>
      <c r="D294" s="5">
        <f t="shared" si="194"/>
        <v>9.2143380317537389</v>
      </c>
      <c r="E294" s="5">
        <f t="shared" si="194"/>
        <v>9.2581084104901539</v>
      </c>
      <c r="F294" s="5">
        <f t="shared" si="194"/>
        <v>9.3029902166153828</v>
      </c>
      <c r="G294" s="5">
        <f t="shared" si="194"/>
        <v>9.3477892833792318</v>
      </c>
      <c r="H294" s="5">
        <f t="shared" si="194"/>
        <v>9.3608650444963732</v>
      </c>
      <c r="I294" s="5">
        <f t="shared" si="194"/>
        <v>9.3946170522091705</v>
      </c>
      <c r="J294" s="5">
        <f t="shared" si="194"/>
        <v>9.4287697735829266</v>
      </c>
      <c r="K294" s="5">
        <f t="shared" si="194"/>
        <v>9.4629220545649346</v>
      </c>
      <c r="L294" s="5">
        <f t="shared" si="194"/>
        <v>9.4972738603204672</v>
      </c>
      <c r="M294" s="5">
        <f t="shared" si="194"/>
        <v>9.5342919982976468</v>
      </c>
      <c r="N294" s="5">
        <f t="shared" si="194"/>
        <v>9.5739910303762041</v>
      </c>
      <c r="O294" s="5">
        <f t="shared" si="194"/>
        <v>9.6138553618968459</v>
      </c>
      <c r="P294" s="5">
        <f t="shared" si="194"/>
        <v>9.6538856811359359</v>
      </c>
      <c r="Q294" s="5">
        <f t="shared" si="194"/>
        <v>9.6940826792356969</v>
      </c>
      <c r="R294" s="5">
        <f t="shared" si="194"/>
        <v>9.73444705021614</v>
      </c>
      <c r="S294" s="5">
        <f t="shared" si="194"/>
        <v>9.7749794909870484</v>
      </c>
      <c r="T294" s="5">
        <f t="shared" si="194"/>
        <v>9.8156807013600087</v>
      </c>
      <c r="U294" s="5">
        <f t="shared" si="194"/>
        <v>9.8565513840604897</v>
      </c>
      <c r="V294" s="5">
        <f t="shared" si="194"/>
        <v>9.897592244739986</v>
      </c>
    </row>
    <row r="295" spans="2:22" hidden="1" outlineLevel="1">
      <c r="B295" s="307" t="s">
        <v>81</v>
      </c>
      <c r="C295" s="5">
        <f t="shared" ref="C295:V295" si="195">C281*C267*1000</f>
        <v>8.7361899379685255</v>
      </c>
      <c r="D295" s="5">
        <f t="shared" si="195"/>
        <v>8.4654482226814434</v>
      </c>
      <c r="E295" s="5">
        <f t="shared" si="195"/>
        <v>8.1929665819923549</v>
      </c>
      <c r="F295" s="5">
        <f t="shared" si="195"/>
        <v>7.9225948007338127</v>
      </c>
      <c r="G295" s="5">
        <f t="shared" si="195"/>
        <v>7.6532227642471193</v>
      </c>
      <c r="H295" s="5">
        <f t="shared" si="195"/>
        <v>7.5784893203929489</v>
      </c>
      <c r="I295" s="5">
        <f t="shared" si="195"/>
        <v>7.520686037157521</v>
      </c>
      <c r="J295" s="5">
        <f t="shared" si="195"/>
        <v>7.4632020125937544</v>
      </c>
      <c r="K295" s="5">
        <f t="shared" si="195"/>
        <v>7.4057125425035695</v>
      </c>
      <c r="L295" s="5">
        <f t="shared" si="195"/>
        <v>7.3483724132092991</v>
      </c>
      <c r="M295" s="5">
        <f t="shared" si="195"/>
        <v>7.2916171748770422</v>
      </c>
      <c r="N295" s="5">
        <f t="shared" si="195"/>
        <v>7.2354401776102755</v>
      </c>
      <c r="O295" s="5">
        <f t="shared" si="195"/>
        <v>7.1796959862555871</v>
      </c>
      <c r="P295" s="5">
        <f t="shared" si="195"/>
        <v>7.1243812663350505</v>
      </c>
      <c r="Q295" s="5">
        <f t="shared" si="195"/>
        <v>7.0694927090606399</v>
      </c>
      <c r="R295" s="5">
        <f t="shared" si="195"/>
        <v>7.0150270311363148</v>
      </c>
      <c r="S295" s="5">
        <f t="shared" si="195"/>
        <v>6.9609809745616174</v>
      </c>
      <c r="T295" s="5">
        <f t="shared" si="195"/>
        <v>6.9073513064367873</v>
      </c>
      <c r="U295" s="5">
        <f t="shared" si="195"/>
        <v>6.8541348187693796</v>
      </c>
      <c r="V295" s="5">
        <f t="shared" si="195"/>
        <v>6.80132832828237</v>
      </c>
    </row>
    <row r="296" spans="2:22" hidden="1" outlineLevel="1">
      <c r="B296" s="307" t="s">
        <v>80</v>
      </c>
      <c r="C296" s="5">
        <f t="shared" ref="C296:V296" si="196">C282*C268*1000</f>
        <v>19.659598573856083</v>
      </c>
      <c r="D296" s="5">
        <f t="shared" si="196"/>
        <v>19.362595010253223</v>
      </c>
      <c r="E296" s="5">
        <f t="shared" si="196"/>
        <v>19.060501015954706</v>
      </c>
      <c r="F296" s="5">
        <f t="shared" si="196"/>
        <v>18.762114630288529</v>
      </c>
      <c r="G296" s="5">
        <f t="shared" si="196"/>
        <v>18.4649100979628</v>
      </c>
      <c r="H296" s="5">
        <f t="shared" si="196"/>
        <v>17.889742543475322</v>
      </c>
      <c r="I296" s="5">
        <f t="shared" si="196"/>
        <v>17.355432058590679</v>
      </c>
      <c r="J296" s="5">
        <f t="shared" si="196"/>
        <v>16.82185111568603</v>
      </c>
      <c r="K296" s="5">
        <f t="shared" si="196"/>
        <v>16.288233534023437</v>
      </c>
      <c r="L296" s="5">
        <f t="shared" si="196"/>
        <v>15.75491149968089</v>
      </c>
      <c r="M296" s="5">
        <f t="shared" si="196"/>
        <v>15.239256863063956</v>
      </c>
      <c r="N296" s="5">
        <f t="shared" si="196"/>
        <v>14.740677585042658</v>
      </c>
      <c r="O296" s="5">
        <f t="shared" si="196"/>
        <v>14.258410211119173</v>
      </c>
      <c r="P296" s="5">
        <f t="shared" si="196"/>
        <v>13.791921068461464</v>
      </c>
      <c r="Q296" s="5">
        <f t="shared" si="196"/>
        <v>13.340693944289367</v>
      </c>
      <c r="R296" s="5">
        <f t="shared" si="196"/>
        <v>12.904229514638063</v>
      </c>
      <c r="S296" s="5">
        <f t="shared" si="196"/>
        <v>12.482044791810587</v>
      </c>
      <c r="T296" s="5">
        <f t="shared" si="196"/>
        <v>12.073672589907876</v>
      </c>
      <c r="U296" s="5">
        <f t="shared" si="196"/>
        <v>11.678661007844974</v>
      </c>
      <c r="V296" s="5">
        <f t="shared" si="196"/>
        <v>11.29657292928127</v>
      </c>
    </row>
    <row r="297" spans="2:22" hidden="1" outlineLevel="1">
      <c r="B297" s="307" t="s">
        <v>79</v>
      </c>
      <c r="C297" s="5">
        <f t="shared" ref="C297:V297" si="197">C283*C269*1000</f>
        <v>57.798851301224204</v>
      </c>
      <c r="D297" s="5">
        <f t="shared" si="197"/>
        <v>58.463706346241395</v>
      </c>
      <c r="E297" s="5">
        <f t="shared" si="197"/>
        <v>59.107808374436864</v>
      </c>
      <c r="F297" s="5">
        <f t="shared" si="197"/>
        <v>59.757686550694466</v>
      </c>
      <c r="G297" s="5">
        <f t="shared" si="197"/>
        <v>60.405779287134123</v>
      </c>
      <c r="H297" s="5">
        <f t="shared" si="197"/>
        <v>60.895469626261651</v>
      </c>
      <c r="I297" s="5">
        <f t="shared" si="197"/>
        <v>61.518760707403928</v>
      </c>
      <c r="J297" s="5">
        <f t="shared" si="197"/>
        <v>62.144683014653708</v>
      </c>
      <c r="K297" s="5">
        <f t="shared" si="197"/>
        <v>62.770626591575244</v>
      </c>
      <c r="L297" s="5">
        <f t="shared" si="197"/>
        <v>63.397925967539933</v>
      </c>
      <c r="M297" s="5">
        <f t="shared" si="197"/>
        <v>64.032098754778374</v>
      </c>
      <c r="N297" s="5">
        <f t="shared" si="197"/>
        <v>64.673225797089984</v>
      </c>
      <c r="O297" s="5">
        <f t="shared" si="197"/>
        <v>65.320772180519185</v>
      </c>
      <c r="P297" s="5">
        <f t="shared" si="197"/>
        <v>65.974802179285717</v>
      </c>
      <c r="Q297" s="5">
        <f t="shared" si="197"/>
        <v>66.635380711160579</v>
      </c>
      <c r="R297" s="5">
        <f t="shared" si="197"/>
        <v>67.302573343909728</v>
      </c>
      <c r="S297" s="5">
        <f t="shared" si="197"/>
        <v>67.976446301802127</v>
      </c>
      <c r="T297" s="5">
        <f t="shared" si="197"/>
        <v>68.657066472183089</v>
      </c>
      <c r="U297" s="5">
        <f t="shared" si="197"/>
        <v>69.344501412113374</v>
      </c>
      <c r="V297" s="5">
        <f t="shared" si="197"/>
        <v>70.038819355074793</v>
      </c>
    </row>
    <row r="298" spans="2:22" hidden="1" outlineLevel="1">
      <c r="B298" s="307" t="s">
        <v>78</v>
      </c>
      <c r="C298" s="5">
        <f t="shared" ref="C298:V298" si="198">C284*C270*1000</f>
        <v>52.440054228039351</v>
      </c>
      <c r="D298" s="5">
        <f t="shared" si="198"/>
        <v>53.603004321205574</v>
      </c>
      <c r="E298" s="5">
        <f t="shared" si="198"/>
        <v>54.745019360435478</v>
      </c>
      <c r="F298" s="5">
        <f t="shared" si="198"/>
        <v>55.890410188814059</v>
      </c>
      <c r="G298" s="5">
        <f t="shared" si="198"/>
        <v>57.032266824775292</v>
      </c>
      <c r="H298" s="5">
        <f t="shared" si="198"/>
        <v>57.863396558054013</v>
      </c>
      <c r="I298" s="5">
        <f t="shared" si="198"/>
        <v>58.820656689534594</v>
      </c>
      <c r="J298" s="5">
        <f t="shared" si="198"/>
        <v>59.780439142839512</v>
      </c>
      <c r="K298" s="5">
        <f t="shared" si="198"/>
        <v>60.740263626670256</v>
      </c>
      <c r="L298" s="5">
        <f t="shared" si="198"/>
        <v>61.701428682054022</v>
      </c>
      <c r="M298" s="5">
        <f t="shared" si="198"/>
        <v>62.678203945647226</v>
      </c>
      <c r="N298" s="5">
        <f t="shared" si="198"/>
        <v>63.670849095187329</v>
      </c>
      <c r="O298" s="5">
        <f t="shared" si="198"/>
        <v>64.679214931200178</v>
      </c>
      <c r="P298" s="5">
        <f t="shared" si="198"/>
        <v>65.703550424814409</v>
      </c>
      <c r="Q298" s="5">
        <f t="shared" si="198"/>
        <v>66.744108490155782</v>
      </c>
      <c r="R298" s="5">
        <f t="shared" si="198"/>
        <v>67.801146046793235</v>
      </c>
      <c r="S298" s="5">
        <f t="shared" si="198"/>
        <v>68.874924083173667</v>
      </c>
      <c r="T298" s="5">
        <f t="shared" si="198"/>
        <v>69.965707721061435</v>
      </c>
      <c r="U298" s="5">
        <f t="shared" si="198"/>
        <v>71.073766280998441</v>
      </c>
      <c r="V298" s="5">
        <f t="shared" si="198"/>
        <v>72.199373348800819</v>
      </c>
    </row>
    <row r="299" spans="2:22" hidden="1" outlineLevel="1">
      <c r="B299" s="307" t="s">
        <v>77</v>
      </c>
      <c r="C299" s="5">
        <f t="shared" ref="C299:V299" si="199">C285*C271*1000</f>
        <v>87.971232240557683</v>
      </c>
      <c r="D299" s="5">
        <f t="shared" si="199"/>
        <v>90.222782945005932</v>
      </c>
      <c r="E299" s="5">
        <f t="shared" si="199"/>
        <v>92.438082672668784</v>
      </c>
      <c r="F299" s="5">
        <f t="shared" si="199"/>
        <v>94.658043885082449</v>
      </c>
      <c r="G299" s="5">
        <f t="shared" si="199"/>
        <v>96.871048120731544</v>
      </c>
      <c r="H299" s="5">
        <f t="shared" si="199"/>
        <v>99.154793836459106</v>
      </c>
      <c r="I299" s="5">
        <f t="shared" si="199"/>
        <v>101.65275442950251</v>
      </c>
      <c r="J299" s="5">
        <f t="shared" si="199"/>
        <v>104.15508922129347</v>
      </c>
      <c r="K299" s="5">
        <f t="shared" si="199"/>
        <v>106.65754730384583</v>
      </c>
      <c r="L299" s="5">
        <f t="shared" si="199"/>
        <v>109.16242542595485</v>
      </c>
      <c r="M299" s="5">
        <f t="shared" si="199"/>
        <v>111.72649666639241</v>
      </c>
      <c r="N299" s="5">
        <f t="shared" si="199"/>
        <v>114.35116836957474</v>
      </c>
      <c r="O299" s="5">
        <f t="shared" si="199"/>
        <v>117.03749869228808</v>
      </c>
      <c r="P299" s="5">
        <f t="shared" si="199"/>
        <v>119.78693611487299</v>
      </c>
      <c r="Q299" s="5">
        <f t="shared" si="199"/>
        <v>122.60096314527739</v>
      </c>
      <c r="R299" s="5">
        <f t="shared" si="199"/>
        <v>125.48109711843099</v>
      </c>
      <c r="S299" s="5">
        <f t="shared" si="199"/>
        <v>128.42889101439843</v>
      </c>
      <c r="T299" s="5">
        <f t="shared" si="199"/>
        <v>131.44593429575264</v>
      </c>
      <c r="U299" s="5">
        <f t="shared" si="199"/>
        <v>134.53385376461932</v>
      </c>
      <c r="V299" s="5">
        <f t="shared" si="199"/>
        <v>137.69431443985576</v>
      </c>
    </row>
    <row r="300" spans="2:22" hidden="1" outlineLevel="1">
      <c r="B300" s="307" t="s">
        <v>76</v>
      </c>
      <c r="C300" s="5">
        <f t="shared" ref="C300:V300" si="200">C286*C272*1000</f>
        <v>155.68387411614933</v>
      </c>
      <c r="D300" s="5">
        <f t="shared" si="200"/>
        <v>156.89378305664764</v>
      </c>
      <c r="E300" s="5">
        <f t="shared" si="200"/>
        <v>158.04997859773877</v>
      </c>
      <c r="F300" s="5">
        <f t="shared" si="200"/>
        <v>159.22366782284632</v>
      </c>
      <c r="G300" s="5">
        <f t="shared" si="200"/>
        <v>160.39453458013861</v>
      </c>
      <c r="H300" s="5">
        <f t="shared" si="200"/>
        <v>164.74527309461845</v>
      </c>
      <c r="I300" s="5">
        <f t="shared" si="200"/>
        <v>169.45068453640886</v>
      </c>
      <c r="J300" s="5">
        <f t="shared" si="200"/>
        <v>174.16339731101155</v>
      </c>
      <c r="K300" s="5">
        <f t="shared" si="200"/>
        <v>178.87634811418627</v>
      </c>
      <c r="L300" s="5">
        <f t="shared" si="200"/>
        <v>183.59339930456099</v>
      </c>
      <c r="M300" s="5">
        <f t="shared" si="200"/>
        <v>188.43503061529037</v>
      </c>
      <c r="N300" s="5">
        <f t="shared" si="200"/>
        <v>193.40453727810703</v>
      </c>
      <c r="O300" s="5">
        <f t="shared" si="200"/>
        <v>198.50510235607686</v>
      </c>
      <c r="P300" s="5">
        <f t="shared" si="200"/>
        <v>203.74018218990886</v>
      </c>
      <c r="Q300" s="5">
        <f t="shared" si="200"/>
        <v>209.11332427272748</v>
      </c>
      <c r="R300" s="5">
        <f t="shared" si="200"/>
        <v>214.62816965399136</v>
      </c>
      <c r="S300" s="5">
        <f t="shared" si="200"/>
        <v>220.2884554068099</v>
      </c>
      <c r="T300" s="5">
        <f t="shared" si="200"/>
        <v>226.09801716032868</v>
      </c>
      <c r="U300" s="5">
        <f t="shared" si="200"/>
        <v>232.06079169890066</v>
      </c>
      <c r="V300" s="5">
        <f t="shared" si="200"/>
        <v>238.18081962980392</v>
      </c>
    </row>
    <row r="301" spans="2:22" hidden="1" outlineLevel="1">
      <c r="B301" s="307" t="s">
        <v>75</v>
      </c>
      <c r="C301" s="5">
        <f t="shared" ref="C301:V301" si="201">C287*C273*1000</f>
        <v>246.79339028871664</v>
      </c>
      <c r="D301" s="5">
        <f t="shared" si="201"/>
        <v>253.51414282707924</v>
      </c>
      <c r="E301" s="5">
        <f t="shared" si="201"/>
        <v>260.13167612768729</v>
      </c>
      <c r="F301" s="5">
        <f t="shared" si="201"/>
        <v>266.76093979357978</v>
      </c>
      <c r="G301" s="5">
        <f t="shared" si="201"/>
        <v>273.36930381295377</v>
      </c>
      <c r="H301" s="5">
        <f t="shared" si="201"/>
        <v>275.72076776301134</v>
      </c>
      <c r="I301" s="5">
        <f t="shared" si="201"/>
        <v>278.67684506436467</v>
      </c>
      <c r="J301" s="5">
        <f t="shared" si="201"/>
        <v>281.64484406993546</v>
      </c>
      <c r="K301" s="5">
        <f t="shared" si="201"/>
        <v>284.61294738770749</v>
      </c>
      <c r="L301" s="5">
        <f t="shared" si="201"/>
        <v>287.58720864050787</v>
      </c>
      <c r="M301" s="5">
        <f t="shared" si="201"/>
        <v>290.5928830532863</v>
      </c>
      <c r="N301" s="5">
        <f t="shared" si="201"/>
        <v>293.63030586756003</v>
      </c>
      <c r="O301" s="5">
        <f t="shared" si="201"/>
        <v>296.69947735116017</v>
      </c>
      <c r="P301" s="5">
        <f t="shared" si="201"/>
        <v>299.8007293571298</v>
      </c>
      <c r="Q301" s="5">
        <f t="shared" si="201"/>
        <v>302.93439720720676</v>
      </c>
      <c r="R301" s="5">
        <f t="shared" si="201"/>
        <v>306.10081972808013</v>
      </c>
      <c r="S301" s="5">
        <f t="shared" si="201"/>
        <v>309.30033928802567</v>
      </c>
      <c r="T301" s="5">
        <f t="shared" si="201"/>
        <v>312.53330183392455</v>
      </c>
      <c r="U301" s="5">
        <f t="shared" si="201"/>
        <v>315.8000569286686</v>
      </c>
      <c r="V301" s="5">
        <f t="shared" si="201"/>
        <v>319.10095778895629</v>
      </c>
    </row>
    <row r="302" spans="2:22" hidden="1" outlineLevel="1">
      <c r="B302" s="307" t="s">
        <v>74</v>
      </c>
      <c r="C302" s="5">
        <f t="shared" ref="C302:V302" si="202">C288*C274*1000</f>
        <v>362.89804714278074</v>
      </c>
      <c r="D302" s="5">
        <f t="shared" si="202"/>
        <v>366.47768880969892</v>
      </c>
      <c r="E302" s="5">
        <f t="shared" si="202"/>
        <v>369.92926766387609</v>
      </c>
      <c r="F302" s="5">
        <f t="shared" si="202"/>
        <v>373.4190943094016</v>
      </c>
      <c r="G302" s="5">
        <f t="shared" si="202"/>
        <v>376.89974483212609</v>
      </c>
      <c r="H302" s="5">
        <f t="shared" si="202"/>
        <v>387.85080342027771</v>
      </c>
      <c r="I302" s="5">
        <f t="shared" si="202"/>
        <v>399.63526487063234</v>
      </c>
      <c r="J302" s="5">
        <f t="shared" si="202"/>
        <v>411.43695825917905</v>
      </c>
      <c r="K302" s="5">
        <f t="shared" si="202"/>
        <v>423.23925427597192</v>
      </c>
      <c r="L302" s="5">
        <f t="shared" si="202"/>
        <v>435.05130484136413</v>
      </c>
      <c r="M302" s="5">
        <f t="shared" si="202"/>
        <v>447.19301532635825</v>
      </c>
      <c r="N302" s="5">
        <f t="shared" si="202"/>
        <v>459.67358616875811</v>
      </c>
      <c r="O302" s="5">
        <f t="shared" si="202"/>
        <v>472.50247338286704</v>
      </c>
      <c r="P302" s="5">
        <f t="shared" si="202"/>
        <v>485.68939802201942</v>
      </c>
      <c r="Q302" s="5">
        <f t="shared" si="202"/>
        <v>499.24435244140494</v>
      </c>
      <c r="R302" s="5">
        <f t="shared" si="202"/>
        <v>513.1776078697477</v>
      </c>
      <c r="S302" s="5">
        <f t="shared" si="202"/>
        <v>527.49972219230153</v>
      </c>
      <c r="T302" s="5">
        <f t="shared" si="202"/>
        <v>542.22154795105723</v>
      </c>
      <c r="U302" s="5">
        <f t="shared" si="202"/>
        <v>557.35424056822649</v>
      </c>
      <c r="V302" s="5">
        <f t="shared" si="202"/>
        <v>572.90926679923143</v>
      </c>
    </row>
    <row r="303" spans="2:22" hidden="1" outlineLevel="1">
      <c r="B303" s="307" t="s">
        <v>73</v>
      </c>
      <c r="C303" s="5">
        <f t="shared" ref="C303:V303" si="203">C289*C275*1000</f>
        <v>540.30887517729786</v>
      </c>
      <c r="D303" s="5">
        <f t="shared" si="203"/>
        <v>532.25126490583023</v>
      </c>
      <c r="E303" s="5">
        <f t="shared" si="203"/>
        <v>524.05335816715194</v>
      </c>
      <c r="F303" s="5">
        <f t="shared" si="203"/>
        <v>515.95699859230365</v>
      </c>
      <c r="G303" s="5">
        <f t="shared" si="203"/>
        <v>507.89276103950175</v>
      </c>
      <c r="H303" s="5">
        <f t="shared" si="203"/>
        <v>513.98724527435752</v>
      </c>
      <c r="I303" s="5">
        <f t="shared" si="203"/>
        <v>521.20499803844427</v>
      </c>
      <c r="J303" s="5">
        <f t="shared" si="203"/>
        <v>528.44507815252928</v>
      </c>
      <c r="K303" s="5">
        <f t="shared" si="203"/>
        <v>535.68545477480973</v>
      </c>
      <c r="L303" s="5">
        <f t="shared" si="203"/>
        <v>542.93755528173176</v>
      </c>
      <c r="M303" s="5">
        <f t="shared" si="203"/>
        <v>550.29271475662733</v>
      </c>
      <c r="N303" s="5">
        <f t="shared" si="203"/>
        <v>557.7524642807723</v>
      </c>
      <c r="O303" s="5">
        <f t="shared" si="203"/>
        <v>565.31333791844952</v>
      </c>
      <c r="P303" s="5">
        <f t="shared" si="203"/>
        <v>572.97670650473913</v>
      </c>
      <c r="Q303" s="5">
        <f t="shared" si="203"/>
        <v>580.74395945771573</v>
      </c>
      <c r="R303" s="5">
        <f t="shared" si="203"/>
        <v>588.61650503035833</v>
      </c>
      <c r="S303" s="5">
        <f t="shared" si="203"/>
        <v>596.59577056587636</v>
      </c>
      <c r="T303" s="5">
        <f t="shared" si="203"/>
        <v>604.68320275649501</v>
      </c>
      <c r="U303" s="5">
        <f t="shared" si="203"/>
        <v>612.88026790575145</v>
      </c>
      <c r="V303" s="5">
        <f t="shared" si="203"/>
        <v>621.18845219434365</v>
      </c>
    </row>
    <row r="304" spans="2:22" hidden="1" outlineLevel="1">
      <c r="B304" s="307" t="s">
        <v>72</v>
      </c>
      <c r="C304" s="5">
        <f t="shared" ref="C304:V304" si="204">C290*C276*1000</f>
        <v>559.67837097897689</v>
      </c>
      <c r="D304" s="5">
        <f t="shared" si="204"/>
        <v>572.90952249624047</v>
      </c>
      <c r="E304" s="5">
        <f t="shared" si="204"/>
        <v>585.91415707809335</v>
      </c>
      <c r="F304" s="5">
        <f t="shared" si="204"/>
        <v>598.95209093605183</v>
      </c>
      <c r="G304" s="5">
        <f t="shared" si="204"/>
        <v>611.94950332405097</v>
      </c>
      <c r="H304" s="5">
        <f t="shared" si="204"/>
        <v>604.18479700591399</v>
      </c>
      <c r="I304" s="5">
        <f t="shared" si="204"/>
        <v>597.7738655119058</v>
      </c>
      <c r="J304" s="5">
        <f t="shared" si="204"/>
        <v>591.38827729709988</v>
      </c>
      <c r="K304" s="5">
        <f t="shared" si="204"/>
        <v>585.00214718314521</v>
      </c>
      <c r="L304" s="5">
        <f t="shared" si="204"/>
        <v>578.62766486819407</v>
      </c>
      <c r="M304" s="5">
        <f t="shared" si="204"/>
        <v>572.33171397163721</v>
      </c>
      <c r="N304" s="5">
        <f t="shared" si="204"/>
        <v>566.11406303032118</v>
      </c>
      <c r="O304" s="5">
        <f t="shared" si="204"/>
        <v>559.96395890195356</v>
      </c>
      <c r="P304" s="5">
        <f t="shared" si="204"/>
        <v>553.88066777693609</v>
      </c>
      <c r="Q304" s="5">
        <f t="shared" si="204"/>
        <v>547.86346381757153</v>
      </c>
      <c r="R304" s="5">
        <f t="shared" si="204"/>
        <v>541.91162907146008</v>
      </c>
      <c r="S304" s="5">
        <f t="shared" si="204"/>
        <v>536.02445338583448</v>
      </c>
      <c r="T304" s="5">
        <f t="shared" si="204"/>
        <v>530.20123432282799</v>
      </c>
      <c r="U304" s="5">
        <f t="shared" si="204"/>
        <v>524.44127707566133</v>
      </c>
      <c r="V304" s="5">
        <f t="shared" si="204"/>
        <v>518.74389438574099</v>
      </c>
    </row>
    <row r="305" spans="2:22" hidden="1" outlineLevel="1">
      <c r="B305" s="310" t="s">
        <v>71</v>
      </c>
      <c r="C305" s="5">
        <f t="shared" ref="C305:V305" si="205">C291*C277*1000</f>
        <v>526.99399048032421</v>
      </c>
      <c r="D305" s="5">
        <f t="shared" si="205"/>
        <v>551.29115943623663</v>
      </c>
      <c r="E305" s="5">
        <f t="shared" si="205"/>
        <v>575.33049375703285</v>
      </c>
      <c r="F305" s="5">
        <f t="shared" si="205"/>
        <v>599.36174078549755</v>
      </c>
      <c r="G305" s="5">
        <f t="shared" si="205"/>
        <v>623.31434462599282</v>
      </c>
      <c r="H305" s="5">
        <f t="shared" si="205"/>
        <v>646.05077320264172</v>
      </c>
      <c r="I305" s="5">
        <f t="shared" si="205"/>
        <v>670.16536418394992</v>
      </c>
      <c r="J305" s="5">
        <f t="shared" si="205"/>
        <v>694.30893040138267</v>
      </c>
      <c r="K305" s="5">
        <f t="shared" si="205"/>
        <v>718.45376854055723</v>
      </c>
      <c r="L305" s="5">
        <f t="shared" si="205"/>
        <v>742.61549741121314</v>
      </c>
      <c r="M305" s="5">
        <f t="shared" si="205"/>
        <v>767.58978954979523</v>
      </c>
      <c r="N305" s="5">
        <f t="shared" si="205"/>
        <v>793.40397160448799</v>
      </c>
      <c r="O305" s="5">
        <f t="shared" si="205"/>
        <v>820.08628922354728</v>
      </c>
      <c r="P305" s="5">
        <f t="shared" si="205"/>
        <v>847.66593796143695</v>
      </c>
      <c r="Q305" s="5">
        <f t="shared" si="205"/>
        <v>876.17309522434493</v>
      </c>
      <c r="R305" s="5">
        <f t="shared" si="205"/>
        <v>905.63895329003196</v>
      </c>
      <c r="S305" s="5">
        <f t="shared" si="205"/>
        <v>936.09575343814515</v>
      </c>
      <c r="T305" s="5">
        <f t="shared" si="205"/>
        <v>967.57682122833796</v>
      </c>
      <c r="U305" s="5">
        <f t="shared" si="205"/>
        <v>1000.1166029648027</v>
      </c>
      <c r="V305" s="5">
        <f t="shared" si="205"/>
        <v>1033.7507033871086</v>
      </c>
    </row>
    <row r="306" spans="2:22" hidden="1" outlineLevel="1"/>
    <row r="307" spans="2:22" hidden="1" outlineLevel="1">
      <c r="B307" s="307" t="s">
        <v>317</v>
      </c>
      <c r="C307" s="5">
        <f t="shared" ref="C307:V307" si="206">SUM(C294:C299)</f>
        <v>235.77342283078968</v>
      </c>
      <c r="D307" s="5">
        <f t="shared" si="206"/>
        <v>239.33187487714127</v>
      </c>
      <c r="E307" s="5">
        <f t="shared" si="206"/>
        <v>242.80248641597831</v>
      </c>
      <c r="F307" s="5">
        <f t="shared" si="206"/>
        <v>246.29384027222869</v>
      </c>
      <c r="G307" s="5">
        <f t="shared" si="206"/>
        <v>249.77501637823008</v>
      </c>
      <c r="H307" s="5">
        <f t="shared" si="206"/>
        <v>252.7427569291394</v>
      </c>
      <c r="I307" s="5">
        <f t="shared" si="206"/>
        <v>256.26290697439839</v>
      </c>
      <c r="J307" s="5">
        <f t="shared" si="206"/>
        <v>259.79403428064938</v>
      </c>
      <c r="K307" s="5">
        <f t="shared" si="206"/>
        <v>263.32530565318325</v>
      </c>
      <c r="L307" s="5">
        <f t="shared" si="206"/>
        <v>266.86233784875947</v>
      </c>
      <c r="M307" s="5">
        <f t="shared" si="206"/>
        <v>270.50196540305666</v>
      </c>
      <c r="N307" s="5">
        <f t="shared" si="206"/>
        <v>274.24535205488121</v>
      </c>
      <c r="O307" s="5">
        <f t="shared" si="206"/>
        <v>278.08944736327902</v>
      </c>
      <c r="P307" s="5">
        <f t="shared" si="206"/>
        <v>282.03547673490556</v>
      </c>
      <c r="Q307" s="5">
        <f t="shared" si="206"/>
        <v>286.08472167917944</v>
      </c>
      <c r="R307" s="5">
        <f t="shared" si="206"/>
        <v>290.23852010512451</v>
      </c>
      <c r="S307" s="5">
        <f t="shared" si="206"/>
        <v>294.49826665673345</v>
      </c>
      <c r="T307" s="5">
        <f t="shared" si="206"/>
        <v>298.86541308670184</v>
      </c>
      <c r="U307" s="5">
        <f t="shared" si="206"/>
        <v>303.34146866840598</v>
      </c>
      <c r="V307" s="5">
        <f t="shared" si="206"/>
        <v>307.928000646035</v>
      </c>
    </row>
    <row r="308" spans="2:22" hidden="1" outlineLevel="1">
      <c r="B308" s="307" t="s">
        <v>313</v>
      </c>
      <c r="C308" s="5">
        <f t="shared" ref="C308:V308" si="207">SUM(C300:C302)</f>
        <v>765.37531154764679</v>
      </c>
      <c r="D308" s="5">
        <f t="shared" si="207"/>
        <v>776.88561469342585</v>
      </c>
      <c r="E308" s="5">
        <f t="shared" si="207"/>
        <v>788.11092238930212</v>
      </c>
      <c r="F308" s="5">
        <f t="shared" si="207"/>
        <v>799.4037019258277</v>
      </c>
      <c r="G308" s="5">
        <f t="shared" si="207"/>
        <v>810.66358322521842</v>
      </c>
      <c r="H308" s="5">
        <f t="shared" si="207"/>
        <v>828.31684427790742</v>
      </c>
      <c r="I308" s="5">
        <f t="shared" si="207"/>
        <v>847.76279447140587</v>
      </c>
      <c r="J308" s="5">
        <f t="shared" si="207"/>
        <v>867.24519964012609</v>
      </c>
      <c r="K308" s="5">
        <f t="shared" si="207"/>
        <v>886.72854977786574</v>
      </c>
      <c r="L308" s="5">
        <f t="shared" si="207"/>
        <v>906.23191278643299</v>
      </c>
      <c r="M308" s="5">
        <f t="shared" si="207"/>
        <v>926.22092899493487</v>
      </c>
      <c r="N308" s="5">
        <f t="shared" si="207"/>
        <v>946.70842931442519</v>
      </c>
      <c r="O308" s="5">
        <f t="shared" si="207"/>
        <v>967.70705309010407</v>
      </c>
      <c r="P308" s="5">
        <f t="shared" si="207"/>
        <v>989.23030956905814</v>
      </c>
      <c r="Q308" s="5">
        <f t="shared" si="207"/>
        <v>1011.2920739213391</v>
      </c>
      <c r="R308" s="5">
        <f t="shared" si="207"/>
        <v>1033.9065972518192</v>
      </c>
      <c r="S308" s="5">
        <f t="shared" si="207"/>
        <v>1057.0885168871371</v>
      </c>
      <c r="T308" s="5">
        <f t="shared" si="207"/>
        <v>1080.8528669453103</v>
      </c>
      <c r="U308" s="5">
        <f t="shared" si="207"/>
        <v>1105.2150891957958</v>
      </c>
      <c r="V308" s="5">
        <f t="shared" si="207"/>
        <v>1130.1910442179915</v>
      </c>
    </row>
    <row r="309" spans="2:22" hidden="1" outlineLevel="1">
      <c r="B309" s="307" t="s">
        <v>315</v>
      </c>
      <c r="C309" s="5">
        <f t="shared" ref="C309:V309" si="208">SUM(C303:C305)</f>
        <v>1626.9812366365991</v>
      </c>
      <c r="D309" s="5">
        <f t="shared" si="208"/>
        <v>1656.4519468383073</v>
      </c>
      <c r="E309" s="5">
        <f t="shared" si="208"/>
        <v>1685.2980090022781</v>
      </c>
      <c r="F309" s="5">
        <f t="shared" si="208"/>
        <v>1714.2708303138529</v>
      </c>
      <c r="G309" s="5">
        <f t="shared" si="208"/>
        <v>1743.1566089895455</v>
      </c>
      <c r="H309" s="5">
        <f t="shared" si="208"/>
        <v>1764.2228154829131</v>
      </c>
      <c r="I309" s="5">
        <f t="shared" si="208"/>
        <v>1789.1442277342999</v>
      </c>
      <c r="J309" s="5">
        <f t="shared" si="208"/>
        <v>1814.1422858510118</v>
      </c>
      <c r="K309" s="5">
        <f t="shared" si="208"/>
        <v>1839.1413704985121</v>
      </c>
      <c r="L309" s="5">
        <f t="shared" si="208"/>
        <v>1864.1807175611389</v>
      </c>
      <c r="M309" s="5">
        <f t="shared" si="208"/>
        <v>1890.2142182780599</v>
      </c>
      <c r="N309" s="5">
        <f t="shared" si="208"/>
        <v>1917.2704989155814</v>
      </c>
      <c r="O309" s="5">
        <f t="shared" si="208"/>
        <v>1945.3635860439504</v>
      </c>
      <c r="P309" s="5">
        <f t="shared" si="208"/>
        <v>1974.5233122431123</v>
      </c>
      <c r="Q309" s="5">
        <f t="shared" si="208"/>
        <v>2004.7805184996321</v>
      </c>
      <c r="R309" s="5">
        <f t="shared" si="208"/>
        <v>2036.1670873918506</v>
      </c>
      <c r="S309" s="5">
        <f t="shared" si="208"/>
        <v>2068.7159773898561</v>
      </c>
      <c r="T309" s="5">
        <f t="shared" si="208"/>
        <v>2102.461258307661</v>
      </c>
      <c r="U309" s="5">
        <f t="shared" si="208"/>
        <v>2137.4381479462154</v>
      </c>
      <c r="V309" s="5">
        <f t="shared" si="208"/>
        <v>2173.6830499671933</v>
      </c>
    </row>
    <row r="310" spans="2:22" hidden="1" outlineLevel="1">
      <c r="B310" s="306"/>
      <c r="C310" s="5"/>
    </row>
    <row r="311" spans="2:22" hidden="1" outlineLevel="1">
      <c r="B311" s="307" t="s">
        <v>317</v>
      </c>
      <c r="C311" s="17">
        <f>C307/(SUM(C307:C309))</f>
        <v>8.9711477526253899E-2</v>
      </c>
    </row>
    <row r="312" spans="2:22" hidden="1" outlineLevel="1">
      <c r="B312" s="307" t="s">
        <v>313</v>
      </c>
      <c r="C312" s="17">
        <f>C308/(SUM(C307:C309))</f>
        <v>0.29122430016352796</v>
      </c>
    </row>
    <row r="313" spans="2:22" hidden="1" outlineLevel="1">
      <c r="B313" s="307" t="s">
        <v>315</v>
      </c>
      <c r="C313" s="17">
        <f>C309/(SUM(C307:C309))</f>
        <v>0.61906422231021807</v>
      </c>
    </row>
    <row r="314" spans="2:22" collapsed="1">
      <c r="B314" s="13" t="s">
        <v>88</v>
      </c>
      <c r="C314" s="29">
        <f t="shared" ref="C314:V314" si="209">C338*1000</f>
        <v>62644000.000000022</v>
      </c>
      <c r="D314" s="29">
        <f t="shared" si="209"/>
        <v>63064999.999999978</v>
      </c>
      <c r="E314" s="29">
        <f t="shared" si="209"/>
        <v>63486000</v>
      </c>
      <c r="F314" s="29">
        <f t="shared" si="209"/>
        <v>63906000</v>
      </c>
      <c r="G314" s="29">
        <f t="shared" si="209"/>
        <v>64331999.999999993</v>
      </c>
      <c r="H314" s="29">
        <f t="shared" si="209"/>
        <v>64762999.999999985</v>
      </c>
      <c r="I314" s="29">
        <f t="shared" si="209"/>
        <v>65189999.999999993</v>
      </c>
      <c r="J314" s="29">
        <f t="shared" si="209"/>
        <v>65621000.000000015</v>
      </c>
      <c r="K314" s="29">
        <f t="shared" si="209"/>
        <v>66053999.999999985</v>
      </c>
      <c r="L314" s="29">
        <f t="shared" si="209"/>
        <v>66490000</v>
      </c>
      <c r="M314" s="29">
        <f t="shared" si="209"/>
        <v>66946980.387404718</v>
      </c>
      <c r="N314" s="29">
        <f t="shared" si="209"/>
        <v>67425292.774851054</v>
      </c>
      <c r="O314" s="29">
        <f t="shared" si="209"/>
        <v>67923016.709431544</v>
      </c>
      <c r="P314" s="29">
        <f t="shared" si="209"/>
        <v>68440487.111661851</v>
      </c>
      <c r="Q314" s="29">
        <f t="shared" si="209"/>
        <v>68978053.099002585</v>
      </c>
      <c r="R314" s="29">
        <f t="shared" si="209"/>
        <v>69536078.410495147</v>
      </c>
      <c r="S314" s="29">
        <f t="shared" si="209"/>
        <v>70114941.84883821</v>
      </c>
      <c r="T314" s="29">
        <f t="shared" si="209"/>
        <v>70715037.740554363</v>
      </c>
      <c r="U314" s="29">
        <f t="shared" si="209"/>
        <v>71336776.414922357</v>
      </c>
      <c r="V314" s="29">
        <f t="shared" si="209"/>
        <v>71980584.702377662</v>
      </c>
    </row>
    <row r="315" spans="2:22" ht="15.75" thickBot="1">
      <c r="B315" s="13" t="s">
        <v>87</v>
      </c>
      <c r="C315" s="48">
        <f>21.6/100000</f>
        <v>2.1600000000000002E-4</v>
      </c>
      <c r="D315" s="48">
        <f t="shared" ref="D315:V315" si="210">D316/D314</f>
        <v>2.1762646231064415E-4</v>
      </c>
      <c r="E315" s="48">
        <f t="shared" si="210"/>
        <v>2.1923093097501911E-4</v>
      </c>
      <c r="F315" s="48">
        <f t="shared" si="210"/>
        <v>2.2081384910690991E-4</v>
      </c>
      <c r="G315" s="48">
        <f t="shared" si="210"/>
        <v>2.2237564799608173E-4</v>
      </c>
      <c r="H315" s="48">
        <f t="shared" si="210"/>
        <v>2.2443806691618517E-4</v>
      </c>
      <c r="I315" s="48">
        <f t="shared" si="210"/>
        <v>2.2647326959890547E-4</v>
      </c>
      <c r="J315" s="48">
        <f t="shared" si="210"/>
        <v>2.2848179124216895E-4</v>
      </c>
      <c r="K315" s="48">
        <f t="shared" si="210"/>
        <v>2.3046415310264151E-4</v>
      </c>
      <c r="L315" s="48">
        <f t="shared" si="210"/>
        <v>2.3242086294673309E-4</v>
      </c>
      <c r="M315" s="48">
        <f t="shared" si="210"/>
        <v>2.3437972543052994E-4</v>
      </c>
      <c r="N315" s="48">
        <f t="shared" si="210"/>
        <v>2.3634022703692038E-4</v>
      </c>
      <c r="O315" s="48">
        <f t="shared" si="210"/>
        <v>2.3830629048014691E-4</v>
      </c>
      <c r="P315" s="48">
        <f t="shared" si="210"/>
        <v>2.4027750405932618E-4</v>
      </c>
      <c r="Q315" s="48">
        <f t="shared" si="210"/>
        <v>2.4225345884645887E-4</v>
      </c>
      <c r="R315" s="48">
        <f t="shared" si="210"/>
        <v>2.4423374908622892E-4</v>
      </c>
      <c r="S315" s="48">
        <f t="shared" si="210"/>
        <v>2.4621797257667069E-4</v>
      </c>
      <c r="T315" s="48">
        <f t="shared" si="210"/>
        <v>2.4820573103016938E-4</v>
      </c>
      <c r="U315" s="48">
        <f t="shared" si="210"/>
        <v>2.501966304143531E-4</v>
      </c>
      <c r="V315" s="48">
        <f t="shared" si="210"/>
        <v>2.5219028127252427E-4</v>
      </c>
    </row>
    <row r="316" spans="2:22" ht="15.75" thickBot="1">
      <c r="B316" s="340" t="s">
        <v>86</v>
      </c>
      <c r="C316" s="341">
        <f>C314*C315</f>
        <v>13531.104000000007</v>
      </c>
      <c r="D316" s="342">
        <f t="shared" ref="D316:V316" si="211">SUM(D317:D319)</f>
        <v>13724.612845620768</v>
      </c>
      <c r="E316" s="342">
        <f t="shared" si="211"/>
        <v>13918.094883880063</v>
      </c>
      <c r="F316" s="342">
        <f t="shared" si="211"/>
        <v>14111.329841026185</v>
      </c>
      <c r="G316" s="342">
        <f t="shared" si="211"/>
        <v>14305.870186883929</v>
      </c>
      <c r="H316" s="342">
        <f t="shared" si="211"/>
        <v>14535.282527692896</v>
      </c>
      <c r="I316" s="342">
        <f t="shared" si="211"/>
        <v>14763.792445152645</v>
      </c>
      <c r="J316" s="342">
        <f t="shared" si="211"/>
        <v>14993.203623102372</v>
      </c>
      <c r="K316" s="342">
        <f t="shared" si="211"/>
        <v>15223.079169041879</v>
      </c>
      <c r="L316" s="342">
        <f t="shared" si="211"/>
        <v>15453.663177328282</v>
      </c>
      <c r="M316" s="342">
        <f t="shared" si="211"/>
        <v>15691.01488160299</v>
      </c>
      <c r="N316" s="342">
        <f t="shared" si="211"/>
        <v>15935.309002439126</v>
      </c>
      <c r="O316" s="342">
        <f t="shared" si="211"/>
        <v>16186.482150245665</v>
      </c>
      <c r="P316" s="342">
        <f t="shared" si="211"/>
        <v>16444.709419794592</v>
      </c>
      <c r="Q316" s="342">
        <f t="shared" si="211"/>
        <v>16710.171947728079</v>
      </c>
      <c r="R316" s="342">
        <f t="shared" si="211"/>
        <v>16983.05712694921</v>
      </c>
      <c r="S316" s="342">
        <f t="shared" si="211"/>
        <v>17263.558829352107</v>
      </c>
      <c r="T316" s="342">
        <f t="shared" si="211"/>
        <v>17551.877637220314</v>
      </c>
      <c r="U316" s="342">
        <f t="shared" si="211"/>
        <v>17848.221083635668</v>
      </c>
      <c r="V316" s="343">
        <f t="shared" si="211"/>
        <v>18152.803902253381</v>
      </c>
    </row>
    <row r="317" spans="2:22">
      <c r="B317" s="13" t="s">
        <v>317</v>
      </c>
      <c r="C317" s="19">
        <f>C316*0.1</f>
        <v>1353.1104000000007</v>
      </c>
      <c r="D317" s="19">
        <f t="shared" ref="D317:V317" si="212">1000*C320*SUM(D326:D331)</f>
        <v>1359.1478243610402</v>
      </c>
      <c r="E317" s="19">
        <f t="shared" si="212"/>
        <v>1365.1860474520429</v>
      </c>
      <c r="F317" s="19">
        <f t="shared" si="212"/>
        <v>1371.2035966101769</v>
      </c>
      <c r="G317" s="19">
        <f t="shared" si="212"/>
        <v>1377.3504660300273</v>
      </c>
      <c r="H317" s="19">
        <f t="shared" si="212"/>
        <v>1382.7070816229573</v>
      </c>
      <c r="I317" s="19">
        <f t="shared" si="212"/>
        <v>1387.9784315422762</v>
      </c>
      <c r="J317" s="19">
        <f t="shared" si="212"/>
        <v>1393.3350808374516</v>
      </c>
      <c r="K317" s="19">
        <f t="shared" si="212"/>
        <v>1398.7339816701801</v>
      </c>
      <c r="L317" s="19">
        <f t="shared" si="212"/>
        <v>1404.1959146204752</v>
      </c>
      <c r="M317" s="19">
        <f t="shared" si="212"/>
        <v>1410.0006378297978</v>
      </c>
      <c r="N317" s="19">
        <f t="shared" si="212"/>
        <v>1416.1508002732812</v>
      </c>
      <c r="O317" s="19">
        <f t="shared" si="212"/>
        <v>1422.5888007210635</v>
      </c>
      <c r="P317" s="19">
        <f t="shared" si="212"/>
        <v>1429.3164658381609</v>
      </c>
      <c r="Q317" s="19">
        <f t="shared" si="212"/>
        <v>1436.3357307341275</v>
      </c>
      <c r="R317" s="19">
        <f t="shared" si="212"/>
        <v>1443.6486398499655</v>
      </c>
      <c r="S317" s="19">
        <f t="shared" si="212"/>
        <v>1451.2573478931736</v>
      </c>
      <c r="T317" s="19">
        <f t="shared" si="212"/>
        <v>1459.1641208214407</v>
      </c>
      <c r="U317" s="19">
        <f t="shared" si="212"/>
        <v>1467.3713368755068</v>
      </c>
      <c r="V317" s="19">
        <f t="shared" si="212"/>
        <v>1475.8814876617337</v>
      </c>
    </row>
    <row r="318" spans="2:22">
      <c r="B318" s="13" t="s">
        <v>313</v>
      </c>
      <c r="C318" s="5">
        <f>C316*0.35</f>
        <v>4735.8864000000021</v>
      </c>
      <c r="D318" s="19">
        <f t="shared" ref="D318:V318" si="213">1000*C321*(SUM(D332:D334))</f>
        <v>4798.2680667775276</v>
      </c>
      <c r="E318" s="19">
        <f t="shared" si="213"/>
        <v>4860.6417482651123</v>
      </c>
      <c r="F318" s="19">
        <f t="shared" si="213"/>
        <v>4922.9305714114498</v>
      </c>
      <c r="G318" s="19">
        <f t="shared" si="213"/>
        <v>4985.675791236773</v>
      </c>
      <c r="H318" s="19">
        <f t="shared" si="213"/>
        <v>5055.8772786198379</v>
      </c>
      <c r="I318" s="19">
        <f t="shared" si="213"/>
        <v>5125.7652095842868</v>
      </c>
      <c r="J318" s="19">
        <f t="shared" si="213"/>
        <v>5195.9663765887808</v>
      </c>
      <c r="K318" s="19">
        <f t="shared" si="213"/>
        <v>5266.3279464901698</v>
      </c>
      <c r="L318" s="19">
        <f t="shared" si="213"/>
        <v>5336.9334021528302</v>
      </c>
      <c r="M318" s="19">
        <f t="shared" si="213"/>
        <v>5410.9951837867939</v>
      </c>
      <c r="N318" s="19">
        <f t="shared" si="213"/>
        <v>5488.6244034421698</v>
      </c>
      <c r="O318" s="19">
        <f t="shared" si="213"/>
        <v>5569.9359716761783</v>
      </c>
      <c r="P318" s="19">
        <f t="shared" si="213"/>
        <v>5655.0503664170637</v>
      </c>
      <c r="Q318" s="19">
        <f t="shared" si="213"/>
        <v>5744.0930395586047</v>
      </c>
      <c r="R318" s="19">
        <f t="shared" si="213"/>
        <v>5837.194612999584</v>
      </c>
      <c r="S318" s="19">
        <f t="shared" si="213"/>
        <v>5934.49108265616</v>
      </c>
      <c r="T318" s="19">
        <f t="shared" si="213"/>
        <v>6036.1240307696735</v>
      </c>
      <c r="U318" s="19">
        <f t="shared" si="213"/>
        <v>6142.2408468456188</v>
      </c>
      <c r="V318" s="19">
        <f t="shared" si="213"/>
        <v>6252.994957573067</v>
      </c>
    </row>
    <row r="319" spans="2:22">
      <c r="B319" s="13" t="s">
        <v>315</v>
      </c>
      <c r="C319" s="5">
        <f>C316*0.55</f>
        <v>7442.107200000004</v>
      </c>
      <c r="D319" s="19">
        <f t="shared" ref="D319:V319" si="214">1000*C322*(SUM(D335:D337))</f>
        <v>7567.1969544822005</v>
      </c>
      <c r="E319" s="19">
        <f t="shared" si="214"/>
        <v>7692.2670881629083</v>
      </c>
      <c r="F319" s="19">
        <f t="shared" si="214"/>
        <v>7817.1956730045595</v>
      </c>
      <c r="G319" s="19">
        <f t="shared" si="214"/>
        <v>7942.8439296171291</v>
      </c>
      <c r="H319" s="19">
        <f t="shared" si="214"/>
        <v>8096.6981674501021</v>
      </c>
      <c r="I319" s="19">
        <f t="shared" si="214"/>
        <v>8250.0488040260825</v>
      </c>
      <c r="J319" s="19">
        <f t="shared" si="214"/>
        <v>8403.9021656761397</v>
      </c>
      <c r="K319" s="19">
        <f t="shared" si="214"/>
        <v>8558.0172408815288</v>
      </c>
      <c r="L319" s="19">
        <f t="shared" si="214"/>
        <v>8712.5338605549769</v>
      </c>
      <c r="M319" s="19">
        <f t="shared" si="214"/>
        <v>8870.0190599864</v>
      </c>
      <c r="N319" s="19">
        <f t="shared" si="214"/>
        <v>9030.5337987236744</v>
      </c>
      <c r="O319" s="19">
        <f t="shared" si="214"/>
        <v>9193.9573778484246</v>
      </c>
      <c r="P319" s="19">
        <f t="shared" si="214"/>
        <v>9360.3425875393677</v>
      </c>
      <c r="Q319" s="19">
        <f t="shared" si="214"/>
        <v>9529.7431774353481</v>
      </c>
      <c r="R319" s="19">
        <f t="shared" si="214"/>
        <v>9702.2138740996616</v>
      </c>
      <c r="S319" s="19">
        <f t="shared" si="214"/>
        <v>9877.8103988027724</v>
      </c>
      <c r="T319" s="19">
        <f t="shared" si="214"/>
        <v>10056.589485629202</v>
      </c>
      <c r="U319" s="19">
        <f t="shared" si="214"/>
        <v>10238.608899914541</v>
      </c>
      <c r="V319" s="19">
        <f t="shared" si="214"/>
        <v>10423.927457018581</v>
      </c>
    </row>
    <row r="320" spans="2:22">
      <c r="B320" s="13" t="s">
        <v>318</v>
      </c>
      <c r="C320" s="47">
        <f t="shared" ref="C320:V320" si="215">C317/(1000*SUM(C326:C331))</f>
        <v>2.791543371620131E-5</v>
      </c>
      <c r="D320" s="47">
        <f t="shared" si="215"/>
        <v>2.791543371620131E-5</v>
      </c>
      <c r="E320" s="47">
        <f t="shared" si="215"/>
        <v>2.7915433716201306E-5</v>
      </c>
      <c r="F320" s="47">
        <f t="shared" si="215"/>
        <v>2.7915433716201306E-5</v>
      </c>
      <c r="G320" s="47">
        <f t="shared" si="215"/>
        <v>2.791543371620131E-5</v>
      </c>
      <c r="H320" s="47">
        <f t="shared" si="215"/>
        <v>2.791543371620131E-5</v>
      </c>
      <c r="I320" s="47">
        <f t="shared" si="215"/>
        <v>2.7915433716201306E-5</v>
      </c>
      <c r="J320" s="47">
        <f t="shared" si="215"/>
        <v>2.7915433716201306E-5</v>
      </c>
      <c r="K320" s="47">
        <f t="shared" si="215"/>
        <v>2.7915433716201306E-5</v>
      </c>
      <c r="L320" s="47">
        <f t="shared" si="215"/>
        <v>2.7915433716201306E-5</v>
      </c>
      <c r="M320" s="47">
        <f t="shared" si="215"/>
        <v>2.7915433716201306E-5</v>
      </c>
      <c r="N320" s="47">
        <f t="shared" si="215"/>
        <v>2.7915433716201306E-5</v>
      </c>
      <c r="O320" s="47">
        <f t="shared" si="215"/>
        <v>2.7915433716201306E-5</v>
      </c>
      <c r="P320" s="47">
        <f t="shared" si="215"/>
        <v>2.7915433716201303E-5</v>
      </c>
      <c r="Q320" s="47">
        <f t="shared" si="215"/>
        <v>2.7915433716201303E-5</v>
      </c>
      <c r="R320" s="47">
        <f t="shared" si="215"/>
        <v>2.7915433716201303E-5</v>
      </c>
      <c r="S320" s="47">
        <f t="shared" si="215"/>
        <v>2.7915433716201299E-5</v>
      </c>
      <c r="T320" s="47">
        <f t="shared" si="215"/>
        <v>2.7915433716201299E-5</v>
      </c>
      <c r="U320" s="47">
        <f t="shared" si="215"/>
        <v>2.7915433716201303E-5</v>
      </c>
      <c r="V320" s="47">
        <f t="shared" si="215"/>
        <v>2.7915433716201306E-5</v>
      </c>
    </row>
    <row r="321" spans="2:23">
      <c r="B321" s="13" t="s">
        <v>314</v>
      </c>
      <c r="C321" s="46">
        <f t="shared" ref="C321:V321" si="216">C318/(1000*(SUM(C332:C334)))</f>
        <v>5.1424481834393858E-4</v>
      </c>
      <c r="D321" s="46">
        <f t="shared" si="216"/>
        <v>5.1424481834393858E-4</v>
      </c>
      <c r="E321" s="46">
        <f t="shared" si="216"/>
        <v>5.1424481834393848E-4</v>
      </c>
      <c r="F321" s="46">
        <f t="shared" si="216"/>
        <v>5.1424481834393837E-4</v>
      </c>
      <c r="G321" s="46">
        <f t="shared" si="216"/>
        <v>5.1424481834393837E-4</v>
      </c>
      <c r="H321" s="46">
        <f t="shared" si="216"/>
        <v>5.1424481834393826E-4</v>
      </c>
      <c r="I321" s="46">
        <f t="shared" si="216"/>
        <v>5.1424481834393826E-4</v>
      </c>
      <c r="J321" s="46">
        <f t="shared" si="216"/>
        <v>5.1424481834393826E-4</v>
      </c>
      <c r="K321" s="46">
        <f t="shared" si="216"/>
        <v>5.1424481834393826E-4</v>
      </c>
      <c r="L321" s="46">
        <f t="shared" si="216"/>
        <v>5.1424481834393837E-4</v>
      </c>
      <c r="M321" s="46">
        <f t="shared" si="216"/>
        <v>5.1424481834393837E-4</v>
      </c>
      <c r="N321" s="46">
        <f t="shared" si="216"/>
        <v>5.1424481834393837E-4</v>
      </c>
      <c r="O321" s="46">
        <f t="shared" si="216"/>
        <v>5.1424481834393837E-4</v>
      </c>
      <c r="P321" s="46">
        <f t="shared" si="216"/>
        <v>5.1424481834393826E-4</v>
      </c>
      <c r="Q321" s="46">
        <f t="shared" si="216"/>
        <v>5.1424481834393826E-4</v>
      </c>
      <c r="R321" s="46">
        <f t="shared" si="216"/>
        <v>5.1424481834393826E-4</v>
      </c>
      <c r="S321" s="46">
        <f t="shared" si="216"/>
        <v>5.1424481834393826E-4</v>
      </c>
      <c r="T321" s="46">
        <f t="shared" si="216"/>
        <v>5.1424481834393826E-4</v>
      </c>
      <c r="U321" s="46">
        <f t="shared" si="216"/>
        <v>5.1424481834393837E-4</v>
      </c>
      <c r="V321" s="46">
        <f t="shared" si="216"/>
        <v>5.1424481834393826E-4</v>
      </c>
    </row>
    <row r="322" spans="2:23">
      <c r="B322" s="13" t="s">
        <v>316</v>
      </c>
      <c r="C322" s="45">
        <f t="shared" ref="C322:V322" si="217">C319/(1000*(SUM(C335:C337)))</f>
        <v>1.4995684441246047E-3</v>
      </c>
      <c r="D322" s="45">
        <f t="shared" si="217"/>
        <v>1.4995684441246044E-3</v>
      </c>
      <c r="E322" s="45">
        <f t="shared" si="217"/>
        <v>1.4995684441246047E-3</v>
      </c>
      <c r="F322" s="45">
        <f t="shared" si="217"/>
        <v>1.4995684441246044E-3</v>
      </c>
      <c r="G322" s="45">
        <f t="shared" si="217"/>
        <v>1.4995684441246044E-3</v>
      </c>
      <c r="H322" s="45">
        <f t="shared" si="217"/>
        <v>1.4995684441246044E-3</v>
      </c>
      <c r="I322" s="45">
        <f t="shared" si="217"/>
        <v>1.4995684441246047E-3</v>
      </c>
      <c r="J322" s="45">
        <f t="shared" si="217"/>
        <v>1.4995684441246047E-3</v>
      </c>
      <c r="K322" s="45">
        <f t="shared" si="217"/>
        <v>1.4995684441246049E-3</v>
      </c>
      <c r="L322" s="45">
        <f t="shared" si="217"/>
        <v>1.4995684441246051E-3</v>
      </c>
      <c r="M322" s="45">
        <f t="shared" si="217"/>
        <v>1.4995684441246051E-3</v>
      </c>
      <c r="N322" s="45">
        <f t="shared" si="217"/>
        <v>1.4995684441246051E-3</v>
      </c>
      <c r="O322" s="45">
        <f t="shared" si="217"/>
        <v>1.4995684441246051E-3</v>
      </c>
      <c r="P322" s="45">
        <f t="shared" si="217"/>
        <v>1.4995684441246051E-3</v>
      </c>
      <c r="Q322" s="45">
        <f t="shared" si="217"/>
        <v>1.4995684441246049E-3</v>
      </c>
      <c r="R322" s="45">
        <f t="shared" si="217"/>
        <v>1.4995684441246049E-3</v>
      </c>
      <c r="S322" s="45">
        <f t="shared" si="217"/>
        <v>1.4995684441246049E-3</v>
      </c>
      <c r="T322" s="45">
        <f t="shared" si="217"/>
        <v>1.4995684441246049E-3</v>
      </c>
      <c r="U322" s="45">
        <f t="shared" si="217"/>
        <v>1.4995684441246049E-3</v>
      </c>
      <c r="V322" s="45">
        <f t="shared" si="217"/>
        <v>1.4995684441246049E-3</v>
      </c>
    </row>
    <row r="324" spans="2:23" ht="15.75" thickBot="1">
      <c r="B324" s="40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</row>
    <row r="325" spans="2:23" ht="15.75" thickBot="1">
      <c r="B325" s="304" t="s">
        <v>85</v>
      </c>
      <c r="C325" s="32">
        <v>2011</v>
      </c>
      <c r="D325" s="32">
        <v>2012</v>
      </c>
      <c r="E325" s="32">
        <v>2013</v>
      </c>
      <c r="F325" s="32">
        <v>2014</v>
      </c>
      <c r="G325" s="32">
        <v>2015</v>
      </c>
      <c r="H325" s="32">
        <v>2016</v>
      </c>
      <c r="I325" s="32">
        <v>2017</v>
      </c>
      <c r="J325" s="32">
        <v>2018</v>
      </c>
      <c r="K325" s="32">
        <v>2019</v>
      </c>
      <c r="L325" s="32">
        <v>2020</v>
      </c>
      <c r="M325" s="32">
        <v>2021</v>
      </c>
      <c r="N325" s="32">
        <v>2022</v>
      </c>
      <c r="O325" s="32">
        <f t="shared" ref="O325:V325" si="218">N325+1</f>
        <v>2023</v>
      </c>
      <c r="P325" s="32">
        <f t="shared" si="218"/>
        <v>2024</v>
      </c>
      <c r="Q325" s="32">
        <f t="shared" si="218"/>
        <v>2025</v>
      </c>
      <c r="R325" s="32">
        <f t="shared" si="218"/>
        <v>2026</v>
      </c>
      <c r="S325" s="32">
        <f t="shared" si="218"/>
        <v>2027</v>
      </c>
      <c r="T325" s="32">
        <f t="shared" si="218"/>
        <v>2028</v>
      </c>
      <c r="U325" s="32">
        <f t="shared" si="218"/>
        <v>2029</v>
      </c>
      <c r="V325" s="31">
        <f t="shared" si="218"/>
        <v>2030</v>
      </c>
      <c r="W325" s="166" t="s">
        <v>220</v>
      </c>
    </row>
    <row r="326" spans="2:23">
      <c r="B326" s="13" t="s">
        <v>82</v>
      </c>
      <c r="C326" s="44">
        <v>14840.111802067095</v>
      </c>
      <c r="D326" s="44">
        <v>14885.442867019883</v>
      </c>
      <c r="E326" s="44">
        <v>14930.788149945274</v>
      </c>
      <c r="F326" s="44">
        <v>14975.913021556729</v>
      </c>
      <c r="G326" s="44">
        <v>15022.454289506826</v>
      </c>
      <c r="H326" s="44">
        <v>15144.684847113716</v>
      </c>
      <c r="I326" s="44">
        <v>15265.979258647381</v>
      </c>
      <c r="J326" s="44">
        <v>15388.209628326187</v>
      </c>
      <c r="K326" s="44">
        <v>15510.910197215628</v>
      </c>
      <c r="L326" s="44">
        <v>15634.317989738318</v>
      </c>
      <c r="M326" s="44">
        <v>15760.396388055911</v>
      </c>
      <c r="N326" s="44">
        <v>15889.191071518417</v>
      </c>
      <c r="O326" s="19">
        <f t="shared" ref="O326:V337" si="219">N326*(1+$W326)</f>
        <v>16019.038271052203</v>
      </c>
      <c r="P326" s="19">
        <f t="shared" si="219"/>
        <v>16149.946587866967</v>
      </c>
      <c r="Q326" s="19">
        <f t="shared" si="219"/>
        <v>16281.92469346189</v>
      </c>
      <c r="R326" s="19">
        <f t="shared" si="219"/>
        <v>16414.981330200037</v>
      </c>
      <c r="S326" s="19">
        <f t="shared" si="219"/>
        <v>16549.125311887467</v>
      </c>
      <c r="T326" s="19">
        <f t="shared" si="219"/>
        <v>16684.365524357072</v>
      </c>
      <c r="U326" s="19">
        <f t="shared" si="219"/>
        <v>16820.710926057171</v>
      </c>
      <c r="V326" s="19">
        <f t="shared" si="219"/>
        <v>16958.170548644939</v>
      </c>
      <c r="W326" s="305">
        <f t="shared" ref="W326:W338" si="220">N326/M326-1</f>
        <v>8.1720459493082043E-3</v>
      </c>
    </row>
    <row r="327" spans="2:23">
      <c r="B327" s="13" t="s">
        <v>81</v>
      </c>
      <c r="C327" s="44">
        <v>8646.0682568458033</v>
      </c>
      <c r="D327" s="44">
        <v>8714.4487952771815</v>
      </c>
      <c r="E327" s="44">
        <v>8782.8266484734395</v>
      </c>
      <c r="F327" s="44">
        <v>8851.0633692460451</v>
      </c>
      <c r="G327" s="44">
        <v>8920.1291450421522</v>
      </c>
      <c r="H327" s="44">
        <v>8866.8982127524123</v>
      </c>
      <c r="I327" s="44">
        <v>8813.1235798725102</v>
      </c>
      <c r="J327" s="44">
        <v>8759.8936313052509</v>
      </c>
      <c r="K327" s="44">
        <v>8706.9244034289895</v>
      </c>
      <c r="L327" s="44">
        <v>8654.3361810009046</v>
      </c>
      <c r="M327" s="44">
        <v>8602.3947127864449</v>
      </c>
      <c r="N327" s="44">
        <v>8551.0918896036474</v>
      </c>
      <c r="O327" s="19">
        <f t="shared" si="219"/>
        <v>8500.0950253723277</v>
      </c>
      <c r="P327" s="19">
        <f t="shared" si="219"/>
        <v>8449.4022954194152</v>
      </c>
      <c r="Q327" s="19">
        <f t="shared" si="219"/>
        <v>8399.0118859537924</v>
      </c>
      <c r="R327" s="19">
        <f t="shared" si="219"/>
        <v>8348.9219940014009</v>
      </c>
      <c r="S327" s="19">
        <f t="shared" si="219"/>
        <v>8299.1308273407303</v>
      </c>
      <c r="T327" s="19">
        <f t="shared" si="219"/>
        <v>8249.6366044386923</v>
      </c>
      <c r="U327" s="19">
        <f t="shared" si="219"/>
        <v>8200.4375543868773</v>
      </c>
      <c r="V327" s="19">
        <f t="shared" si="219"/>
        <v>8151.5319168381902</v>
      </c>
      <c r="W327" s="305">
        <f t="shared" si="220"/>
        <v>-5.963783910838405E-3</v>
      </c>
    </row>
    <row r="328" spans="2:23">
      <c r="B328" s="13" t="s">
        <v>80</v>
      </c>
      <c r="C328" s="44">
        <v>8164.1232476733521</v>
      </c>
      <c r="D328" s="44">
        <v>8175.923397338328</v>
      </c>
      <c r="E328" s="44">
        <v>8187.7348025343781</v>
      </c>
      <c r="F328" s="44">
        <v>8199.4289319679938</v>
      </c>
      <c r="G328" s="44">
        <v>8211.9010735990796</v>
      </c>
      <c r="H328" s="44">
        <v>8374.6338158766157</v>
      </c>
      <c r="I328" s="44">
        <v>8536.8455431186048</v>
      </c>
      <c r="J328" s="44">
        <v>8699.5773476095746</v>
      </c>
      <c r="K328" s="44">
        <v>8862.5802695143193</v>
      </c>
      <c r="L328" s="44">
        <v>9025.9994726383229</v>
      </c>
      <c r="M328" s="44">
        <v>9192.5378212066717</v>
      </c>
      <c r="N328" s="44">
        <v>9362.2567629685145</v>
      </c>
      <c r="O328" s="19">
        <f t="shared" si="219"/>
        <v>9535.109172305145</v>
      </c>
      <c r="P328" s="19">
        <f t="shared" si="219"/>
        <v>9711.1529014453135</v>
      </c>
      <c r="Q328" s="19">
        <f t="shared" si="219"/>
        <v>9890.4468707253218</v>
      </c>
      <c r="R328" s="19">
        <f t="shared" si="219"/>
        <v>10073.051088309154</v>
      </c>
      <c r="S328" s="19">
        <f t="shared" si="219"/>
        <v>10259.026670272699</v>
      </c>
      <c r="T328" s="19">
        <f t="shared" si="219"/>
        <v>10448.435861058779</v>
      </c>
      <c r="U328" s="19">
        <f t="shared" si="219"/>
        <v>10641.34205430984</v>
      </c>
      <c r="V328" s="19">
        <f t="shared" si="219"/>
        <v>10837.809814085256</v>
      </c>
      <c r="W328" s="305">
        <f t="shared" si="220"/>
        <v>1.8462686263885697E-2</v>
      </c>
    </row>
    <row r="329" spans="2:23">
      <c r="B329" s="13" t="s">
        <v>79</v>
      </c>
      <c r="C329" s="44">
        <v>9132.1114750633169</v>
      </c>
      <c r="D329" s="44">
        <v>9066.2128666796561</v>
      </c>
      <c r="E329" s="44">
        <v>9000.3475205361647</v>
      </c>
      <c r="F329" s="44">
        <v>8934.3749615394045</v>
      </c>
      <c r="G329" s="44">
        <v>8869.2654206139814</v>
      </c>
      <c r="H329" s="44">
        <v>8705.3484528720364</v>
      </c>
      <c r="I329" s="44">
        <v>8540.9016213783216</v>
      </c>
      <c r="J329" s="44">
        <v>8376.9865980350369</v>
      </c>
      <c r="K329" s="44">
        <v>8213.3145080999184</v>
      </c>
      <c r="L329" s="44">
        <v>8049.9869031477483</v>
      </c>
      <c r="M329" s="44">
        <v>7889.9077460744156</v>
      </c>
      <c r="N329" s="44">
        <v>7733.0124168091588</v>
      </c>
      <c r="O329" s="19">
        <f t="shared" si="219"/>
        <v>7579.2370409245359</v>
      </c>
      <c r="P329" s="19">
        <f t="shared" si="219"/>
        <v>7428.5195763626798</v>
      </c>
      <c r="Q329" s="19">
        <f t="shared" si="219"/>
        <v>7280.7992148075373</v>
      </c>
      <c r="R329" s="19">
        <f t="shared" si="219"/>
        <v>7136.0163571512094</v>
      </c>
      <c r="S329" s="19">
        <f t="shared" si="219"/>
        <v>6994.112589448152</v>
      </c>
      <c r="T329" s="19">
        <f t="shared" si="219"/>
        <v>6855.0306593475461</v>
      </c>
      <c r="U329" s="19">
        <f t="shared" si="219"/>
        <v>6718.7144529943243</v>
      </c>
      <c r="V329" s="19">
        <f t="shared" si="219"/>
        <v>6585.1089723895266</v>
      </c>
      <c r="W329" s="305">
        <f t="shared" si="220"/>
        <v>-1.9885572089650805E-2</v>
      </c>
    </row>
    <row r="330" spans="2:23">
      <c r="B330" s="13" t="s">
        <v>78</v>
      </c>
      <c r="C330" s="44">
        <v>4045.9003419890487</v>
      </c>
      <c r="D330" s="44">
        <v>4148.437136923998</v>
      </c>
      <c r="E330" s="44">
        <v>4250.9542401526214</v>
      </c>
      <c r="F330" s="44">
        <v>4353.3839267331332</v>
      </c>
      <c r="G330" s="44">
        <v>4456.2080235189751</v>
      </c>
      <c r="H330" s="44">
        <v>4477.922004793184</v>
      </c>
      <c r="I330" s="44">
        <v>4499.3596979089734</v>
      </c>
      <c r="J330" s="44">
        <v>4521.0737500588111</v>
      </c>
      <c r="K330" s="44">
        <v>4542.9251444177207</v>
      </c>
      <c r="L330" s="44">
        <v>4564.9818261602604</v>
      </c>
      <c r="M330" s="44">
        <v>4587.1577664461747</v>
      </c>
      <c r="N330" s="44">
        <v>4609.4536629358117</v>
      </c>
      <c r="O330" s="19">
        <f t="shared" si="219"/>
        <v>4631.8579287089105</v>
      </c>
      <c r="P330" s="19">
        <f t="shared" si="219"/>
        <v>4654.3710904947557</v>
      </c>
      <c r="Q330" s="19">
        <f t="shared" si="219"/>
        <v>4676.9936775828</v>
      </c>
      <c r="R330" s="19">
        <f t="shared" si="219"/>
        <v>4699.7262218351116</v>
      </c>
      <c r="S330" s="19">
        <f t="shared" si="219"/>
        <v>4722.569257698874</v>
      </c>
      <c r="T330" s="19">
        <f t="shared" si="219"/>
        <v>4745.5233222189545</v>
      </c>
      <c r="U330" s="19">
        <f t="shared" si="219"/>
        <v>4768.5889550505281</v>
      </c>
      <c r="V330" s="19">
        <f t="shared" si="219"/>
        <v>4791.7666984717662</v>
      </c>
      <c r="W330" s="305">
        <f t="shared" si="220"/>
        <v>4.8605035241484629E-3</v>
      </c>
    </row>
    <row r="331" spans="2:23">
      <c r="B331" s="13" t="s">
        <v>77</v>
      </c>
      <c r="C331" s="44">
        <v>3643.4519195040639</v>
      </c>
      <c r="D331" s="44">
        <v>3697.5774790564856</v>
      </c>
      <c r="E331" s="44">
        <v>3751.6952922927367</v>
      </c>
      <c r="F331" s="44">
        <v>3805.7459630325538</v>
      </c>
      <c r="G331" s="44">
        <v>3860.1483141193125</v>
      </c>
      <c r="H331" s="44">
        <v>3962.5061752751617</v>
      </c>
      <c r="I331" s="44">
        <v>4064.6166223540695</v>
      </c>
      <c r="J331" s="44">
        <v>4166.9738175257353</v>
      </c>
      <c r="K331" s="44">
        <v>4269.4622545238335</v>
      </c>
      <c r="L331" s="44">
        <v>4372.1543754765344</v>
      </c>
      <c r="M331" s="44">
        <v>4477.3218809420596</v>
      </c>
      <c r="N331" s="44">
        <v>4585.0245682660443</v>
      </c>
      <c r="O331" s="19">
        <f t="shared" si="219"/>
        <v>4695.3180608002112</v>
      </c>
      <c r="P331" s="19">
        <f t="shared" si="219"/>
        <v>4808.2646807744313</v>
      </c>
      <c r="Q331" s="19">
        <f t="shared" si="219"/>
        <v>4923.9282495896905</v>
      </c>
      <c r="R331" s="19">
        <f t="shared" si="219"/>
        <v>5042.374123880888</v>
      </c>
      <c r="S331" s="19">
        <f t="shared" si="219"/>
        <v>5163.6692324471333</v>
      </c>
      <c r="T331" s="19">
        <f t="shared" si="219"/>
        <v>5287.8821140704031</v>
      </c>
      <c r="U331" s="19">
        <f t="shared" si="219"/>
        <v>5415.0829562439358</v>
      </c>
      <c r="V331" s="19">
        <f t="shared" si="219"/>
        <v>5545.3436348322402</v>
      </c>
      <c r="W331" s="305">
        <f t="shared" si="220"/>
        <v>2.4055158460334569E-2</v>
      </c>
    </row>
    <row r="332" spans="2:23">
      <c r="B332" s="13" t="s">
        <v>76</v>
      </c>
      <c r="C332" s="44">
        <v>3687.7739008299523</v>
      </c>
      <c r="D332" s="44">
        <v>3634.7306792321979</v>
      </c>
      <c r="E332" s="44">
        <v>3581.7077976724599</v>
      </c>
      <c r="F332" s="44">
        <v>3528.6496301034445</v>
      </c>
      <c r="G332" s="44">
        <v>3475.9375513590203</v>
      </c>
      <c r="H332" s="44">
        <v>3530.9131981331398</v>
      </c>
      <c r="I332" s="44">
        <v>3585.6696545985906</v>
      </c>
      <c r="J332" s="44">
        <v>3640.6450254924343</v>
      </c>
      <c r="K332" s="44">
        <v>3695.7331127849793</v>
      </c>
      <c r="L332" s="44">
        <v>3750.9931003262591</v>
      </c>
      <c r="M332" s="44">
        <v>3807.0795155924056</v>
      </c>
      <c r="N332" s="44">
        <v>3864.0047204169578</v>
      </c>
      <c r="O332" s="19">
        <f t="shared" si="219"/>
        <v>3921.7810970993728</v>
      </c>
      <c r="P332" s="19">
        <f t="shared" si="219"/>
        <v>3980.4213727529536</v>
      </c>
      <c r="Q332" s="19">
        <f t="shared" si="219"/>
        <v>4039.9384647926581</v>
      </c>
      <c r="R332" s="19">
        <f t="shared" si="219"/>
        <v>4100.3454837805775</v>
      </c>
      <c r="S332" s="19">
        <f t="shared" si="219"/>
        <v>4161.65573631396</v>
      </c>
      <c r="T332" s="19">
        <f t="shared" si="219"/>
        <v>4223.8827279564193</v>
      </c>
      <c r="U332" s="19">
        <f t="shared" si="219"/>
        <v>4287.0401662129707</v>
      </c>
      <c r="V332" s="19">
        <f t="shared" si="219"/>
        <v>4351.1419635495522</v>
      </c>
      <c r="W332" s="305">
        <f t="shared" si="220"/>
        <v>1.4952460170954529E-2</v>
      </c>
    </row>
    <row r="333" spans="2:23">
      <c r="B333" s="13" t="s">
        <v>75</v>
      </c>
      <c r="C333" s="44">
        <v>3018.4813611226928</v>
      </c>
      <c r="D333" s="44">
        <v>3153.3587266972227</v>
      </c>
      <c r="E333" s="44">
        <v>3288.2061438113578</v>
      </c>
      <c r="F333" s="44">
        <v>3422.9706532608325</v>
      </c>
      <c r="G333" s="44">
        <v>3558.034759631013</v>
      </c>
      <c r="H333" s="44">
        <v>3510.8362141284588</v>
      </c>
      <c r="I333" s="44">
        <v>3463.4233107596701</v>
      </c>
      <c r="J333" s="44">
        <v>3416.2253837034004</v>
      </c>
      <c r="K333" s="44">
        <v>3369.1276386249024</v>
      </c>
      <c r="L333" s="44">
        <v>3322.1738321959574</v>
      </c>
      <c r="M333" s="44">
        <v>3275.8751348554306</v>
      </c>
      <c r="N333" s="43">
        <v>3230.222396138568</v>
      </c>
      <c r="O333" s="19">
        <f t="shared" si="219"/>
        <v>3185.2058759790534</v>
      </c>
      <c r="P333" s="19">
        <f t="shared" si="219"/>
        <v>3140.8167080073308</v>
      </c>
      <c r="Q333" s="19">
        <f t="shared" si="219"/>
        <v>3097.0461494159567</v>
      </c>
      <c r="R333" s="19">
        <f t="shared" si="219"/>
        <v>3053.8855792376335</v>
      </c>
      <c r="S333" s="19">
        <f t="shared" si="219"/>
        <v>3011.3264966472393</v>
      </c>
      <c r="T333" s="19">
        <f t="shared" si="219"/>
        <v>2969.3605192875225</v>
      </c>
      <c r="U333" s="19">
        <f t="shared" si="219"/>
        <v>2927.9793816181273</v>
      </c>
      <c r="V333" s="19">
        <f t="shared" si="219"/>
        <v>2887.1749332876288</v>
      </c>
      <c r="W333" s="305">
        <f t="shared" si="220"/>
        <v>-1.3936043602857717E-2</v>
      </c>
    </row>
    <row r="334" spans="2:23">
      <c r="B334" s="13" t="s">
        <v>74</v>
      </c>
      <c r="C334" s="44">
        <v>2503.1450685190066</v>
      </c>
      <c r="D334" s="44">
        <v>2542.6182562882614</v>
      </c>
      <c r="E334" s="44">
        <v>2582.0855242924345</v>
      </c>
      <c r="F334" s="44">
        <v>2621.5059705183321</v>
      </c>
      <c r="G334" s="44">
        <v>2661.1682395604303</v>
      </c>
      <c r="H334" s="44">
        <v>2789.904885980362</v>
      </c>
      <c r="I334" s="44">
        <v>2918.465339052425</v>
      </c>
      <c r="J334" s="44">
        <v>3047.2010198984754</v>
      </c>
      <c r="K334" s="44">
        <v>3176.0357216935836</v>
      </c>
      <c r="L334" s="44">
        <v>3305.0288446170898</v>
      </c>
      <c r="M334" s="44">
        <v>3439.2615990269423</v>
      </c>
      <c r="N334" s="43">
        <v>3578.9468419446366</v>
      </c>
      <c r="O334" s="19">
        <f t="shared" si="219"/>
        <v>3724.3053861007406</v>
      </c>
      <c r="P334" s="19">
        <f t="shared" si="219"/>
        <v>3875.5676520197817</v>
      </c>
      <c r="Q334" s="19">
        <f t="shared" si="219"/>
        <v>4032.9734187313065</v>
      </c>
      <c r="R334" s="19">
        <f t="shared" si="219"/>
        <v>4196.7722038645661</v>
      </c>
      <c r="S334" s="19">
        <f t="shared" si="219"/>
        <v>4367.2236591807041</v>
      </c>
      <c r="T334" s="19">
        <f t="shared" si="219"/>
        <v>4544.5979821694391</v>
      </c>
      <c r="U334" s="19">
        <f t="shared" si="219"/>
        <v>4729.1763443627096</v>
      </c>
      <c r="V334" s="19">
        <f t="shared" si="219"/>
        <v>4921.2513370442257</v>
      </c>
      <c r="W334" s="305">
        <f t="shared" si="220"/>
        <v>4.0614893312336253E-2</v>
      </c>
    </row>
    <row r="335" spans="2:23">
      <c r="B335" s="13" t="s">
        <v>73</v>
      </c>
      <c r="C335" s="44">
        <v>2032.2122277828662</v>
      </c>
      <c r="D335" s="44">
        <v>2062.3789153159878</v>
      </c>
      <c r="E335" s="44">
        <v>2092.5412881851043</v>
      </c>
      <c r="F335" s="44">
        <v>2122.6662178744391</v>
      </c>
      <c r="G335" s="44">
        <v>2152.987302597915</v>
      </c>
      <c r="H335" s="44">
        <v>2193.2969757675792</v>
      </c>
      <c r="I335" s="44">
        <v>2233.4702776330705</v>
      </c>
      <c r="J335" s="44">
        <v>2273.7797254413813</v>
      </c>
      <c r="K335" s="44">
        <v>2314.1599085869748</v>
      </c>
      <c r="L335" s="44">
        <v>2354.6485029588293</v>
      </c>
      <c r="M335" s="44">
        <v>2395.8486982097315</v>
      </c>
      <c r="N335" s="43">
        <v>2437.7730575463902</v>
      </c>
      <c r="O335" s="19">
        <f t="shared" si="219"/>
        <v>2480.4310407997441</v>
      </c>
      <c r="P335" s="19">
        <f t="shared" si="219"/>
        <v>2523.8354854718959</v>
      </c>
      <c r="Q335" s="19">
        <f t="shared" si="219"/>
        <v>2567.9994537051989</v>
      </c>
      <c r="R335" s="19">
        <f t="shared" si="219"/>
        <v>2612.9362362131801</v>
      </c>
      <c r="S335" s="19">
        <f t="shared" si="219"/>
        <v>2658.6593562802509</v>
      </c>
      <c r="T335" s="19">
        <f t="shared" si="219"/>
        <v>2705.182573831406</v>
      </c>
      <c r="U335" s="19">
        <f t="shared" si="219"/>
        <v>2752.5198895731396</v>
      </c>
      <c r="V335" s="19">
        <f t="shared" si="219"/>
        <v>2800.6855492068194</v>
      </c>
      <c r="W335" s="305">
        <f t="shared" si="220"/>
        <v>1.7498750805084784E-2</v>
      </c>
    </row>
    <row r="336" spans="2:23">
      <c r="B336" s="13" t="s">
        <v>72</v>
      </c>
      <c r="C336" s="44">
        <v>1503.8653304759255</v>
      </c>
      <c r="D336" s="44">
        <v>1522.2568260014082</v>
      </c>
      <c r="E336" s="44">
        <v>1540.6461563130654</v>
      </c>
      <c r="F336" s="44">
        <v>1559.0089696884106</v>
      </c>
      <c r="G336" s="44">
        <v>1577.5165805895203</v>
      </c>
      <c r="H336" s="44">
        <v>1607.5376892146949</v>
      </c>
      <c r="I336" s="44">
        <v>1637.4588301497358</v>
      </c>
      <c r="J336" s="44">
        <v>1667.4797694209769</v>
      </c>
      <c r="K336" s="44">
        <v>1697.5526085677459</v>
      </c>
      <c r="L336" s="44">
        <v>1727.7050321029153</v>
      </c>
      <c r="M336" s="44">
        <v>1758.5062614227309</v>
      </c>
      <c r="N336" s="43">
        <v>1789.9725503940424</v>
      </c>
      <c r="O336" s="19">
        <f t="shared" si="219"/>
        <v>1822.001889587777</v>
      </c>
      <c r="P336" s="19">
        <f t="shared" si="219"/>
        <v>1854.604354089473</v>
      </c>
      <c r="Q336" s="19">
        <f t="shared" si="219"/>
        <v>1887.7901992658317</v>
      </c>
      <c r="R336" s="19">
        <f t="shared" si="219"/>
        <v>1921.5698639906245</v>
      </c>
      <c r="S336" s="19">
        <f t="shared" si="219"/>
        <v>1955.9539739283246</v>
      </c>
      <c r="T336" s="19">
        <f t="shared" si="219"/>
        <v>1990.9533448764946</v>
      </c>
      <c r="U336" s="19">
        <f t="shared" si="219"/>
        <v>2026.5789861679834</v>
      </c>
      <c r="V336" s="19">
        <f t="shared" si="219"/>
        <v>2062.8421041339989</v>
      </c>
      <c r="W336" s="305">
        <f t="shared" si="220"/>
        <v>1.7893759983460988E-2</v>
      </c>
    </row>
    <row r="337" spans="2:23">
      <c r="B337" s="13" t="s">
        <v>71</v>
      </c>
      <c r="C337" s="42">
        <v>1426.7550681268922</v>
      </c>
      <c r="D337" s="42">
        <v>1461.6140541693744</v>
      </c>
      <c r="E337" s="42">
        <v>1496.4664357909585</v>
      </c>
      <c r="F337" s="42">
        <v>1531.2883844786811</v>
      </c>
      <c r="G337" s="42">
        <v>1566.2492998617608</v>
      </c>
      <c r="H337" s="42">
        <v>1598.5175280926276</v>
      </c>
      <c r="I337" s="42">
        <v>1630.6862645266394</v>
      </c>
      <c r="J337" s="42">
        <v>1662.954303182747</v>
      </c>
      <c r="K337" s="42">
        <v>1695.2742325413881</v>
      </c>
      <c r="L337" s="42">
        <v>1727.6739396368487</v>
      </c>
      <c r="M337" s="42">
        <v>1760.6928627858078</v>
      </c>
      <c r="N337" s="42">
        <v>1794.342836308859</v>
      </c>
      <c r="O337" s="19">
        <f t="shared" si="219"/>
        <v>1828.6359207015198</v>
      </c>
      <c r="P337" s="19">
        <f t="shared" si="219"/>
        <v>1863.5844069568377</v>
      </c>
      <c r="Q337" s="19">
        <f t="shared" si="219"/>
        <v>1899.2008209706073</v>
      </c>
      <c r="R337" s="19">
        <f t="shared" si="219"/>
        <v>1935.4979280307796</v>
      </c>
      <c r="S337" s="19">
        <f t="shared" si="219"/>
        <v>1972.4887373926729</v>
      </c>
      <c r="T337" s="19">
        <f t="shared" si="219"/>
        <v>2010.1865069416226</v>
      </c>
      <c r="U337" s="19">
        <f t="shared" si="219"/>
        <v>2048.6047479447434</v>
      </c>
      <c r="V337" s="19">
        <f t="shared" si="219"/>
        <v>2087.7572298935065</v>
      </c>
      <c r="W337" s="305">
        <f t="shared" si="220"/>
        <v>1.9111779364976433E-2</v>
      </c>
    </row>
    <row r="338" spans="2:23">
      <c r="B338" s="11" t="s">
        <v>84</v>
      </c>
      <c r="C338" s="19">
        <f t="shared" ref="C338:V338" si="221">SUM(C326:C337)</f>
        <v>62644.000000000022</v>
      </c>
      <c r="D338" s="19">
        <f t="shared" si="221"/>
        <v>63064.999999999978</v>
      </c>
      <c r="E338" s="19">
        <f t="shared" si="221"/>
        <v>63486</v>
      </c>
      <c r="F338" s="19">
        <f t="shared" si="221"/>
        <v>63906</v>
      </c>
      <c r="G338" s="19">
        <f t="shared" si="221"/>
        <v>64331.999999999993</v>
      </c>
      <c r="H338" s="19">
        <f t="shared" si="221"/>
        <v>64762.999999999985</v>
      </c>
      <c r="I338" s="19">
        <f t="shared" si="221"/>
        <v>65189.999999999993</v>
      </c>
      <c r="J338" s="19">
        <f t="shared" si="221"/>
        <v>65621.000000000015</v>
      </c>
      <c r="K338" s="19">
        <f t="shared" si="221"/>
        <v>66053.999999999985</v>
      </c>
      <c r="L338" s="19">
        <f t="shared" si="221"/>
        <v>66490</v>
      </c>
      <c r="M338" s="19">
        <f t="shared" si="221"/>
        <v>66946.980387404721</v>
      </c>
      <c r="N338" s="41">
        <f t="shared" si="221"/>
        <v>67425.292774851056</v>
      </c>
      <c r="O338" s="19">
        <f t="shared" si="221"/>
        <v>67923.01670943154</v>
      </c>
      <c r="P338" s="19">
        <f t="shared" si="221"/>
        <v>68440.487111661845</v>
      </c>
      <c r="Q338" s="19">
        <f t="shared" si="221"/>
        <v>68978.053099002587</v>
      </c>
      <c r="R338" s="19">
        <f t="shared" si="221"/>
        <v>69536.078410495145</v>
      </c>
      <c r="S338" s="19">
        <f t="shared" si="221"/>
        <v>70114.941848838207</v>
      </c>
      <c r="T338" s="19">
        <f t="shared" si="221"/>
        <v>70715.03774055437</v>
      </c>
      <c r="U338" s="19">
        <f t="shared" si="221"/>
        <v>71336.776414922351</v>
      </c>
      <c r="V338" s="19">
        <f t="shared" si="221"/>
        <v>71980.584702377659</v>
      </c>
      <c r="W338" s="305">
        <f t="shared" si="220"/>
        <v>7.1446446826797239E-3</v>
      </c>
    </row>
    <row r="339" spans="2:23">
      <c r="P339" s="26"/>
    </row>
    <row r="340" spans="2:23">
      <c r="B340" s="307" t="s">
        <v>82</v>
      </c>
      <c r="C340" s="13">
        <f t="shared" ref="C340:V340" si="222">0.1/100000</f>
        <v>9.9999999999999995E-7</v>
      </c>
      <c r="D340" s="13">
        <f t="shared" si="222"/>
        <v>9.9999999999999995E-7</v>
      </c>
      <c r="E340" s="13">
        <f t="shared" si="222"/>
        <v>9.9999999999999995E-7</v>
      </c>
      <c r="F340" s="13">
        <f t="shared" si="222"/>
        <v>9.9999999999999995E-7</v>
      </c>
      <c r="G340" s="13">
        <f t="shared" si="222"/>
        <v>9.9999999999999995E-7</v>
      </c>
      <c r="H340" s="13">
        <f t="shared" si="222"/>
        <v>9.9999999999999995E-7</v>
      </c>
      <c r="I340" s="13">
        <f t="shared" si="222"/>
        <v>9.9999999999999995E-7</v>
      </c>
      <c r="J340" s="13">
        <f t="shared" si="222"/>
        <v>9.9999999999999995E-7</v>
      </c>
      <c r="K340" s="13">
        <f t="shared" si="222"/>
        <v>9.9999999999999995E-7</v>
      </c>
      <c r="L340" s="13">
        <f t="shared" si="222"/>
        <v>9.9999999999999995E-7</v>
      </c>
      <c r="M340" s="13">
        <f t="shared" si="222"/>
        <v>9.9999999999999995E-7</v>
      </c>
      <c r="N340" s="13">
        <f t="shared" si="222"/>
        <v>9.9999999999999995E-7</v>
      </c>
      <c r="O340" s="13">
        <f t="shared" si="222"/>
        <v>9.9999999999999995E-7</v>
      </c>
      <c r="P340" s="13">
        <f t="shared" si="222"/>
        <v>9.9999999999999995E-7</v>
      </c>
      <c r="Q340" s="13">
        <f t="shared" si="222"/>
        <v>9.9999999999999995E-7</v>
      </c>
      <c r="R340" s="13">
        <f t="shared" si="222"/>
        <v>9.9999999999999995E-7</v>
      </c>
      <c r="S340" s="13">
        <f t="shared" si="222"/>
        <v>9.9999999999999995E-7</v>
      </c>
      <c r="T340" s="13">
        <f t="shared" si="222"/>
        <v>9.9999999999999995E-7</v>
      </c>
      <c r="U340" s="13">
        <f t="shared" si="222"/>
        <v>9.9999999999999995E-7</v>
      </c>
      <c r="V340" s="13">
        <f t="shared" si="222"/>
        <v>9.9999999999999995E-7</v>
      </c>
    </row>
    <row r="341" spans="2:23">
      <c r="B341" s="307" t="s">
        <v>81</v>
      </c>
      <c r="C341" s="13">
        <f t="shared" ref="C341:V341" si="223">0.15/100000</f>
        <v>1.5E-6</v>
      </c>
      <c r="D341" s="13">
        <f t="shared" si="223"/>
        <v>1.5E-6</v>
      </c>
      <c r="E341" s="13">
        <f t="shared" si="223"/>
        <v>1.5E-6</v>
      </c>
      <c r="F341" s="13">
        <f t="shared" si="223"/>
        <v>1.5E-6</v>
      </c>
      <c r="G341" s="13">
        <f t="shared" si="223"/>
        <v>1.5E-6</v>
      </c>
      <c r="H341" s="13">
        <f t="shared" si="223"/>
        <v>1.5E-6</v>
      </c>
      <c r="I341" s="13">
        <f t="shared" si="223"/>
        <v>1.5E-6</v>
      </c>
      <c r="J341" s="13">
        <f t="shared" si="223"/>
        <v>1.5E-6</v>
      </c>
      <c r="K341" s="13">
        <f t="shared" si="223"/>
        <v>1.5E-6</v>
      </c>
      <c r="L341" s="13">
        <f t="shared" si="223"/>
        <v>1.5E-6</v>
      </c>
      <c r="M341" s="13">
        <f t="shared" si="223"/>
        <v>1.5E-6</v>
      </c>
      <c r="N341" s="13">
        <f t="shared" si="223"/>
        <v>1.5E-6</v>
      </c>
      <c r="O341" s="13">
        <f t="shared" si="223"/>
        <v>1.5E-6</v>
      </c>
      <c r="P341" s="13">
        <f t="shared" si="223"/>
        <v>1.5E-6</v>
      </c>
      <c r="Q341" s="13">
        <f t="shared" si="223"/>
        <v>1.5E-6</v>
      </c>
      <c r="R341" s="13">
        <f t="shared" si="223"/>
        <v>1.5E-6</v>
      </c>
      <c r="S341" s="13">
        <f t="shared" si="223"/>
        <v>1.5E-6</v>
      </c>
      <c r="T341" s="13">
        <f t="shared" si="223"/>
        <v>1.5E-6</v>
      </c>
      <c r="U341" s="13">
        <f t="shared" si="223"/>
        <v>1.5E-6</v>
      </c>
      <c r="V341" s="13">
        <f t="shared" si="223"/>
        <v>1.5E-6</v>
      </c>
    </row>
    <row r="342" spans="2:23">
      <c r="B342" s="307" t="s">
        <v>80</v>
      </c>
      <c r="C342" s="13">
        <f t="shared" ref="C342:V342" si="224">0.25/100000</f>
        <v>2.5000000000000002E-6</v>
      </c>
      <c r="D342" s="13">
        <f t="shared" si="224"/>
        <v>2.5000000000000002E-6</v>
      </c>
      <c r="E342" s="13">
        <f t="shared" si="224"/>
        <v>2.5000000000000002E-6</v>
      </c>
      <c r="F342" s="13">
        <f t="shared" si="224"/>
        <v>2.5000000000000002E-6</v>
      </c>
      <c r="G342" s="13">
        <f t="shared" si="224"/>
        <v>2.5000000000000002E-6</v>
      </c>
      <c r="H342" s="13">
        <f t="shared" si="224"/>
        <v>2.5000000000000002E-6</v>
      </c>
      <c r="I342" s="13">
        <f t="shared" si="224"/>
        <v>2.5000000000000002E-6</v>
      </c>
      <c r="J342" s="13">
        <f t="shared" si="224"/>
        <v>2.5000000000000002E-6</v>
      </c>
      <c r="K342" s="13">
        <f t="shared" si="224"/>
        <v>2.5000000000000002E-6</v>
      </c>
      <c r="L342" s="13">
        <f t="shared" si="224"/>
        <v>2.5000000000000002E-6</v>
      </c>
      <c r="M342" s="13">
        <f t="shared" si="224"/>
        <v>2.5000000000000002E-6</v>
      </c>
      <c r="N342" s="13">
        <f t="shared" si="224"/>
        <v>2.5000000000000002E-6</v>
      </c>
      <c r="O342" s="13">
        <f t="shared" si="224"/>
        <v>2.5000000000000002E-6</v>
      </c>
      <c r="P342" s="13">
        <f t="shared" si="224"/>
        <v>2.5000000000000002E-6</v>
      </c>
      <c r="Q342" s="13">
        <f t="shared" si="224"/>
        <v>2.5000000000000002E-6</v>
      </c>
      <c r="R342" s="13">
        <f t="shared" si="224"/>
        <v>2.5000000000000002E-6</v>
      </c>
      <c r="S342" s="13">
        <f t="shared" si="224"/>
        <v>2.5000000000000002E-6</v>
      </c>
      <c r="T342" s="13">
        <f t="shared" si="224"/>
        <v>2.5000000000000002E-6</v>
      </c>
      <c r="U342" s="13">
        <f t="shared" si="224"/>
        <v>2.5000000000000002E-6</v>
      </c>
      <c r="V342" s="13">
        <f t="shared" si="224"/>
        <v>2.5000000000000002E-6</v>
      </c>
    </row>
    <row r="343" spans="2:23">
      <c r="B343" s="307" t="s">
        <v>79</v>
      </c>
      <c r="C343" s="13">
        <f t="shared" ref="C343:V343" si="225">0.8/100000</f>
        <v>7.9999999999999996E-6</v>
      </c>
      <c r="D343" s="13">
        <f t="shared" si="225"/>
        <v>7.9999999999999996E-6</v>
      </c>
      <c r="E343" s="13">
        <f t="shared" si="225"/>
        <v>7.9999999999999996E-6</v>
      </c>
      <c r="F343" s="13">
        <f t="shared" si="225"/>
        <v>7.9999999999999996E-6</v>
      </c>
      <c r="G343" s="13">
        <f t="shared" si="225"/>
        <v>7.9999999999999996E-6</v>
      </c>
      <c r="H343" s="13">
        <f t="shared" si="225"/>
        <v>7.9999999999999996E-6</v>
      </c>
      <c r="I343" s="13">
        <f t="shared" si="225"/>
        <v>7.9999999999999996E-6</v>
      </c>
      <c r="J343" s="13">
        <f t="shared" si="225"/>
        <v>7.9999999999999996E-6</v>
      </c>
      <c r="K343" s="13">
        <f t="shared" si="225"/>
        <v>7.9999999999999996E-6</v>
      </c>
      <c r="L343" s="13">
        <f t="shared" si="225"/>
        <v>7.9999999999999996E-6</v>
      </c>
      <c r="M343" s="13">
        <f t="shared" si="225"/>
        <v>7.9999999999999996E-6</v>
      </c>
      <c r="N343" s="13">
        <f t="shared" si="225"/>
        <v>7.9999999999999996E-6</v>
      </c>
      <c r="O343" s="13">
        <f t="shared" si="225"/>
        <v>7.9999999999999996E-6</v>
      </c>
      <c r="P343" s="13">
        <f t="shared" si="225"/>
        <v>7.9999999999999996E-6</v>
      </c>
      <c r="Q343" s="13">
        <f t="shared" si="225"/>
        <v>7.9999999999999996E-6</v>
      </c>
      <c r="R343" s="13">
        <f t="shared" si="225"/>
        <v>7.9999999999999996E-6</v>
      </c>
      <c r="S343" s="13">
        <f t="shared" si="225"/>
        <v>7.9999999999999996E-6</v>
      </c>
      <c r="T343" s="13">
        <f t="shared" si="225"/>
        <v>7.9999999999999996E-6</v>
      </c>
      <c r="U343" s="13">
        <f t="shared" si="225"/>
        <v>7.9999999999999996E-6</v>
      </c>
      <c r="V343" s="13">
        <f t="shared" si="225"/>
        <v>7.9999999999999996E-6</v>
      </c>
    </row>
    <row r="344" spans="2:23">
      <c r="B344" s="307" t="s">
        <v>78</v>
      </c>
      <c r="C344" s="13">
        <f t="shared" ref="C344:V344" si="226">1.7/100000</f>
        <v>1.7E-5</v>
      </c>
      <c r="D344" s="13">
        <f t="shared" si="226"/>
        <v>1.7E-5</v>
      </c>
      <c r="E344" s="13">
        <f t="shared" si="226"/>
        <v>1.7E-5</v>
      </c>
      <c r="F344" s="13">
        <f t="shared" si="226"/>
        <v>1.7E-5</v>
      </c>
      <c r="G344" s="13">
        <f t="shared" si="226"/>
        <v>1.7E-5</v>
      </c>
      <c r="H344" s="13">
        <f t="shared" si="226"/>
        <v>1.7E-5</v>
      </c>
      <c r="I344" s="13">
        <f t="shared" si="226"/>
        <v>1.7E-5</v>
      </c>
      <c r="J344" s="13">
        <f t="shared" si="226"/>
        <v>1.7E-5</v>
      </c>
      <c r="K344" s="13">
        <f t="shared" si="226"/>
        <v>1.7E-5</v>
      </c>
      <c r="L344" s="13">
        <f t="shared" si="226"/>
        <v>1.7E-5</v>
      </c>
      <c r="M344" s="13">
        <f t="shared" si="226"/>
        <v>1.7E-5</v>
      </c>
      <c r="N344" s="13">
        <f t="shared" si="226"/>
        <v>1.7E-5</v>
      </c>
      <c r="O344" s="13">
        <f t="shared" si="226"/>
        <v>1.7E-5</v>
      </c>
      <c r="P344" s="13">
        <f t="shared" si="226"/>
        <v>1.7E-5</v>
      </c>
      <c r="Q344" s="13">
        <f t="shared" si="226"/>
        <v>1.7E-5</v>
      </c>
      <c r="R344" s="13">
        <f t="shared" si="226"/>
        <v>1.7E-5</v>
      </c>
      <c r="S344" s="13">
        <f t="shared" si="226"/>
        <v>1.7E-5</v>
      </c>
      <c r="T344" s="13">
        <f t="shared" si="226"/>
        <v>1.7E-5</v>
      </c>
      <c r="U344" s="13">
        <f t="shared" si="226"/>
        <v>1.7E-5</v>
      </c>
      <c r="V344" s="13">
        <f t="shared" si="226"/>
        <v>1.7E-5</v>
      </c>
    </row>
    <row r="345" spans="2:23">
      <c r="B345" s="307" t="s">
        <v>77</v>
      </c>
      <c r="C345" s="13">
        <f t="shared" ref="C345:V345" si="227">3.3/100000</f>
        <v>3.2999999999999996E-5</v>
      </c>
      <c r="D345" s="13">
        <f t="shared" si="227"/>
        <v>3.2999999999999996E-5</v>
      </c>
      <c r="E345" s="13">
        <f t="shared" si="227"/>
        <v>3.2999999999999996E-5</v>
      </c>
      <c r="F345" s="13">
        <f t="shared" si="227"/>
        <v>3.2999999999999996E-5</v>
      </c>
      <c r="G345" s="13">
        <f t="shared" si="227"/>
        <v>3.2999999999999996E-5</v>
      </c>
      <c r="H345" s="13">
        <f t="shared" si="227"/>
        <v>3.2999999999999996E-5</v>
      </c>
      <c r="I345" s="13">
        <f t="shared" si="227"/>
        <v>3.2999999999999996E-5</v>
      </c>
      <c r="J345" s="13">
        <f t="shared" si="227"/>
        <v>3.2999999999999996E-5</v>
      </c>
      <c r="K345" s="13">
        <f t="shared" si="227"/>
        <v>3.2999999999999996E-5</v>
      </c>
      <c r="L345" s="13">
        <f t="shared" si="227"/>
        <v>3.2999999999999996E-5</v>
      </c>
      <c r="M345" s="13">
        <f t="shared" si="227"/>
        <v>3.2999999999999996E-5</v>
      </c>
      <c r="N345" s="13">
        <f t="shared" si="227"/>
        <v>3.2999999999999996E-5</v>
      </c>
      <c r="O345" s="13">
        <f t="shared" si="227"/>
        <v>3.2999999999999996E-5</v>
      </c>
      <c r="P345" s="13">
        <f t="shared" si="227"/>
        <v>3.2999999999999996E-5</v>
      </c>
      <c r="Q345" s="13">
        <f t="shared" si="227"/>
        <v>3.2999999999999996E-5</v>
      </c>
      <c r="R345" s="13">
        <f t="shared" si="227"/>
        <v>3.2999999999999996E-5</v>
      </c>
      <c r="S345" s="13">
        <f t="shared" si="227"/>
        <v>3.2999999999999996E-5</v>
      </c>
      <c r="T345" s="13">
        <f t="shared" si="227"/>
        <v>3.2999999999999996E-5</v>
      </c>
      <c r="U345" s="13">
        <f t="shared" si="227"/>
        <v>3.2999999999999996E-5</v>
      </c>
      <c r="V345" s="13">
        <f t="shared" si="227"/>
        <v>3.2999999999999996E-5</v>
      </c>
    </row>
    <row r="346" spans="2:23">
      <c r="B346" s="307" t="s">
        <v>76</v>
      </c>
      <c r="C346" s="13">
        <f t="shared" ref="C346:V346" si="228">6.4/100000</f>
        <v>6.3999999999999997E-5</v>
      </c>
      <c r="D346" s="13">
        <f t="shared" si="228"/>
        <v>6.3999999999999997E-5</v>
      </c>
      <c r="E346" s="13">
        <f t="shared" si="228"/>
        <v>6.3999999999999997E-5</v>
      </c>
      <c r="F346" s="13">
        <f t="shared" si="228"/>
        <v>6.3999999999999997E-5</v>
      </c>
      <c r="G346" s="13">
        <f t="shared" si="228"/>
        <v>6.3999999999999997E-5</v>
      </c>
      <c r="H346" s="13">
        <f t="shared" si="228"/>
        <v>6.3999999999999997E-5</v>
      </c>
      <c r="I346" s="13">
        <f t="shared" si="228"/>
        <v>6.3999999999999997E-5</v>
      </c>
      <c r="J346" s="13">
        <f t="shared" si="228"/>
        <v>6.3999999999999997E-5</v>
      </c>
      <c r="K346" s="13">
        <f t="shared" si="228"/>
        <v>6.3999999999999997E-5</v>
      </c>
      <c r="L346" s="13">
        <f t="shared" si="228"/>
        <v>6.3999999999999997E-5</v>
      </c>
      <c r="M346" s="13">
        <f t="shared" si="228"/>
        <v>6.3999999999999997E-5</v>
      </c>
      <c r="N346" s="13">
        <f t="shared" si="228"/>
        <v>6.3999999999999997E-5</v>
      </c>
      <c r="O346" s="13">
        <f t="shared" si="228"/>
        <v>6.3999999999999997E-5</v>
      </c>
      <c r="P346" s="13">
        <f t="shared" si="228"/>
        <v>6.3999999999999997E-5</v>
      </c>
      <c r="Q346" s="13">
        <f t="shared" si="228"/>
        <v>6.3999999999999997E-5</v>
      </c>
      <c r="R346" s="13">
        <f t="shared" si="228"/>
        <v>6.3999999999999997E-5</v>
      </c>
      <c r="S346" s="13">
        <f t="shared" si="228"/>
        <v>6.3999999999999997E-5</v>
      </c>
      <c r="T346" s="13">
        <f t="shared" si="228"/>
        <v>6.3999999999999997E-5</v>
      </c>
      <c r="U346" s="13">
        <f t="shared" si="228"/>
        <v>6.3999999999999997E-5</v>
      </c>
      <c r="V346" s="13">
        <f t="shared" si="228"/>
        <v>6.3999999999999997E-5</v>
      </c>
    </row>
    <row r="347" spans="2:23">
      <c r="B347" s="307" t="s">
        <v>75</v>
      </c>
      <c r="C347" s="13">
        <f t="shared" ref="C347:V347" si="229">11.9/100000</f>
        <v>1.1900000000000001E-4</v>
      </c>
      <c r="D347" s="13">
        <f t="shared" si="229"/>
        <v>1.1900000000000001E-4</v>
      </c>
      <c r="E347" s="13">
        <f t="shared" si="229"/>
        <v>1.1900000000000001E-4</v>
      </c>
      <c r="F347" s="13">
        <f t="shared" si="229"/>
        <v>1.1900000000000001E-4</v>
      </c>
      <c r="G347" s="13">
        <f t="shared" si="229"/>
        <v>1.1900000000000001E-4</v>
      </c>
      <c r="H347" s="13">
        <f t="shared" si="229"/>
        <v>1.1900000000000001E-4</v>
      </c>
      <c r="I347" s="13">
        <f t="shared" si="229"/>
        <v>1.1900000000000001E-4</v>
      </c>
      <c r="J347" s="13">
        <f t="shared" si="229"/>
        <v>1.1900000000000001E-4</v>
      </c>
      <c r="K347" s="13">
        <f t="shared" si="229"/>
        <v>1.1900000000000001E-4</v>
      </c>
      <c r="L347" s="13">
        <f t="shared" si="229"/>
        <v>1.1900000000000001E-4</v>
      </c>
      <c r="M347" s="13">
        <f t="shared" si="229"/>
        <v>1.1900000000000001E-4</v>
      </c>
      <c r="N347" s="13">
        <f t="shared" si="229"/>
        <v>1.1900000000000001E-4</v>
      </c>
      <c r="O347" s="13">
        <f t="shared" si="229"/>
        <v>1.1900000000000001E-4</v>
      </c>
      <c r="P347" s="13">
        <f t="shared" si="229"/>
        <v>1.1900000000000001E-4</v>
      </c>
      <c r="Q347" s="13">
        <f t="shared" si="229"/>
        <v>1.1900000000000001E-4</v>
      </c>
      <c r="R347" s="13">
        <f t="shared" si="229"/>
        <v>1.1900000000000001E-4</v>
      </c>
      <c r="S347" s="13">
        <f t="shared" si="229"/>
        <v>1.1900000000000001E-4</v>
      </c>
      <c r="T347" s="13">
        <f t="shared" si="229"/>
        <v>1.1900000000000001E-4</v>
      </c>
      <c r="U347" s="13">
        <f t="shared" si="229"/>
        <v>1.1900000000000001E-4</v>
      </c>
      <c r="V347" s="13">
        <f t="shared" si="229"/>
        <v>1.1900000000000001E-4</v>
      </c>
    </row>
    <row r="348" spans="2:23">
      <c r="B348" s="307" t="s">
        <v>74</v>
      </c>
      <c r="C348" s="13">
        <f t="shared" ref="C348:V348" si="230">20.1/100000</f>
        <v>2.0100000000000001E-4</v>
      </c>
      <c r="D348" s="13">
        <f t="shared" si="230"/>
        <v>2.0100000000000001E-4</v>
      </c>
      <c r="E348" s="13">
        <f t="shared" si="230"/>
        <v>2.0100000000000001E-4</v>
      </c>
      <c r="F348" s="13">
        <f t="shared" si="230"/>
        <v>2.0100000000000001E-4</v>
      </c>
      <c r="G348" s="13">
        <f t="shared" si="230"/>
        <v>2.0100000000000001E-4</v>
      </c>
      <c r="H348" s="13">
        <f t="shared" si="230"/>
        <v>2.0100000000000001E-4</v>
      </c>
      <c r="I348" s="13">
        <f t="shared" si="230"/>
        <v>2.0100000000000001E-4</v>
      </c>
      <c r="J348" s="13">
        <f t="shared" si="230"/>
        <v>2.0100000000000001E-4</v>
      </c>
      <c r="K348" s="13">
        <f t="shared" si="230"/>
        <v>2.0100000000000001E-4</v>
      </c>
      <c r="L348" s="13">
        <f t="shared" si="230"/>
        <v>2.0100000000000001E-4</v>
      </c>
      <c r="M348" s="13">
        <f t="shared" si="230"/>
        <v>2.0100000000000001E-4</v>
      </c>
      <c r="N348" s="13">
        <f t="shared" si="230"/>
        <v>2.0100000000000001E-4</v>
      </c>
      <c r="O348" s="13">
        <f t="shared" si="230"/>
        <v>2.0100000000000001E-4</v>
      </c>
      <c r="P348" s="13">
        <f t="shared" si="230"/>
        <v>2.0100000000000001E-4</v>
      </c>
      <c r="Q348" s="13">
        <f t="shared" si="230"/>
        <v>2.0100000000000001E-4</v>
      </c>
      <c r="R348" s="13">
        <f t="shared" si="230"/>
        <v>2.0100000000000001E-4</v>
      </c>
      <c r="S348" s="13">
        <f t="shared" si="230"/>
        <v>2.0100000000000001E-4</v>
      </c>
      <c r="T348" s="13">
        <f t="shared" si="230"/>
        <v>2.0100000000000001E-4</v>
      </c>
      <c r="U348" s="13">
        <f t="shared" si="230"/>
        <v>2.0100000000000001E-4</v>
      </c>
      <c r="V348" s="13">
        <f t="shared" si="230"/>
        <v>2.0100000000000001E-4</v>
      </c>
    </row>
    <row r="349" spans="2:23">
      <c r="B349" s="307" t="s">
        <v>73</v>
      </c>
      <c r="C349" s="13">
        <f t="shared" ref="C349:V349" si="231">32.1/100000</f>
        <v>3.21E-4</v>
      </c>
      <c r="D349" s="13">
        <f t="shared" si="231"/>
        <v>3.21E-4</v>
      </c>
      <c r="E349" s="13">
        <f t="shared" si="231"/>
        <v>3.21E-4</v>
      </c>
      <c r="F349" s="13">
        <f t="shared" si="231"/>
        <v>3.21E-4</v>
      </c>
      <c r="G349" s="13">
        <f t="shared" si="231"/>
        <v>3.21E-4</v>
      </c>
      <c r="H349" s="13">
        <f t="shared" si="231"/>
        <v>3.21E-4</v>
      </c>
      <c r="I349" s="13">
        <f t="shared" si="231"/>
        <v>3.21E-4</v>
      </c>
      <c r="J349" s="13">
        <f t="shared" si="231"/>
        <v>3.21E-4</v>
      </c>
      <c r="K349" s="13">
        <f t="shared" si="231"/>
        <v>3.21E-4</v>
      </c>
      <c r="L349" s="13">
        <f t="shared" si="231"/>
        <v>3.21E-4</v>
      </c>
      <c r="M349" s="13">
        <f t="shared" si="231"/>
        <v>3.21E-4</v>
      </c>
      <c r="N349" s="13">
        <f t="shared" si="231"/>
        <v>3.21E-4</v>
      </c>
      <c r="O349" s="13">
        <f t="shared" si="231"/>
        <v>3.21E-4</v>
      </c>
      <c r="P349" s="13">
        <f t="shared" si="231"/>
        <v>3.21E-4</v>
      </c>
      <c r="Q349" s="13">
        <f t="shared" si="231"/>
        <v>3.21E-4</v>
      </c>
      <c r="R349" s="13">
        <f t="shared" si="231"/>
        <v>3.21E-4</v>
      </c>
      <c r="S349" s="13">
        <f t="shared" si="231"/>
        <v>3.21E-4</v>
      </c>
      <c r="T349" s="13">
        <f t="shared" si="231"/>
        <v>3.21E-4</v>
      </c>
      <c r="U349" s="13">
        <f t="shared" si="231"/>
        <v>3.21E-4</v>
      </c>
      <c r="V349" s="13">
        <f t="shared" si="231"/>
        <v>3.21E-4</v>
      </c>
    </row>
    <row r="350" spans="2:23">
      <c r="B350" s="307" t="s">
        <v>72</v>
      </c>
      <c r="C350" s="13">
        <f t="shared" ref="C350:V350" si="232">44.5/100000</f>
        <v>4.4499999999999997E-4</v>
      </c>
      <c r="D350" s="13">
        <f t="shared" si="232"/>
        <v>4.4499999999999997E-4</v>
      </c>
      <c r="E350" s="13">
        <f t="shared" si="232"/>
        <v>4.4499999999999997E-4</v>
      </c>
      <c r="F350" s="13">
        <f t="shared" si="232"/>
        <v>4.4499999999999997E-4</v>
      </c>
      <c r="G350" s="13">
        <f t="shared" si="232"/>
        <v>4.4499999999999997E-4</v>
      </c>
      <c r="H350" s="13">
        <f t="shared" si="232"/>
        <v>4.4499999999999997E-4</v>
      </c>
      <c r="I350" s="13">
        <f t="shared" si="232"/>
        <v>4.4499999999999997E-4</v>
      </c>
      <c r="J350" s="13">
        <f t="shared" si="232"/>
        <v>4.4499999999999997E-4</v>
      </c>
      <c r="K350" s="13">
        <f t="shared" si="232"/>
        <v>4.4499999999999997E-4</v>
      </c>
      <c r="L350" s="13">
        <f t="shared" si="232"/>
        <v>4.4499999999999997E-4</v>
      </c>
      <c r="M350" s="13">
        <f t="shared" si="232"/>
        <v>4.4499999999999997E-4</v>
      </c>
      <c r="N350" s="13">
        <f t="shared" si="232"/>
        <v>4.4499999999999997E-4</v>
      </c>
      <c r="O350" s="13">
        <f t="shared" si="232"/>
        <v>4.4499999999999997E-4</v>
      </c>
      <c r="P350" s="13">
        <f t="shared" si="232"/>
        <v>4.4499999999999997E-4</v>
      </c>
      <c r="Q350" s="13">
        <f t="shared" si="232"/>
        <v>4.4499999999999997E-4</v>
      </c>
      <c r="R350" s="13">
        <f t="shared" si="232"/>
        <v>4.4499999999999997E-4</v>
      </c>
      <c r="S350" s="13">
        <f t="shared" si="232"/>
        <v>4.4499999999999997E-4</v>
      </c>
      <c r="T350" s="13">
        <f t="shared" si="232"/>
        <v>4.4499999999999997E-4</v>
      </c>
      <c r="U350" s="13">
        <f t="shared" si="232"/>
        <v>4.4499999999999997E-4</v>
      </c>
      <c r="V350" s="13">
        <f t="shared" si="232"/>
        <v>4.4499999999999997E-4</v>
      </c>
    </row>
    <row r="351" spans="2:23">
      <c r="B351" s="308" t="s">
        <v>71</v>
      </c>
      <c r="C351" s="13">
        <f t="shared" ref="C351:V351" si="233">49.7/100000</f>
        <v>4.9700000000000005E-4</v>
      </c>
      <c r="D351" s="13">
        <f t="shared" si="233"/>
        <v>4.9700000000000005E-4</v>
      </c>
      <c r="E351" s="13">
        <f t="shared" si="233"/>
        <v>4.9700000000000005E-4</v>
      </c>
      <c r="F351" s="13">
        <f t="shared" si="233"/>
        <v>4.9700000000000005E-4</v>
      </c>
      <c r="G351" s="13">
        <f t="shared" si="233"/>
        <v>4.9700000000000005E-4</v>
      </c>
      <c r="H351" s="13">
        <f t="shared" si="233"/>
        <v>4.9700000000000005E-4</v>
      </c>
      <c r="I351" s="13">
        <f t="shared" si="233"/>
        <v>4.9700000000000005E-4</v>
      </c>
      <c r="J351" s="13">
        <f t="shared" si="233"/>
        <v>4.9700000000000005E-4</v>
      </c>
      <c r="K351" s="13">
        <f t="shared" si="233"/>
        <v>4.9700000000000005E-4</v>
      </c>
      <c r="L351" s="13">
        <f t="shared" si="233"/>
        <v>4.9700000000000005E-4</v>
      </c>
      <c r="M351" s="13">
        <f t="shared" si="233"/>
        <v>4.9700000000000005E-4</v>
      </c>
      <c r="N351" s="13">
        <f t="shared" si="233"/>
        <v>4.9700000000000005E-4</v>
      </c>
      <c r="O351" s="13">
        <f t="shared" si="233"/>
        <v>4.9700000000000005E-4</v>
      </c>
      <c r="P351" s="13">
        <f t="shared" si="233"/>
        <v>4.9700000000000005E-4</v>
      </c>
      <c r="Q351" s="13">
        <f t="shared" si="233"/>
        <v>4.9700000000000005E-4</v>
      </c>
      <c r="R351" s="13">
        <f t="shared" si="233"/>
        <v>4.9700000000000005E-4</v>
      </c>
      <c r="S351" s="13">
        <f t="shared" si="233"/>
        <v>4.9700000000000005E-4</v>
      </c>
      <c r="T351" s="13">
        <f t="shared" si="233"/>
        <v>4.9700000000000005E-4</v>
      </c>
      <c r="U351" s="13">
        <f t="shared" si="233"/>
        <v>4.9700000000000005E-4</v>
      </c>
      <c r="V351" s="13">
        <f t="shared" si="233"/>
        <v>4.9700000000000005E-4</v>
      </c>
    </row>
    <row r="353" spans="2:22">
      <c r="B353" s="309" t="s">
        <v>83</v>
      </c>
    </row>
    <row r="354" spans="2:22">
      <c r="B354" s="307" t="s">
        <v>82</v>
      </c>
      <c r="C354" s="5">
        <f t="shared" ref="C354:V354" si="234">C340*C326*1000</f>
        <v>14.840111802067094</v>
      </c>
      <c r="D354" s="5">
        <f t="shared" si="234"/>
        <v>14.885442867019881</v>
      </c>
      <c r="E354" s="5">
        <f t="shared" si="234"/>
        <v>14.930788149945274</v>
      </c>
      <c r="F354" s="5">
        <f t="shared" si="234"/>
        <v>14.975913021556728</v>
      </c>
      <c r="G354" s="5">
        <f t="shared" si="234"/>
        <v>15.022454289506825</v>
      </c>
      <c r="H354" s="5">
        <f t="shared" si="234"/>
        <v>15.144684847113716</v>
      </c>
      <c r="I354" s="5">
        <f t="shared" si="234"/>
        <v>15.265979258647381</v>
      </c>
      <c r="J354" s="5">
        <f t="shared" si="234"/>
        <v>15.388209628326186</v>
      </c>
      <c r="K354" s="5">
        <f t="shared" si="234"/>
        <v>15.510910197215626</v>
      </c>
      <c r="L354" s="5">
        <f t="shared" si="234"/>
        <v>15.634317989738317</v>
      </c>
      <c r="M354" s="5">
        <f t="shared" si="234"/>
        <v>15.760396388055909</v>
      </c>
      <c r="N354" s="5">
        <f t="shared" si="234"/>
        <v>15.889191071518416</v>
      </c>
      <c r="O354" s="5">
        <f t="shared" si="234"/>
        <v>16.019038271052199</v>
      </c>
      <c r="P354" s="5">
        <f t="shared" si="234"/>
        <v>16.149946587866964</v>
      </c>
      <c r="Q354" s="5">
        <f t="shared" si="234"/>
        <v>16.281924693461889</v>
      </c>
      <c r="R354" s="5">
        <f t="shared" si="234"/>
        <v>16.414981330200035</v>
      </c>
      <c r="S354" s="5">
        <f t="shared" si="234"/>
        <v>16.549125311887465</v>
      </c>
      <c r="T354" s="5">
        <f t="shared" si="234"/>
        <v>16.684365524357073</v>
      </c>
      <c r="U354" s="5">
        <f t="shared" si="234"/>
        <v>16.820710926057171</v>
      </c>
      <c r="V354" s="5">
        <f t="shared" si="234"/>
        <v>16.958170548644937</v>
      </c>
    </row>
    <row r="355" spans="2:22">
      <c r="B355" s="307" t="s">
        <v>81</v>
      </c>
      <c r="C355" s="5">
        <f t="shared" ref="C355:V355" si="235">C341*C327*1000</f>
        <v>12.969102385268705</v>
      </c>
      <c r="D355" s="5">
        <f t="shared" si="235"/>
        <v>13.071673192915773</v>
      </c>
      <c r="E355" s="5">
        <f t="shared" si="235"/>
        <v>13.17423997271016</v>
      </c>
      <c r="F355" s="5">
        <f t="shared" si="235"/>
        <v>13.276595053869068</v>
      </c>
      <c r="G355" s="5">
        <f t="shared" si="235"/>
        <v>13.380193717563229</v>
      </c>
      <c r="H355" s="5">
        <f t="shared" si="235"/>
        <v>13.300347319128619</v>
      </c>
      <c r="I355" s="5">
        <f t="shared" si="235"/>
        <v>13.219685369808765</v>
      </c>
      <c r="J355" s="5">
        <f t="shared" si="235"/>
        <v>13.139840446957876</v>
      </c>
      <c r="K355" s="5">
        <f t="shared" si="235"/>
        <v>13.060386605143485</v>
      </c>
      <c r="L355" s="5">
        <f t="shared" si="235"/>
        <v>12.981504271501358</v>
      </c>
      <c r="M355" s="5">
        <f t="shared" si="235"/>
        <v>12.903592069179668</v>
      </c>
      <c r="N355" s="5">
        <f t="shared" si="235"/>
        <v>12.826637834405473</v>
      </c>
      <c r="O355" s="5">
        <f t="shared" si="235"/>
        <v>12.750142538058492</v>
      </c>
      <c r="P355" s="5">
        <f t="shared" si="235"/>
        <v>12.674103443129123</v>
      </c>
      <c r="Q355" s="5">
        <f t="shared" si="235"/>
        <v>12.59851782893069</v>
      </c>
      <c r="R355" s="5">
        <f t="shared" si="235"/>
        <v>12.523382991002102</v>
      </c>
      <c r="S355" s="5">
        <f t="shared" si="235"/>
        <v>12.448696241011096</v>
      </c>
      <c r="T355" s="5">
        <f t="shared" si="235"/>
        <v>12.374454906658039</v>
      </c>
      <c r="U355" s="5">
        <f t="shared" si="235"/>
        <v>12.300656331580317</v>
      </c>
      <c r="V355" s="5">
        <f t="shared" si="235"/>
        <v>12.227297875257285</v>
      </c>
    </row>
    <row r="356" spans="2:22">
      <c r="B356" s="307" t="s">
        <v>80</v>
      </c>
      <c r="C356" s="5">
        <f t="shared" ref="C356:V356" si="236">C342*C328*1000</f>
        <v>20.41030811918338</v>
      </c>
      <c r="D356" s="5">
        <f t="shared" si="236"/>
        <v>20.439808493345822</v>
      </c>
      <c r="E356" s="5">
        <f t="shared" si="236"/>
        <v>20.469337006335945</v>
      </c>
      <c r="F356" s="5">
        <f t="shared" si="236"/>
        <v>20.498572329919988</v>
      </c>
      <c r="G356" s="5">
        <f t="shared" si="236"/>
        <v>20.5297526839977</v>
      </c>
      <c r="H356" s="5">
        <f t="shared" si="236"/>
        <v>20.936584539691541</v>
      </c>
      <c r="I356" s="5">
        <f t="shared" si="236"/>
        <v>21.342113857796512</v>
      </c>
      <c r="J356" s="5">
        <f t="shared" si="236"/>
        <v>21.748943369023941</v>
      </c>
      <c r="K356" s="5">
        <f t="shared" si="236"/>
        <v>22.156450673785798</v>
      </c>
      <c r="L356" s="5">
        <f t="shared" si="236"/>
        <v>22.56499868159581</v>
      </c>
      <c r="M356" s="5">
        <f t="shared" si="236"/>
        <v>22.981344553016683</v>
      </c>
      <c r="N356" s="5">
        <f t="shared" si="236"/>
        <v>23.405641907421288</v>
      </c>
      <c r="O356" s="5">
        <f t="shared" si="236"/>
        <v>23.837772930762863</v>
      </c>
      <c r="P356" s="5">
        <f t="shared" si="236"/>
        <v>24.277882253613289</v>
      </c>
      <c r="Q356" s="5">
        <f t="shared" si="236"/>
        <v>24.726117176813307</v>
      </c>
      <c r="R356" s="5">
        <f t="shared" si="236"/>
        <v>25.182627720772885</v>
      </c>
      <c r="S356" s="5">
        <f t="shared" si="236"/>
        <v>25.647566675681748</v>
      </c>
      <c r="T356" s="5">
        <f t="shared" si="236"/>
        <v>26.121089652646951</v>
      </c>
      <c r="U356" s="5">
        <f t="shared" si="236"/>
        <v>26.603355135774603</v>
      </c>
      <c r="V356" s="5">
        <f t="shared" si="236"/>
        <v>27.094524535213143</v>
      </c>
    </row>
    <row r="357" spans="2:22">
      <c r="B357" s="307" t="s">
        <v>79</v>
      </c>
      <c r="C357" s="5">
        <f t="shared" ref="C357:V357" si="237">C343*C329*1000</f>
        <v>73.056891800506534</v>
      </c>
      <c r="D357" s="5">
        <f t="shared" si="237"/>
        <v>72.52970293343725</v>
      </c>
      <c r="E357" s="5">
        <f t="shared" si="237"/>
        <v>72.002780164289319</v>
      </c>
      <c r="F357" s="5">
        <f t="shared" si="237"/>
        <v>71.474999692315237</v>
      </c>
      <c r="G357" s="5">
        <f t="shared" si="237"/>
        <v>70.954123364911851</v>
      </c>
      <c r="H357" s="5">
        <f t="shared" si="237"/>
        <v>69.6427876229763</v>
      </c>
      <c r="I357" s="5">
        <f t="shared" si="237"/>
        <v>68.327212971026569</v>
      </c>
      <c r="J357" s="5">
        <f t="shared" si="237"/>
        <v>67.015892784280283</v>
      </c>
      <c r="K357" s="5">
        <f t="shared" si="237"/>
        <v>65.706516064799345</v>
      </c>
      <c r="L357" s="5">
        <f t="shared" si="237"/>
        <v>64.399895225181979</v>
      </c>
      <c r="M357" s="5">
        <f t="shared" si="237"/>
        <v>63.119261968595325</v>
      </c>
      <c r="N357" s="5">
        <f t="shared" si="237"/>
        <v>61.864099334473266</v>
      </c>
      <c r="O357" s="5">
        <f t="shared" si="237"/>
        <v>60.633896327396286</v>
      </c>
      <c r="P357" s="5">
        <f t="shared" si="237"/>
        <v>59.428156610901439</v>
      </c>
      <c r="Q357" s="5">
        <f t="shared" si="237"/>
        <v>58.246393718460297</v>
      </c>
      <c r="R357" s="5">
        <f t="shared" si="237"/>
        <v>57.08813085720967</v>
      </c>
      <c r="S357" s="5">
        <f t="shared" si="237"/>
        <v>55.952900715585216</v>
      </c>
      <c r="T357" s="5">
        <f t="shared" si="237"/>
        <v>54.840245274780365</v>
      </c>
      <c r="U357" s="5">
        <f t="shared" si="237"/>
        <v>53.749715623954593</v>
      </c>
      <c r="V357" s="5">
        <f t="shared" si="237"/>
        <v>52.680871779116217</v>
      </c>
    </row>
    <row r="358" spans="2:22">
      <c r="B358" s="307" t="s">
        <v>78</v>
      </c>
      <c r="C358" s="5">
        <f t="shared" ref="C358:V358" si="238">C344*C330*1000</f>
        <v>68.780305813813825</v>
      </c>
      <c r="D358" s="5">
        <f t="shared" si="238"/>
        <v>70.523431327707968</v>
      </c>
      <c r="E358" s="5">
        <f t="shared" si="238"/>
        <v>72.266222082594567</v>
      </c>
      <c r="F358" s="5">
        <f t="shared" si="238"/>
        <v>74.007526754463257</v>
      </c>
      <c r="G358" s="5">
        <f t="shared" si="238"/>
        <v>75.755536399822574</v>
      </c>
      <c r="H358" s="5">
        <f t="shared" si="238"/>
        <v>76.12467408148413</v>
      </c>
      <c r="I358" s="5">
        <f t="shared" si="238"/>
        <v>76.489114864452546</v>
      </c>
      <c r="J358" s="5">
        <f t="shared" si="238"/>
        <v>76.858253750999793</v>
      </c>
      <c r="K358" s="5">
        <f t="shared" si="238"/>
        <v>77.229727455101241</v>
      </c>
      <c r="L358" s="5">
        <f t="shared" si="238"/>
        <v>77.604691044724419</v>
      </c>
      <c r="M358" s="5">
        <f t="shared" si="238"/>
        <v>77.981682029584974</v>
      </c>
      <c r="N358" s="5">
        <f t="shared" si="238"/>
        <v>78.360712269908802</v>
      </c>
      <c r="O358" s="5">
        <f t="shared" si="238"/>
        <v>78.741584788051469</v>
      </c>
      <c r="P358" s="5">
        <f t="shared" si="238"/>
        <v>79.124308538410844</v>
      </c>
      <c r="Q358" s="5">
        <f t="shared" si="238"/>
        <v>79.508892518907601</v>
      </c>
      <c r="R358" s="5">
        <f t="shared" si="238"/>
        <v>79.895345771196887</v>
      </c>
      <c r="S358" s="5">
        <f t="shared" si="238"/>
        <v>80.283677380880846</v>
      </c>
      <c r="T358" s="5">
        <f t="shared" si="238"/>
        <v>80.673896477722238</v>
      </c>
      <c r="U358" s="5">
        <f t="shared" si="238"/>
        <v>81.066012235858977</v>
      </c>
      <c r="V358" s="5">
        <f t="shared" si="238"/>
        <v>81.460033874020027</v>
      </c>
    </row>
    <row r="359" spans="2:22">
      <c r="B359" s="307" t="s">
        <v>77</v>
      </c>
      <c r="C359" s="5">
        <f t="shared" ref="C359:V359" si="239">C345*C331*1000</f>
        <v>120.23391334363409</v>
      </c>
      <c r="D359" s="5">
        <f t="shared" si="239"/>
        <v>122.020056808864</v>
      </c>
      <c r="E359" s="5">
        <f t="shared" si="239"/>
        <v>123.80594464566029</v>
      </c>
      <c r="F359" s="5">
        <f t="shared" si="239"/>
        <v>125.58961678007427</v>
      </c>
      <c r="G359" s="5">
        <f t="shared" si="239"/>
        <v>127.38489436593731</v>
      </c>
      <c r="H359" s="5">
        <f t="shared" si="239"/>
        <v>130.76270378408032</v>
      </c>
      <c r="I359" s="5">
        <f t="shared" si="239"/>
        <v>134.13234853768427</v>
      </c>
      <c r="J359" s="5">
        <f t="shared" si="239"/>
        <v>137.51013597834924</v>
      </c>
      <c r="K359" s="5">
        <f t="shared" si="239"/>
        <v>140.89225439928649</v>
      </c>
      <c r="L359" s="5">
        <f t="shared" si="239"/>
        <v>144.28109439072563</v>
      </c>
      <c r="M359" s="5">
        <f t="shared" si="239"/>
        <v>147.75162207108795</v>
      </c>
      <c r="N359" s="5">
        <f t="shared" si="239"/>
        <v>151.30581075277942</v>
      </c>
      <c r="O359" s="5">
        <f t="shared" si="239"/>
        <v>154.94549600640696</v>
      </c>
      <c r="P359" s="5">
        <f t="shared" si="239"/>
        <v>158.6727344655562</v>
      </c>
      <c r="Q359" s="5">
        <f t="shared" si="239"/>
        <v>162.48963223645976</v>
      </c>
      <c r="R359" s="5">
        <f t="shared" si="239"/>
        <v>166.39834608806927</v>
      </c>
      <c r="S359" s="5">
        <f t="shared" si="239"/>
        <v>170.40108467075538</v>
      </c>
      <c r="T359" s="5">
        <f t="shared" si="239"/>
        <v>174.5001097643233</v>
      </c>
      <c r="U359" s="5">
        <f t="shared" si="239"/>
        <v>178.69773755604987</v>
      </c>
      <c r="V359" s="5">
        <f t="shared" si="239"/>
        <v>182.9963399494639</v>
      </c>
    </row>
    <row r="360" spans="2:22">
      <c r="B360" s="307" t="s">
        <v>76</v>
      </c>
      <c r="C360" s="5">
        <f t="shared" ref="C360:V360" si="240">C346*C332*1000</f>
        <v>236.01752965311692</v>
      </c>
      <c r="D360" s="5">
        <f t="shared" si="240"/>
        <v>232.62276347086066</v>
      </c>
      <c r="E360" s="5">
        <f t="shared" si="240"/>
        <v>229.22929905103743</v>
      </c>
      <c r="F360" s="5">
        <f t="shared" si="240"/>
        <v>225.83357632662043</v>
      </c>
      <c r="G360" s="5">
        <f t="shared" si="240"/>
        <v>222.4600032869773</v>
      </c>
      <c r="H360" s="5">
        <f t="shared" si="240"/>
        <v>225.97844468052094</v>
      </c>
      <c r="I360" s="5">
        <f t="shared" si="240"/>
        <v>229.48285789430977</v>
      </c>
      <c r="J360" s="5">
        <f t="shared" si="240"/>
        <v>233.00128163151578</v>
      </c>
      <c r="K360" s="5">
        <f t="shared" si="240"/>
        <v>236.52691921823865</v>
      </c>
      <c r="L360" s="5">
        <f t="shared" si="240"/>
        <v>240.06355842088055</v>
      </c>
      <c r="M360" s="5">
        <f t="shared" si="240"/>
        <v>243.65308899791395</v>
      </c>
      <c r="N360" s="5">
        <f t="shared" si="240"/>
        <v>247.29630210668529</v>
      </c>
      <c r="O360" s="5">
        <f t="shared" si="240"/>
        <v>250.99399021435985</v>
      </c>
      <c r="P360" s="5">
        <f t="shared" si="240"/>
        <v>254.746967856189</v>
      </c>
      <c r="Q360" s="5">
        <f t="shared" si="240"/>
        <v>258.55606174673011</v>
      </c>
      <c r="R360" s="5">
        <f t="shared" si="240"/>
        <v>262.42211096195695</v>
      </c>
      <c r="S360" s="5">
        <f t="shared" si="240"/>
        <v>266.34596712409342</v>
      </c>
      <c r="T360" s="5">
        <f t="shared" si="240"/>
        <v>270.32849458921083</v>
      </c>
      <c r="U360" s="5">
        <f t="shared" si="240"/>
        <v>274.37057063763012</v>
      </c>
      <c r="V360" s="5">
        <f t="shared" si="240"/>
        <v>278.47308566717135</v>
      </c>
    </row>
    <row r="361" spans="2:22">
      <c r="B361" s="307" t="s">
        <v>75</v>
      </c>
      <c r="C361" s="5">
        <f t="shared" ref="C361:V361" si="241">C347*C333*1000</f>
        <v>359.19928197360048</v>
      </c>
      <c r="D361" s="5">
        <f t="shared" si="241"/>
        <v>375.24968847696948</v>
      </c>
      <c r="E361" s="5">
        <f t="shared" si="241"/>
        <v>391.29653111355162</v>
      </c>
      <c r="F361" s="5">
        <f t="shared" si="241"/>
        <v>407.33350773803903</v>
      </c>
      <c r="G361" s="5">
        <f t="shared" si="241"/>
        <v>423.40613639609057</v>
      </c>
      <c r="H361" s="5">
        <f t="shared" si="241"/>
        <v>417.78950948128664</v>
      </c>
      <c r="I361" s="5">
        <f t="shared" si="241"/>
        <v>412.14737398040074</v>
      </c>
      <c r="J361" s="5">
        <f t="shared" si="241"/>
        <v>406.53082066070465</v>
      </c>
      <c r="K361" s="5">
        <f t="shared" si="241"/>
        <v>400.92618899636341</v>
      </c>
      <c r="L361" s="5">
        <f t="shared" si="241"/>
        <v>395.33868603131896</v>
      </c>
      <c r="M361" s="5">
        <f t="shared" si="241"/>
        <v>389.82914104779627</v>
      </c>
      <c r="N361" s="5">
        <f t="shared" si="241"/>
        <v>384.39646514048957</v>
      </c>
      <c r="O361" s="5">
        <f t="shared" si="241"/>
        <v>379.03949924150737</v>
      </c>
      <c r="P361" s="5">
        <f t="shared" si="241"/>
        <v>373.75718825287242</v>
      </c>
      <c r="Q361" s="5">
        <f t="shared" si="241"/>
        <v>368.54849178049886</v>
      </c>
      <c r="R361" s="5">
        <f t="shared" si="241"/>
        <v>363.41238392927841</v>
      </c>
      <c r="S361" s="5">
        <f t="shared" si="241"/>
        <v>358.34785310102154</v>
      </c>
      <c r="T361" s="5">
        <f t="shared" si="241"/>
        <v>353.35390179521522</v>
      </c>
      <c r="U361" s="5">
        <f t="shared" si="241"/>
        <v>348.42954641255716</v>
      </c>
      <c r="V361" s="5">
        <f t="shared" si="241"/>
        <v>343.57381706122789</v>
      </c>
    </row>
    <row r="362" spans="2:22">
      <c r="B362" s="307" t="s">
        <v>74</v>
      </c>
      <c r="C362" s="5">
        <f t="shared" ref="C362:V362" si="242">C348*C334*1000</f>
        <v>503.13215877232034</v>
      </c>
      <c r="D362" s="5">
        <f t="shared" si="242"/>
        <v>511.06626951394054</v>
      </c>
      <c r="E362" s="5">
        <f t="shared" si="242"/>
        <v>518.99919038277926</v>
      </c>
      <c r="F362" s="5">
        <f t="shared" si="242"/>
        <v>526.92270007418472</v>
      </c>
      <c r="G362" s="5">
        <f t="shared" si="242"/>
        <v>534.89481615164652</v>
      </c>
      <c r="H362" s="5">
        <f t="shared" si="242"/>
        <v>560.77088208205282</v>
      </c>
      <c r="I362" s="5">
        <f t="shared" si="242"/>
        <v>586.61153314953742</v>
      </c>
      <c r="J362" s="5">
        <f t="shared" si="242"/>
        <v>612.48740499959354</v>
      </c>
      <c r="K362" s="5">
        <f t="shared" si="242"/>
        <v>638.38318006041027</v>
      </c>
      <c r="L362" s="5">
        <f t="shared" si="242"/>
        <v>664.31079776803506</v>
      </c>
      <c r="M362" s="5">
        <f t="shared" si="242"/>
        <v>691.29158140441552</v>
      </c>
      <c r="N362" s="5">
        <f t="shared" si="242"/>
        <v>719.36831523087199</v>
      </c>
      <c r="O362" s="5">
        <f t="shared" si="242"/>
        <v>748.5853826062488</v>
      </c>
      <c r="P362" s="5">
        <f t="shared" si="242"/>
        <v>778.98909805597611</v>
      </c>
      <c r="Q362" s="5">
        <f t="shared" si="242"/>
        <v>810.62765716499268</v>
      </c>
      <c r="R362" s="5">
        <f t="shared" si="242"/>
        <v>843.55121297677783</v>
      </c>
      <c r="S362" s="5">
        <f t="shared" si="242"/>
        <v>877.81195549532151</v>
      </c>
      <c r="T362" s="5">
        <f t="shared" si="242"/>
        <v>913.46419441605735</v>
      </c>
      <c r="U362" s="5">
        <f t="shared" si="242"/>
        <v>950.56444521690469</v>
      </c>
      <c r="V362" s="5">
        <f t="shared" si="242"/>
        <v>989.17151874588933</v>
      </c>
    </row>
    <row r="363" spans="2:22">
      <c r="B363" s="307" t="s">
        <v>73</v>
      </c>
      <c r="C363" s="5">
        <f t="shared" ref="C363:V363" si="243">C349*C335*1000</f>
        <v>652.34012511830008</v>
      </c>
      <c r="D363" s="5">
        <f t="shared" si="243"/>
        <v>662.02363181643204</v>
      </c>
      <c r="E363" s="5">
        <f t="shared" si="243"/>
        <v>671.70575350741842</v>
      </c>
      <c r="F363" s="5">
        <f t="shared" si="243"/>
        <v>681.37585593769495</v>
      </c>
      <c r="G363" s="5">
        <f t="shared" si="243"/>
        <v>691.10892413393071</v>
      </c>
      <c r="H363" s="5">
        <f t="shared" si="243"/>
        <v>704.04832922139292</v>
      </c>
      <c r="I363" s="5">
        <f t="shared" si="243"/>
        <v>716.9439591202156</v>
      </c>
      <c r="J363" s="5">
        <f t="shared" si="243"/>
        <v>729.88329186668341</v>
      </c>
      <c r="K363" s="5">
        <f t="shared" si="243"/>
        <v>742.84533065641892</v>
      </c>
      <c r="L363" s="5">
        <f t="shared" si="243"/>
        <v>755.84216944978425</v>
      </c>
      <c r="M363" s="5">
        <f t="shared" si="243"/>
        <v>769.06743212532376</v>
      </c>
      <c r="N363" s="5">
        <f t="shared" si="243"/>
        <v>782.52515147239126</v>
      </c>
      <c r="O363" s="5">
        <f t="shared" si="243"/>
        <v>796.21836409671789</v>
      </c>
      <c r="P363" s="5">
        <f t="shared" si="243"/>
        <v>810.15119083647858</v>
      </c>
      <c r="Q363" s="5">
        <f t="shared" si="243"/>
        <v>824.32782463936883</v>
      </c>
      <c r="R363" s="5">
        <f t="shared" si="243"/>
        <v>838.75253182443078</v>
      </c>
      <c r="S363" s="5">
        <f t="shared" si="243"/>
        <v>853.42965336596058</v>
      </c>
      <c r="T363" s="5">
        <f t="shared" si="243"/>
        <v>868.36360619988125</v>
      </c>
      <c r="U363" s="5">
        <f t="shared" si="243"/>
        <v>883.55888455297782</v>
      </c>
      <c r="V363" s="5">
        <f t="shared" si="243"/>
        <v>899.02006129538904</v>
      </c>
    </row>
    <row r="364" spans="2:22">
      <c r="B364" s="307" t="s">
        <v>72</v>
      </c>
      <c r="C364" s="5">
        <f t="shared" ref="C364:V364" si="244">C350*C336*1000</f>
        <v>669.22007206178682</v>
      </c>
      <c r="D364" s="5">
        <f t="shared" si="244"/>
        <v>677.40428757062671</v>
      </c>
      <c r="E364" s="5">
        <f t="shared" si="244"/>
        <v>685.58753955931411</v>
      </c>
      <c r="F364" s="5">
        <f t="shared" si="244"/>
        <v>693.75899151134263</v>
      </c>
      <c r="G364" s="5">
        <f t="shared" si="244"/>
        <v>701.99487836233652</v>
      </c>
      <c r="H364" s="5">
        <f t="shared" si="244"/>
        <v>715.35427170053924</v>
      </c>
      <c r="I364" s="5">
        <f t="shared" si="244"/>
        <v>728.66917941663246</v>
      </c>
      <c r="J364" s="5">
        <f t="shared" si="244"/>
        <v>742.02849739233466</v>
      </c>
      <c r="K364" s="5">
        <f t="shared" si="244"/>
        <v>755.41091081264688</v>
      </c>
      <c r="L364" s="5">
        <f t="shared" si="244"/>
        <v>768.82873928579727</v>
      </c>
      <c r="M364" s="5">
        <f t="shared" si="244"/>
        <v>782.53528633311521</v>
      </c>
      <c r="N364" s="5">
        <f t="shared" si="244"/>
        <v>796.53778492534877</v>
      </c>
      <c r="O364" s="5">
        <f t="shared" si="244"/>
        <v>810.79084086656076</v>
      </c>
      <c r="P364" s="5">
        <f t="shared" si="244"/>
        <v>825.29893756981539</v>
      </c>
      <c r="Q364" s="5">
        <f t="shared" si="244"/>
        <v>840.06663867329496</v>
      </c>
      <c r="R364" s="5">
        <f t="shared" si="244"/>
        <v>855.09858947582779</v>
      </c>
      <c r="S364" s="5">
        <f t="shared" si="244"/>
        <v>870.39951839810442</v>
      </c>
      <c r="T364" s="5">
        <f t="shared" si="244"/>
        <v>885.97423847004006</v>
      </c>
      <c r="U364" s="5">
        <f t="shared" si="244"/>
        <v>901.8276488447525</v>
      </c>
      <c r="V364" s="5">
        <f t="shared" si="244"/>
        <v>917.96473633962944</v>
      </c>
    </row>
    <row r="365" spans="2:22">
      <c r="B365" s="308" t="s">
        <v>71</v>
      </c>
      <c r="C365" s="5">
        <f t="shared" ref="C365:V365" si="245">C351*C337*1000</f>
        <v>709.09726885906548</v>
      </c>
      <c r="D365" s="5">
        <f t="shared" si="245"/>
        <v>726.4221849221791</v>
      </c>
      <c r="E365" s="5">
        <f t="shared" si="245"/>
        <v>743.74381858810648</v>
      </c>
      <c r="F365" s="5">
        <f t="shared" si="245"/>
        <v>761.05032708590454</v>
      </c>
      <c r="G365" s="5">
        <f t="shared" si="245"/>
        <v>778.42590203129521</v>
      </c>
      <c r="H365" s="5">
        <f t="shared" si="245"/>
        <v>794.46321146203604</v>
      </c>
      <c r="I365" s="5">
        <f t="shared" si="245"/>
        <v>810.45107346973987</v>
      </c>
      <c r="J365" s="5">
        <f t="shared" si="245"/>
        <v>826.48828868182534</v>
      </c>
      <c r="K365" s="5">
        <f t="shared" si="245"/>
        <v>842.55129357306987</v>
      </c>
      <c r="L365" s="5">
        <f t="shared" si="245"/>
        <v>858.65394799951389</v>
      </c>
      <c r="M365" s="5">
        <f t="shared" si="245"/>
        <v>875.0643528045465</v>
      </c>
      <c r="N365" s="5">
        <f t="shared" si="245"/>
        <v>891.788389645503</v>
      </c>
      <c r="O365" s="5">
        <f t="shared" si="245"/>
        <v>908.83205258865542</v>
      </c>
      <c r="P365" s="5">
        <f t="shared" si="245"/>
        <v>926.20145025754846</v>
      </c>
      <c r="Q365" s="5">
        <f t="shared" si="245"/>
        <v>943.90280802239192</v>
      </c>
      <c r="R365" s="5">
        <f t="shared" si="245"/>
        <v>961.94247023129753</v>
      </c>
      <c r="S365" s="5">
        <f t="shared" si="245"/>
        <v>980.3269024841585</v>
      </c>
      <c r="T365" s="5">
        <f t="shared" si="245"/>
        <v>999.06269394998651</v>
      </c>
      <c r="U365" s="5">
        <f t="shared" si="245"/>
        <v>1018.1565597285376</v>
      </c>
      <c r="V365" s="5">
        <f t="shared" si="245"/>
        <v>1037.6153432570729</v>
      </c>
    </row>
    <row r="367" spans="2:22">
      <c r="B367" s="307" t="s">
        <v>317</v>
      </c>
      <c r="C367" s="5">
        <f t="shared" ref="C367:V367" si="246">SUM(C354:C359)</f>
        <v>310.29063326447363</v>
      </c>
      <c r="D367" s="5">
        <f t="shared" si="246"/>
        <v>313.47011562329072</v>
      </c>
      <c r="E367" s="5">
        <f t="shared" si="246"/>
        <v>316.64931202153554</v>
      </c>
      <c r="F367" s="5">
        <f t="shared" si="246"/>
        <v>319.82322363219856</v>
      </c>
      <c r="G367" s="5">
        <f t="shared" si="246"/>
        <v>323.02695482173948</v>
      </c>
      <c r="H367" s="5">
        <f t="shared" si="246"/>
        <v>325.91178219447465</v>
      </c>
      <c r="I367" s="5">
        <f t="shared" si="246"/>
        <v>328.77645485941605</v>
      </c>
      <c r="J367" s="5">
        <f t="shared" si="246"/>
        <v>331.66127595793733</v>
      </c>
      <c r="K367" s="5">
        <f t="shared" si="246"/>
        <v>334.55624539533198</v>
      </c>
      <c r="L367" s="5">
        <f t="shared" si="246"/>
        <v>337.46650160346752</v>
      </c>
      <c r="M367" s="5">
        <f t="shared" si="246"/>
        <v>340.49789907952049</v>
      </c>
      <c r="N367" s="5">
        <f t="shared" si="246"/>
        <v>343.65209317050665</v>
      </c>
      <c r="O367" s="5">
        <f t="shared" si="246"/>
        <v>346.92793086172827</v>
      </c>
      <c r="P367" s="5">
        <f t="shared" si="246"/>
        <v>350.32713189947788</v>
      </c>
      <c r="Q367" s="5">
        <f t="shared" si="246"/>
        <v>353.85147817303357</v>
      </c>
      <c r="R367" s="5">
        <f t="shared" si="246"/>
        <v>357.50281475845088</v>
      </c>
      <c r="S367" s="5">
        <f t="shared" si="246"/>
        <v>361.28305099580177</v>
      </c>
      <c r="T367" s="5">
        <f t="shared" si="246"/>
        <v>365.19416160048797</v>
      </c>
      <c r="U367" s="5">
        <f t="shared" si="246"/>
        <v>369.23818780927553</v>
      </c>
      <c r="V367" s="5">
        <f t="shared" si="246"/>
        <v>373.41723856171552</v>
      </c>
    </row>
    <row r="368" spans="2:22">
      <c r="B368" s="307" t="s">
        <v>313</v>
      </c>
      <c r="C368" s="5">
        <f t="shared" ref="C368:V368" si="247">SUM(C360:C362)</f>
        <v>1098.3489703990376</v>
      </c>
      <c r="D368" s="5">
        <f t="shared" si="247"/>
        <v>1118.9387214617707</v>
      </c>
      <c r="E368" s="5">
        <f t="shared" si="247"/>
        <v>1139.5250205473683</v>
      </c>
      <c r="F368" s="5">
        <f t="shared" si="247"/>
        <v>1160.0897841388442</v>
      </c>
      <c r="G368" s="5">
        <f t="shared" si="247"/>
        <v>1180.7609558347144</v>
      </c>
      <c r="H368" s="5">
        <f t="shared" si="247"/>
        <v>1204.5388362438603</v>
      </c>
      <c r="I368" s="5">
        <f t="shared" si="247"/>
        <v>1228.2417650242478</v>
      </c>
      <c r="J368" s="5">
        <f t="shared" si="247"/>
        <v>1252.0195072918141</v>
      </c>
      <c r="K368" s="5">
        <f t="shared" si="247"/>
        <v>1275.8362882750123</v>
      </c>
      <c r="L368" s="5">
        <f t="shared" si="247"/>
        <v>1299.7130422202345</v>
      </c>
      <c r="M368" s="5">
        <f t="shared" si="247"/>
        <v>1324.7738114501258</v>
      </c>
      <c r="N368" s="5">
        <f t="shared" si="247"/>
        <v>1351.061082478047</v>
      </c>
      <c r="O368" s="5">
        <f t="shared" si="247"/>
        <v>1378.618872062116</v>
      </c>
      <c r="P368" s="5">
        <f t="shared" si="247"/>
        <v>1407.4932541650376</v>
      </c>
      <c r="Q368" s="5">
        <f t="shared" si="247"/>
        <v>1437.7322106922215</v>
      </c>
      <c r="R368" s="5">
        <f t="shared" si="247"/>
        <v>1469.3857078680132</v>
      </c>
      <c r="S368" s="5">
        <f t="shared" si="247"/>
        <v>1502.5057757204363</v>
      </c>
      <c r="T368" s="5">
        <f t="shared" si="247"/>
        <v>1537.1465908004834</v>
      </c>
      <c r="U368" s="5">
        <f t="shared" si="247"/>
        <v>1573.364562267092</v>
      </c>
      <c r="V368" s="5">
        <f t="shared" si="247"/>
        <v>1611.2184214742886</v>
      </c>
    </row>
    <row r="369" spans="2:22">
      <c r="B369" s="307" t="s">
        <v>315</v>
      </c>
      <c r="C369" s="5">
        <f t="shared" ref="C369:V369" si="248">SUM(C363:C365)</f>
        <v>2030.6574660391525</v>
      </c>
      <c r="D369" s="5">
        <f t="shared" si="248"/>
        <v>2065.8501043092378</v>
      </c>
      <c r="E369" s="5">
        <f t="shared" si="248"/>
        <v>2101.037111654839</v>
      </c>
      <c r="F369" s="5">
        <f t="shared" si="248"/>
        <v>2136.1851745349422</v>
      </c>
      <c r="G369" s="5">
        <f t="shared" si="248"/>
        <v>2171.5297045275624</v>
      </c>
      <c r="H369" s="5">
        <f t="shared" si="248"/>
        <v>2213.8658123839682</v>
      </c>
      <c r="I369" s="5">
        <f t="shared" si="248"/>
        <v>2256.0642120065877</v>
      </c>
      <c r="J369" s="5">
        <f t="shared" si="248"/>
        <v>2298.4000779408434</v>
      </c>
      <c r="K369" s="5">
        <f t="shared" si="248"/>
        <v>2340.8075350421359</v>
      </c>
      <c r="L369" s="5">
        <f t="shared" si="248"/>
        <v>2383.3248567350956</v>
      </c>
      <c r="M369" s="5">
        <f t="shared" si="248"/>
        <v>2426.6670712629857</v>
      </c>
      <c r="N369" s="5">
        <f t="shared" si="248"/>
        <v>2470.8513260432428</v>
      </c>
      <c r="O369" s="5">
        <f t="shared" si="248"/>
        <v>2515.8412575519342</v>
      </c>
      <c r="P369" s="5">
        <f t="shared" si="248"/>
        <v>2561.6515786638424</v>
      </c>
      <c r="Q369" s="5">
        <f t="shared" si="248"/>
        <v>2608.2972713350559</v>
      </c>
      <c r="R369" s="5">
        <f t="shared" si="248"/>
        <v>2655.7935915315561</v>
      </c>
      <c r="S369" s="5">
        <f t="shared" si="248"/>
        <v>2704.1560742482234</v>
      </c>
      <c r="T369" s="5">
        <f t="shared" si="248"/>
        <v>2753.4005386199078</v>
      </c>
      <c r="U369" s="5">
        <f t="shared" si="248"/>
        <v>2803.5430931262681</v>
      </c>
      <c r="V369" s="5">
        <f t="shared" si="248"/>
        <v>2854.6001408920911</v>
      </c>
    </row>
    <row r="370" spans="2:22">
      <c r="B370" s="306"/>
      <c r="C370" s="5"/>
    </row>
    <row r="371" spans="2:22">
      <c r="B371" s="307" t="s">
        <v>317</v>
      </c>
      <c r="C371" s="17">
        <f>C367/(SUM(C367:C369))</f>
        <v>9.0219200893657911E-2</v>
      </c>
      <c r="D371" s="17">
        <f t="shared" ref="D371:V371" si="249">D367/(SUM(D367:D369))</f>
        <v>8.9607464991814212E-2</v>
      </c>
      <c r="E371" s="17">
        <f t="shared" si="249"/>
        <v>8.901616251564573E-2</v>
      </c>
      <c r="F371" s="17">
        <f t="shared" si="249"/>
        <v>8.8444286495630325E-2</v>
      </c>
      <c r="G371" s="17">
        <f t="shared" si="249"/>
        <v>8.7890895058212848E-2</v>
      </c>
      <c r="H371" s="17">
        <f t="shared" si="249"/>
        <v>8.7041730637840334E-2</v>
      </c>
      <c r="I371" s="17">
        <f t="shared" si="249"/>
        <v>8.6223274930993923E-2</v>
      </c>
      <c r="J371" s="17">
        <f t="shared" si="249"/>
        <v>8.5433891723785516E-2</v>
      </c>
      <c r="K371" s="17">
        <f t="shared" si="249"/>
        <v>8.467205901430068E-2</v>
      </c>
      <c r="L371" s="17">
        <f t="shared" si="249"/>
        <v>8.3936359218152845E-2</v>
      </c>
      <c r="M371" s="17">
        <f t="shared" si="249"/>
        <v>8.3211875161620152E-2</v>
      </c>
      <c r="N371" s="17">
        <f t="shared" si="249"/>
        <v>8.2498324784296639E-2</v>
      </c>
      <c r="O371" s="17">
        <f t="shared" si="249"/>
        <v>8.1795847471408112E-2</v>
      </c>
      <c r="P371" s="17">
        <f t="shared" si="249"/>
        <v>8.1104156887729484E-2</v>
      </c>
      <c r="Q371" s="17">
        <f t="shared" si="249"/>
        <v>8.0422966297007265E-2</v>
      </c>
      <c r="R371" s="17">
        <f t="shared" si="249"/>
        <v>7.9751989022224121E-2</v>
      </c>
      <c r="S371" s="17">
        <f t="shared" si="249"/>
        <v>7.9090938885782447E-2</v>
      </c>
      <c r="T371" s="17">
        <f t="shared" si="249"/>
        <v>7.84395306295919E-2</v>
      </c>
      <c r="U371" s="17">
        <f t="shared" si="249"/>
        <v>7.7797480315126288E-2</v>
      </c>
      <c r="V371" s="17">
        <f t="shared" si="249"/>
        <v>7.7164505703586406E-2</v>
      </c>
    </row>
    <row r="372" spans="2:22">
      <c r="B372" s="307" t="s">
        <v>313</v>
      </c>
      <c r="C372" s="17">
        <f>C368/(SUM(C367:C369))</f>
        <v>0.3193527480003327</v>
      </c>
      <c r="D372" s="17">
        <f t="shared" ref="D372:V372" si="250">D368/(SUM(D367:D369))</f>
        <v>0.31985588837394519</v>
      </c>
      <c r="E372" s="17">
        <f t="shared" si="250"/>
        <v>0.32034222266931794</v>
      </c>
      <c r="F372" s="17">
        <f t="shared" si="250"/>
        <v>0.32081257909846222</v>
      </c>
      <c r="G372" s="17">
        <f t="shared" si="250"/>
        <v>0.32126773233327643</v>
      </c>
      <c r="H372" s="17">
        <f t="shared" si="250"/>
        <v>0.32169792764532112</v>
      </c>
      <c r="I372" s="17">
        <f t="shared" si="250"/>
        <v>0.3221125656114846</v>
      </c>
      <c r="J372" s="17">
        <f t="shared" si="250"/>
        <v>0.32251247515432546</v>
      </c>
      <c r="K372" s="17">
        <f t="shared" si="250"/>
        <v>0.32289842733545771</v>
      </c>
      <c r="L372" s="17">
        <f t="shared" si="250"/>
        <v>0.32327114031751619</v>
      </c>
      <c r="M372" s="17">
        <f t="shared" si="250"/>
        <v>0.32375210923115461</v>
      </c>
      <c r="N372" s="17">
        <f t="shared" si="250"/>
        <v>0.32434045419998386</v>
      </c>
      <c r="O372" s="17">
        <f t="shared" si="250"/>
        <v>0.32503955129903134</v>
      </c>
      <c r="P372" s="17">
        <f t="shared" si="250"/>
        <v>0.32584845223171893</v>
      </c>
      <c r="Q372" s="17">
        <f t="shared" si="250"/>
        <v>0.32676616110695111</v>
      </c>
      <c r="R372" s="17">
        <f t="shared" si="250"/>
        <v>0.32779163689237134</v>
      </c>
      <c r="S372" s="17">
        <f t="shared" si="250"/>
        <v>0.32892379577590836</v>
      </c>
      <c r="T372" s="17">
        <f t="shared" si="250"/>
        <v>0.33016151343397104</v>
      </c>
      <c r="U372" s="17">
        <f t="shared" si="250"/>
        <v>0.3315036272053129</v>
      </c>
      <c r="V372" s="17">
        <f t="shared" si="250"/>
        <v>0.33294893817021282</v>
      </c>
    </row>
    <row r="373" spans="2:22">
      <c r="B373" s="307" t="s">
        <v>315</v>
      </c>
      <c r="C373" s="17">
        <f>C369/(SUM(C367:C369))</f>
        <v>0.59042805110600927</v>
      </c>
      <c r="D373" s="17">
        <f t="shared" ref="D373:V373" si="251">D369/(SUM(D367:D369))</f>
        <v>0.59053664663424055</v>
      </c>
      <c r="E373" s="17">
        <f t="shared" si="251"/>
        <v>0.59064161481503641</v>
      </c>
      <c r="F373" s="17">
        <f t="shared" si="251"/>
        <v>0.59074313440590753</v>
      </c>
      <c r="G373" s="17">
        <f t="shared" si="251"/>
        <v>0.59084137260851077</v>
      </c>
      <c r="H373" s="17">
        <f t="shared" si="251"/>
        <v>0.5912603417168385</v>
      </c>
      <c r="I373" s="17">
        <f t="shared" si="251"/>
        <v>0.59166415945752149</v>
      </c>
      <c r="J373" s="17">
        <f t="shared" si="251"/>
        <v>0.59205363312188897</v>
      </c>
      <c r="K373" s="17">
        <f t="shared" si="251"/>
        <v>0.59242951365024166</v>
      </c>
      <c r="L373" s="17">
        <f t="shared" si="251"/>
        <v>0.59279250046433085</v>
      </c>
      <c r="M373" s="17">
        <f t="shared" si="251"/>
        <v>0.5930360156072253</v>
      </c>
      <c r="N373" s="17">
        <f t="shared" si="251"/>
        <v>0.59316122101571933</v>
      </c>
      <c r="O373" s="17">
        <f t="shared" si="251"/>
        <v>0.5931646012295605</v>
      </c>
      <c r="P373" s="17">
        <f t="shared" si="251"/>
        <v>0.59304739088055147</v>
      </c>
      <c r="Q373" s="17">
        <f t="shared" si="251"/>
        <v>0.59281087259604159</v>
      </c>
      <c r="R373" s="17">
        <f t="shared" si="251"/>
        <v>0.59245637408540452</v>
      </c>
      <c r="S373" s="17">
        <f t="shared" si="251"/>
        <v>0.5919852653383092</v>
      </c>
      <c r="T373" s="17">
        <f t="shared" si="251"/>
        <v>0.59139895593643721</v>
      </c>
      <c r="U373" s="17">
        <f t="shared" si="251"/>
        <v>0.59069889247956076</v>
      </c>
      <c r="V373" s="17">
        <f t="shared" si="251"/>
        <v>0.58988655612620078</v>
      </c>
    </row>
    <row r="374" spans="2:22">
      <c r="B374" s="40"/>
    </row>
    <row r="375" spans="2:22">
      <c r="B375" s="3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Z125"/>
  <sheetViews>
    <sheetView showGridLines="0" zoomScale="75" zoomScaleNormal="75" zoomScalePageLayoutView="75" workbookViewId="0">
      <pane ySplit="13" topLeftCell="A14" activePane="bottomLeft" state="frozen"/>
      <selection pane="bottomLeft" activeCell="A14" sqref="A14"/>
    </sheetView>
  </sheetViews>
  <sheetFormatPr defaultColWidth="8.85546875" defaultRowHeight="15" outlineLevelRow="1" outlineLevelCol="1"/>
  <cols>
    <col min="1" max="1" width="4.7109375" style="165" customWidth="1"/>
    <col min="2" max="2" width="40" style="13" bestFit="1" customWidth="1"/>
    <col min="3" max="11" width="16.42578125" style="13" hidden="1" customWidth="1" outlineLevel="1"/>
    <col min="12" max="12" width="16.42578125" style="13" bestFit="1" customWidth="1" collapsed="1"/>
    <col min="13" max="25" width="16.42578125" style="13" bestFit="1" customWidth="1"/>
    <col min="26" max="16384" width="8.85546875" style="13"/>
  </cols>
  <sheetData>
    <row r="1" spans="1:25" s="165" customFormat="1"/>
    <row r="2" spans="1:25" s="165" customFormat="1" ht="19.5" thickBot="1">
      <c r="B2" s="354" t="s">
        <v>222</v>
      </c>
    </row>
    <row r="3" spans="1:25" ht="15.75" thickBot="1">
      <c r="B3" s="324" t="s">
        <v>70</v>
      </c>
      <c r="C3" s="32">
        <v>2008</v>
      </c>
      <c r="D3" s="32">
        <f t="shared" ref="D3:Y3" si="0">C3+1</f>
        <v>2009</v>
      </c>
      <c r="E3" s="32">
        <f t="shared" si="0"/>
        <v>2010</v>
      </c>
      <c r="F3" s="32">
        <f t="shared" si="0"/>
        <v>2011</v>
      </c>
      <c r="G3" s="32">
        <f t="shared" si="0"/>
        <v>2012</v>
      </c>
      <c r="H3" s="32">
        <f t="shared" si="0"/>
        <v>2013</v>
      </c>
      <c r="I3" s="32">
        <f t="shared" si="0"/>
        <v>2014</v>
      </c>
      <c r="J3" s="32">
        <f t="shared" si="0"/>
        <v>2015</v>
      </c>
      <c r="K3" s="32">
        <f t="shared" si="0"/>
        <v>2016</v>
      </c>
      <c r="L3" s="32">
        <f t="shared" si="0"/>
        <v>2017</v>
      </c>
      <c r="M3" s="32">
        <f t="shared" si="0"/>
        <v>2018</v>
      </c>
      <c r="N3" s="32">
        <f t="shared" si="0"/>
        <v>2019</v>
      </c>
      <c r="O3" s="32">
        <f t="shared" si="0"/>
        <v>2020</v>
      </c>
      <c r="P3" s="32">
        <f t="shared" si="0"/>
        <v>2021</v>
      </c>
      <c r="Q3" s="32">
        <f t="shared" si="0"/>
        <v>2022</v>
      </c>
      <c r="R3" s="32">
        <f t="shared" si="0"/>
        <v>2023</v>
      </c>
      <c r="S3" s="32">
        <f t="shared" si="0"/>
        <v>2024</v>
      </c>
      <c r="T3" s="32">
        <f t="shared" si="0"/>
        <v>2025</v>
      </c>
      <c r="U3" s="32">
        <f t="shared" si="0"/>
        <v>2026</v>
      </c>
      <c r="V3" s="32">
        <f t="shared" si="0"/>
        <v>2027</v>
      </c>
      <c r="W3" s="32">
        <f t="shared" si="0"/>
        <v>2028</v>
      </c>
      <c r="X3" s="32">
        <f t="shared" si="0"/>
        <v>2029</v>
      </c>
      <c r="Y3" s="31">
        <f t="shared" si="0"/>
        <v>2030</v>
      </c>
    </row>
    <row r="4" spans="1:25" s="30" customFormat="1">
      <c r="B4" s="38" t="s">
        <v>69</v>
      </c>
      <c r="C4" s="37">
        <f t="shared" ref="C4:Y4" si="1">C30</f>
        <v>0</v>
      </c>
      <c r="D4" s="37">
        <f t="shared" si="1"/>
        <v>0</v>
      </c>
      <c r="E4" s="37">
        <f t="shared" si="1"/>
        <v>0</v>
      </c>
      <c r="F4" s="37">
        <f t="shared" si="1"/>
        <v>0</v>
      </c>
      <c r="G4" s="37">
        <f t="shared" si="1"/>
        <v>0</v>
      </c>
      <c r="H4" s="37">
        <f t="shared" si="1"/>
        <v>0</v>
      </c>
      <c r="I4" s="37">
        <f t="shared" si="1"/>
        <v>0</v>
      </c>
      <c r="J4" s="37">
        <f t="shared" si="1"/>
        <v>0</v>
      </c>
      <c r="K4" s="37">
        <f t="shared" si="1"/>
        <v>0</v>
      </c>
      <c r="L4" s="37">
        <f t="shared" si="1"/>
        <v>0</v>
      </c>
      <c r="M4" s="37">
        <f t="shared" si="1"/>
        <v>0</v>
      </c>
      <c r="N4" s="37">
        <f t="shared" si="1"/>
        <v>12708125.334643751</v>
      </c>
      <c r="O4" s="37">
        <f t="shared" si="1"/>
        <v>29817305.529498901</v>
      </c>
      <c r="P4" s="37">
        <f t="shared" si="1"/>
        <v>65259514.550993443</v>
      </c>
      <c r="Q4" s="37">
        <f t="shared" si="1"/>
        <v>101694517.18061073</v>
      </c>
      <c r="R4" s="37">
        <f t="shared" si="1"/>
        <v>127297205.09688917</v>
      </c>
      <c r="S4" s="37">
        <f t="shared" si="1"/>
        <v>132773924.56285352</v>
      </c>
      <c r="T4" s="37">
        <f t="shared" si="1"/>
        <v>138471849.79367012</v>
      </c>
      <c r="U4" s="37">
        <f t="shared" si="1"/>
        <v>144399563.92928201</v>
      </c>
      <c r="V4" s="37">
        <f t="shared" si="1"/>
        <v>149075221.80931216</v>
      </c>
      <c r="W4" s="37">
        <f t="shared" si="1"/>
        <v>153902277.4914977</v>
      </c>
      <c r="X4" s="37">
        <f t="shared" si="1"/>
        <v>158885633.23667237</v>
      </c>
      <c r="Y4" s="37">
        <f t="shared" si="1"/>
        <v>164030350.04087582</v>
      </c>
    </row>
    <row r="5" spans="1:25" s="30" customFormat="1">
      <c r="B5" s="38" t="s">
        <v>50</v>
      </c>
      <c r="C5" s="35"/>
      <c r="D5" s="35"/>
      <c r="E5" s="35"/>
      <c r="F5" s="35"/>
      <c r="G5" s="35"/>
      <c r="H5" s="35"/>
      <c r="I5" s="35"/>
      <c r="J5" s="35"/>
      <c r="K5" s="35"/>
      <c r="L5" s="37">
        <f>L61</f>
        <v>0</v>
      </c>
      <c r="M5" s="37">
        <f t="shared" ref="M5:Y5" si="2">M61</f>
        <v>0</v>
      </c>
      <c r="N5" s="37">
        <f t="shared" si="2"/>
        <v>1544407.0893925789</v>
      </c>
      <c r="O5" s="37">
        <f t="shared" si="2"/>
        <v>4221791.2195635531</v>
      </c>
      <c r="P5" s="37">
        <f t="shared" si="2"/>
        <v>7032607.0411587236</v>
      </c>
      <c r="Q5" s="37">
        <f t="shared" si="2"/>
        <v>9704591.9894697387</v>
      </c>
      <c r="R5" s="37">
        <f t="shared" si="2"/>
        <v>11937812.698086511</v>
      </c>
      <c r="S5" s="37">
        <f t="shared" si="2"/>
        <v>14568394.996200575</v>
      </c>
      <c r="T5" s="37">
        <f t="shared" si="2"/>
        <v>17024830.350089941</v>
      </c>
      <c r="U5" s="37">
        <f t="shared" si="2"/>
        <v>19901578.657403819</v>
      </c>
      <c r="V5" s="37">
        <f t="shared" si="2"/>
        <v>22598150.712042075</v>
      </c>
      <c r="W5" s="37">
        <f t="shared" si="2"/>
        <v>25739293.661015924</v>
      </c>
      <c r="X5" s="37">
        <f t="shared" si="2"/>
        <v>28034434.302651633</v>
      </c>
      <c r="Y5" s="37">
        <f t="shared" si="2"/>
        <v>29414289.159028143</v>
      </c>
    </row>
    <row r="6" spans="1:25" s="30" customFormat="1">
      <c r="B6" s="38" t="s">
        <v>48</v>
      </c>
      <c r="C6" s="35"/>
      <c r="D6" s="35"/>
      <c r="E6" s="35"/>
      <c r="F6" s="35"/>
      <c r="G6" s="35"/>
      <c r="H6" s="35"/>
      <c r="I6" s="35"/>
      <c r="J6" s="35"/>
      <c r="K6" s="35"/>
      <c r="L6" s="37">
        <f>L71</f>
        <v>0</v>
      </c>
      <c r="M6" s="37">
        <f t="shared" ref="M6:Y6" si="3">M71</f>
        <v>0</v>
      </c>
      <c r="N6" s="37">
        <f t="shared" si="3"/>
        <v>3895165.9038495682</v>
      </c>
      <c r="O6" s="37">
        <f t="shared" si="3"/>
        <v>10575780.526205577</v>
      </c>
      <c r="P6" s="37">
        <f t="shared" si="3"/>
        <v>17497803.380985811</v>
      </c>
      <c r="Q6" s="37">
        <f t="shared" si="3"/>
        <v>23982583.532920431</v>
      </c>
      <c r="R6" s="37">
        <f t="shared" si="3"/>
        <v>29301843.816254873</v>
      </c>
      <c r="S6" s="37">
        <f t="shared" si="3"/>
        <v>35516764.889682531</v>
      </c>
      <c r="T6" s="37">
        <f t="shared" si="3"/>
        <v>41224556.204138152</v>
      </c>
      <c r="U6" s="37">
        <f t="shared" si="3"/>
        <v>47864356.803455405</v>
      </c>
      <c r="V6" s="37">
        <f t="shared" si="3"/>
        <v>53982016.593710795</v>
      </c>
      <c r="W6" s="37">
        <f t="shared" si="3"/>
        <v>61069495.4923544</v>
      </c>
      <c r="X6" s="37">
        <f t="shared" si="3"/>
        <v>66064934.421507373</v>
      </c>
      <c r="Y6" s="37">
        <f t="shared" si="3"/>
        <v>68847642.311288804</v>
      </c>
    </row>
    <row r="7" spans="1:25" s="30" customFormat="1">
      <c r="B7" s="38" t="s">
        <v>46</v>
      </c>
      <c r="C7" s="35"/>
      <c r="D7" s="35"/>
      <c r="E7" s="35"/>
      <c r="F7" s="35"/>
      <c r="G7" s="35"/>
      <c r="H7" s="35"/>
      <c r="I7" s="35"/>
      <c r="J7" s="35"/>
      <c r="K7" s="35"/>
      <c r="L7" s="37">
        <f>L81</f>
        <v>0</v>
      </c>
      <c r="M7" s="37">
        <f t="shared" ref="M7:Y7" si="4">M81</f>
        <v>0</v>
      </c>
      <c r="N7" s="37">
        <f t="shared" si="4"/>
        <v>14476614.726671515</v>
      </c>
      <c r="O7" s="37">
        <f t="shared" si="4"/>
        <v>41469247.294351965</v>
      </c>
      <c r="P7" s="37">
        <f t="shared" si="4"/>
        <v>78790266.540068045</v>
      </c>
      <c r="Q7" s="37">
        <f t="shared" si="4"/>
        <v>108509652.03949499</v>
      </c>
      <c r="R7" s="37">
        <f t="shared" si="4"/>
        <v>133214261.53863089</v>
      </c>
      <c r="S7" s="37">
        <f t="shared" si="4"/>
        <v>162245455.2496568</v>
      </c>
      <c r="T7" s="37">
        <f t="shared" si="4"/>
        <v>189224992.41039383</v>
      </c>
      <c r="U7" s="37">
        <f t="shared" si="4"/>
        <v>220758839.43507957</v>
      </c>
      <c r="V7" s="37">
        <f t="shared" si="4"/>
        <v>250171796.24025506</v>
      </c>
      <c r="W7" s="37">
        <f t="shared" si="4"/>
        <v>284378619.84617257</v>
      </c>
      <c r="X7" s="37">
        <f t="shared" si="4"/>
        <v>309119915.24606436</v>
      </c>
      <c r="Y7" s="37">
        <f t="shared" si="4"/>
        <v>323689355.09144181</v>
      </c>
    </row>
    <row r="8" spans="1:25" s="30" customFormat="1">
      <c r="B8" s="38" t="s">
        <v>44</v>
      </c>
      <c r="C8" s="35"/>
      <c r="D8" s="35"/>
      <c r="E8" s="35"/>
      <c r="F8" s="35"/>
      <c r="G8" s="35"/>
      <c r="H8" s="35"/>
      <c r="I8" s="35"/>
      <c r="J8" s="35"/>
      <c r="K8" s="35"/>
      <c r="L8" s="37">
        <f>L91</f>
        <v>0</v>
      </c>
      <c r="M8" s="37">
        <f t="shared" ref="M8:Y8" si="5">M91</f>
        <v>0</v>
      </c>
      <c r="N8" s="37">
        <f t="shared" si="5"/>
        <v>309856.60270948539</v>
      </c>
      <c r="O8" s="37">
        <f t="shared" si="5"/>
        <v>848962.47207319981</v>
      </c>
      <c r="P8" s="37">
        <f t="shared" si="5"/>
        <v>1417427.5311327965</v>
      </c>
      <c r="Q8" s="37">
        <f t="shared" si="5"/>
        <v>1960444.563474206</v>
      </c>
      <c r="R8" s="37">
        <f t="shared" si="5"/>
        <v>2417101.1099559828</v>
      </c>
      <c r="S8" s="37">
        <f t="shared" si="5"/>
        <v>2956477.2226426606</v>
      </c>
      <c r="T8" s="37">
        <f t="shared" si="5"/>
        <v>3462887.5940046553</v>
      </c>
      <c r="U8" s="37">
        <f t="shared" si="5"/>
        <v>4057288.6043707198</v>
      </c>
      <c r="V8" s="37">
        <f t="shared" si="5"/>
        <v>4617575.9417423392</v>
      </c>
      <c r="W8" s="37">
        <f t="shared" si="5"/>
        <v>5271455.4789326666</v>
      </c>
      <c r="X8" s="37">
        <f t="shared" si="5"/>
        <v>5754644.3363829181</v>
      </c>
      <c r="Y8" s="37">
        <f t="shared" si="5"/>
        <v>6051705.9826002074</v>
      </c>
    </row>
    <row r="9" spans="1:25" s="30" customFormat="1">
      <c r="B9" s="38" t="s">
        <v>68</v>
      </c>
      <c r="C9" s="35"/>
      <c r="D9" s="35"/>
      <c r="E9" s="35"/>
      <c r="F9" s="35"/>
      <c r="G9" s="35"/>
      <c r="H9" s="35"/>
      <c r="I9" s="35"/>
      <c r="J9" s="35"/>
      <c r="K9" s="35"/>
      <c r="L9" s="37">
        <f>L101</f>
        <v>0</v>
      </c>
      <c r="M9" s="37">
        <f t="shared" ref="M9:Y9" si="6">M101</f>
        <v>0</v>
      </c>
      <c r="N9" s="37">
        <f t="shared" si="6"/>
        <v>2533263.2784530413</v>
      </c>
      <c r="O9" s="37">
        <f t="shared" si="6"/>
        <v>6945599.9263314111</v>
      </c>
      <c r="P9" s="37">
        <f t="shared" si="6"/>
        <v>11604430.532917468</v>
      </c>
      <c r="Q9" s="37">
        <f t="shared" si="6"/>
        <v>16061245.976359803</v>
      </c>
      <c r="R9" s="37">
        <f t="shared" si="6"/>
        <v>19816236.795664914</v>
      </c>
      <c r="S9" s="37">
        <f t="shared" si="6"/>
        <v>24255073.837893855</v>
      </c>
      <c r="T9" s="37">
        <f t="shared" si="6"/>
        <v>28429430.257572606</v>
      </c>
      <c r="U9" s="37">
        <f t="shared" si="6"/>
        <v>33332459.576941762</v>
      </c>
      <c r="V9" s="37">
        <f t="shared" si="6"/>
        <v>37961835.661249965</v>
      </c>
      <c r="W9" s="37">
        <f t="shared" si="6"/>
        <v>43367601.059411965</v>
      </c>
      <c r="X9" s="37">
        <f t="shared" si="6"/>
        <v>47375634.749322802</v>
      </c>
      <c r="Y9" s="37">
        <f t="shared" si="6"/>
        <v>49855843.979719356</v>
      </c>
    </row>
    <row r="10" spans="1:25" s="30" customFormat="1">
      <c r="B10" s="38" t="s">
        <v>40</v>
      </c>
      <c r="C10" s="35"/>
      <c r="D10" s="35"/>
      <c r="E10" s="35"/>
      <c r="F10" s="35"/>
      <c r="G10" s="35"/>
      <c r="H10" s="35"/>
      <c r="I10" s="35"/>
      <c r="J10" s="35"/>
      <c r="K10" s="35"/>
      <c r="L10" s="37">
        <f>L111</f>
        <v>0</v>
      </c>
      <c r="M10" s="37">
        <f t="shared" ref="M10:Y10" si="7">M111</f>
        <v>0</v>
      </c>
      <c r="N10" s="37">
        <f t="shared" si="7"/>
        <v>7205179.3699887414</v>
      </c>
      <c r="O10" s="37">
        <f t="shared" si="7"/>
        <v>19175384.029996701</v>
      </c>
      <c r="P10" s="37">
        <f t="shared" si="7"/>
        <v>31097679.050647147</v>
      </c>
      <c r="Q10" s="37">
        <f t="shared" si="7"/>
        <v>41778535.739965573</v>
      </c>
      <c r="R10" s="37">
        <f t="shared" si="7"/>
        <v>50033974.402182765</v>
      </c>
      <c r="S10" s="37">
        <f t="shared" si="7"/>
        <v>59445126.730212383</v>
      </c>
      <c r="T10" s="37">
        <f t="shared" si="7"/>
        <v>67631909.583497226</v>
      </c>
      <c r="U10" s="37">
        <f t="shared" si="7"/>
        <v>76969859.204937994</v>
      </c>
      <c r="V10" s="37">
        <f t="shared" si="7"/>
        <v>85088403.123538837</v>
      </c>
      <c r="W10" s="37">
        <f t="shared" si="7"/>
        <v>94353584.796990842</v>
      </c>
      <c r="X10" s="37">
        <f t="shared" si="7"/>
        <v>100050182.47910915</v>
      </c>
      <c r="Y10" s="37">
        <f t="shared" si="7"/>
        <v>102199495.81095451</v>
      </c>
    </row>
    <row r="11" spans="1:25" s="30" customFormat="1" ht="15.75" thickBot="1">
      <c r="B11" s="36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 ht="15.75" thickBot="1">
      <c r="B12" s="352" t="s">
        <v>67</v>
      </c>
      <c r="C12" s="353"/>
      <c r="D12" s="353"/>
      <c r="E12" s="353"/>
      <c r="F12" s="353"/>
      <c r="G12" s="353"/>
      <c r="H12" s="353"/>
      <c r="I12" s="353"/>
      <c r="J12" s="353"/>
      <c r="K12" s="353"/>
      <c r="L12" s="350">
        <f t="shared" ref="L12:Y12" si="8">SUM(L4:L10)</f>
        <v>0</v>
      </c>
      <c r="M12" s="350">
        <f t="shared" si="8"/>
        <v>0</v>
      </c>
      <c r="N12" s="350">
        <f t="shared" si="8"/>
        <v>42672612.305708684</v>
      </c>
      <c r="O12" s="350">
        <f t="shared" si="8"/>
        <v>113054070.9980213</v>
      </c>
      <c r="P12" s="350">
        <f t="shared" si="8"/>
        <v>212699728.6279034</v>
      </c>
      <c r="Q12" s="350">
        <f t="shared" si="8"/>
        <v>303691571.02229548</v>
      </c>
      <c r="R12" s="350">
        <f t="shared" si="8"/>
        <v>374018435.45766509</v>
      </c>
      <c r="S12" s="350">
        <f t="shared" si="8"/>
        <v>431761217.4891423</v>
      </c>
      <c r="T12" s="350">
        <f t="shared" si="8"/>
        <v>485470456.19336653</v>
      </c>
      <c r="U12" s="350">
        <f t="shared" si="8"/>
        <v>547283946.21147132</v>
      </c>
      <c r="V12" s="350">
        <f t="shared" si="8"/>
        <v>603495000.08185124</v>
      </c>
      <c r="W12" s="350">
        <f t="shared" si="8"/>
        <v>668082327.82637608</v>
      </c>
      <c r="X12" s="350">
        <f t="shared" si="8"/>
        <v>715285378.77171063</v>
      </c>
      <c r="Y12" s="351">
        <f t="shared" si="8"/>
        <v>744088682.37590861</v>
      </c>
    </row>
    <row r="13" spans="1:25" s="30" customFormat="1" ht="15.75" thickBot="1">
      <c r="B13" s="33"/>
      <c r="C13" s="32">
        <v>2008</v>
      </c>
      <c r="D13" s="32">
        <f t="shared" ref="D13:Y13" si="9">C13+1</f>
        <v>2009</v>
      </c>
      <c r="E13" s="32">
        <f t="shared" si="9"/>
        <v>2010</v>
      </c>
      <c r="F13" s="32">
        <f t="shared" si="9"/>
        <v>2011</v>
      </c>
      <c r="G13" s="32">
        <f t="shared" si="9"/>
        <v>2012</v>
      </c>
      <c r="H13" s="32">
        <f t="shared" si="9"/>
        <v>2013</v>
      </c>
      <c r="I13" s="32">
        <f t="shared" si="9"/>
        <v>2014</v>
      </c>
      <c r="J13" s="32">
        <f t="shared" si="9"/>
        <v>2015</v>
      </c>
      <c r="K13" s="32">
        <f t="shared" si="9"/>
        <v>2016</v>
      </c>
      <c r="L13" s="32">
        <f t="shared" si="9"/>
        <v>2017</v>
      </c>
      <c r="M13" s="32">
        <f t="shared" si="9"/>
        <v>2018</v>
      </c>
      <c r="N13" s="32">
        <f t="shared" si="9"/>
        <v>2019</v>
      </c>
      <c r="O13" s="32">
        <f t="shared" si="9"/>
        <v>2020</v>
      </c>
      <c r="P13" s="32">
        <f t="shared" si="9"/>
        <v>2021</v>
      </c>
      <c r="Q13" s="32">
        <f t="shared" si="9"/>
        <v>2022</v>
      </c>
      <c r="R13" s="32">
        <f t="shared" si="9"/>
        <v>2023</v>
      </c>
      <c r="S13" s="32">
        <f t="shared" si="9"/>
        <v>2024</v>
      </c>
      <c r="T13" s="32">
        <f t="shared" si="9"/>
        <v>2025</v>
      </c>
      <c r="U13" s="32">
        <f t="shared" si="9"/>
        <v>2026</v>
      </c>
      <c r="V13" s="32">
        <f t="shared" si="9"/>
        <v>2027</v>
      </c>
      <c r="W13" s="32">
        <f t="shared" si="9"/>
        <v>2028</v>
      </c>
      <c r="X13" s="32">
        <f t="shared" si="9"/>
        <v>2029</v>
      </c>
      <c r="Y13" s="31">
        <f t="shared" si="9"/>
        <v>2030</v>
      </c>
    </row>
    <row r="14" spans="1:25">
      <c r="B14" s="330" t="s">
        <v>66</v>
      </c>
      <c r="C14" s="29">
        <v>304059724</v>
      </c>
      <c r="D14" s="29">
        <v>307006550</v>
      </c>
      <c r="E14" s="29">
        <v>308745538</v>
      </c>
      <c r="F14" s="29">
        <v>311591919</v>
      </c>
      <c r="G14" s="29">
        <v>313914040</v>
      </c>
      <c r="H14" s="29">
        <f t="shared" ref="H14:Y14" si="10">G14*1.0072</f>
        <v>316174221.08800006</v>
      </c>
      <c r="I14" s="29">
        <f t="shared" si="10"/>
        <v>318450675.47983366</v>
      </c>
      <c r="J14" s="29">
        <f t="shared" si="10"/>
        <v>320743520.34328848</v>
      </c>
      <c r="K14" s="29">
        <f t="shared" si="10"/>
        <v>323052873.68976021</v>
      </c>
      <c r="L14" s="29">
        <f t="shared" si="10"/>
        <v>325378854.38032651</v>
      </c>
      <c r="M14" s="29">
        <f t="shared" si="10"/>
        <v>327721582.13186491</v>
      </c>
      <c r="N14" s="29">
        <f t="shared" si="10"/>
        <v>330081177.52321434</v>
      </c>
      <c r="O14" s="29">
        <f t="shared" si="10"/>
        <v>332457762.00138152</v>
      </c>
      <c r="P14" s="29">
        <f t="shared" si="10"/>
        <v>334851457.88779151</v>
      </c>
      <c r="Q14" s="29">
        <f t="shared" si="10"/>
        <v>337262388.38458365</v>
      </c>
      <c r="R14" s="29">
        <f t="shared" si="10"/>
        <v>339690677.5809527</v>
      </c>
      <c r="S14" s="29">
        <f t="shared" si="10"/>
        <v>342136450.4595356</v>
      </c>
      <c r="T14" s="29">
        <f t="shared" si="10"/>
        <v>344599832.90284431</v>
      </c>
      <c r="U14" s="29">
        <f t="shared" si="10"/>
        <v>347080951.69974482</v>
      </c>
      <c r="V14" s="29">
        <f t="shared" si="10"/>
        <v>349579934.551983</v>
      </c>
      <c r="W14" s="29">
        <f t="shared" si="10"/>
        <v>352096910.08075732</v>
      </c>
      <c r="X14" s="29">
        <f t="shared" si="10"/>
        <v>354632007.8333388</v>
      </c>
      <c r="Y14" s="29">
        <f t="shared" si="10"/>
        <v>357185358.28973889</v>
      </c>
    </row>
    <row r="15" spans="1:25">
      <c r="B15" s="112" t="s">
        <v>65</v>
      </c>
      <c r="C15" s="19">
        <f t="shared" ref="C15:Y15" si="11">C14*0.0007%</f>
        <v>2128.4180679999999</v>
      </c>
      <c r="D15" s="19">
        <f t="shared" si="11"/>
        <v>2149.04585</v>
      </c>
      <c r="E15" s="19">
        <f t="shared" si="11"/>
        <v>2161.218766</v>
      </c>
      <c r="F15" s="19">
        <f t="shared" si="11"/>
        <v>2181.1434330000002</v>
      </c>
      <c r="G15" s="19">
        <f t="shared" si="11"/>
        <v>2197.3982799999999</v>
      </c>
      <c r="H15" s="19">
        <f t="shared" si="11"/>
        <v>2213.2195476160005</v>
      </c>
      <c r="I15" s="19">
        <f t="shared" si="11"/>
        <v>2229.1547283588357</v>
      </c>
      <c r="J15" s="19">
        <f t="shared" si="11"/>
        <v>2245.2046424030195</v>
      </c>
      <c r="K15" s="19">
        <f t="shared" si="11"/>
        <v>2261.3701158283216</v>
      </c>
      <c r="L15" s="19">
        <f t="shared" si="11"/>
        <v>2277.6519806622855</v>
      </c>
      <c r="M15" s="19">
        <f t="shared" si="11"/>
        <v>2294.0510749230543</v>
      </c>
      <c r="N15" s="19">
        <f t="shared" si="11"/>
        <v>2310.5682426625003</v>
      </c>
      <c r="O15" s="19">
        <f t="shared" si="11"/>
        <v>2327.2043340096707</v>
      </c>
      <c r="P15" s="19">
        <f t="shared" si="11"/>
        <v>2343.9602052145406</v>
      </c>
      <c r="Q15" s="19">
        <f t="shared" si="11"/>
        <v>2360.8367186920855</v>
      </c>
      <c r="R15" s="19">
        <f t="shared" si="11"/>
        <v>2377.834743066669</v>
      </c>
      <c r="S15" s="19">
        <f t="shared" si="11"/>
        <v>2394.9551532167493</v>
      </c>
      <c r="T15" s="19">
        <f t="shared" si="11"/>
        <v>2412.19883031991</v>
      </c>
      <c r="U15" s="19">
        <f t="shared" si="11"/>
        <v>2429.5666618982136</v>
      </c>
      <c r="V15" s="19">
        <f t="shared" si="11"/>
        <v>2447.0595418638809</v>
      </c>
      <c r="W15" s="19">
        <f t="shared" si="11"/>
        <v>2464.6783705653011</v>
      </c>
      <c r="X15" s="19">
        <f t="shared" si="11"/>
        <v>2482.4240548333714</v>
      </c>
      <c r="Y15" s="19">
        <f t="shared" si="11"/>
        <v>2500.2975080281722</v>
      </c>
    </row>
    <row r="16" spans="1:25" s="18" customFormat="1">
      <c r="A16" s="81"/>
      <c r="B16" s="326" t="s">
        <v>39</v>
      </c>
      <c r="C16" s="28">
        <v>0.5</v>
      </c>
      <c r="D16" s="28">
        <v>0.5</v>
      </c>
      <c r="E16" s="28">
        <v>0.5</v>
      </c>
      <c r="F16" s="28">
        <v>0.5</v>
      </c>
      <c r="G16" s="28">
        <v>0.5</v>
      </c>
      <c r="H16" s="28">
        <v>0.5</v>
      </c>
      <c r="I16" s="28">
        <v>0.5</v>
      </c>
      <c r="J16" s="28">
        <v>0.5</v>
      </c>
      <c r="K16" s="28">
        <v>0.5</v>
      </c>
      <c r="L16" s="28">
        <v>0.5</v>
      </c>
      <c r="M16" s="28">
        <v>0.5</v>
      </c>
      <c r="N16" s="28">
        <v>0.5</v>
      </c>
      <c r="O16" s="28">
        <v>0.5</v>
      </c>
      <c r="P16" s="28">
        <v>0.5</v>
      </c>
      <c r="Q16" s="28">
        <v>0.5</v>
      </c>
      <c r="R16" s="28">
        <v>0.5</v>
      </c>
      <c r="S16" s="28">
        <v>0.5</v>
      </c>
      <c r="T16" s="28">
        <v>0.5</v>
      </c>
      <c r="U16" s="28">
        <v>0.5</v>
      </c>
      <c r="V16" s="28">
        <v>0.5</v>
      </c>
      <c r="W16" s="28">
        <v>0.5</v>
      </c>
      <c r="X16" s="28">
        <v>0.5</v>
      </c>
      <c r="Y16" s="28">
        <v>0.5</v>
      </c>
    </row>
    <row r="17" spans="1:25">
      <c r="B17" s="327" t="s">
        <v>322</v>
      </c>
      <c r="C17" s="5">
        <f t="shared" ref="C17:Y17" si="12">C15*C16</f>
        <v>1064.209034</v>
      </c>
      <c r="D17" s="5">
        <f t="shared" si="12"/>
        <v>1074.522925</v>
      </c>
      <c r="E17" s="5">
        <f t="shared" si="12"/>
        <v>1080.609383</v>
      </c>
      <c r="F17" s="5">
        <f t="shared" si="12"/>
        <v>1090.5717165000001</v>
      </c>
      <c r="G17" s="5">
        <f t="shared" si="12"/>
        <v>1098.6991399999999</v>
      </c>
      <c r="H17" s="5">
        <f t="shared" si="12"/>
        <v>1106.6097738080002</v>
      </c>
      <c r="I17" s="5">
        <f t="shared" si="12"/>
        <v>1114.5773641794178</v>
      </c>
      <c r="J17" s="5">
        <f t="shared" si="12"/>
        <v>1122.6023212015098</v>
      </c>
      <c r="K17" s="5">
        <f t="shared" si="12"/>
        <v>1130.6850579141608</v>
      </c>
      <c r="L17" s="5">
        <f t="shared" si="12"/>
        <v>1138.8259903311427</v>
      </c>
      <c r="M17" s="5">
        <f t="shared" si="12"/>
        <v>1147.0255374615272</v>
      </c>
      <c r="N17" s="5">
        <f t="shared" si="12"/>
        <v>1155.2841213312502</v>
      </c>
      <c r="O17" s="5">
        <f t="shared" si="12"/>
        <v>1163.6021670048353</v>
      </c>
      <c r="P17" s="5">
        <f t="shared" si="12"/>
        <v>1171.9801026072703</v>
      </c>
      <c r="Q17" s="5">
        <f t="shared" si="12"/>
        <v>1180.4183593460427</v>
      </c>
      <c r="R17" s="5">
        <f t="shared" si="12"/>
        <v>1188.9173715333345</v>
      </c>
      <c r="S17" s="5">
        <f t="shared" si="12"/>
        <v>1197.4775766083746</v>
      </c>
      <c r="T17" s="5">
        <f t="shared" si="12"/>
        <v>1206.099415159955</v>
      </c>
      <c r="U17" s="5">
        <f t="shared" si="12"/>
        <v>1214.7833309491068</v>
      </c>
      <c r="V17" s="5">
        <f t="shared" si="12"/>
        <v>1223.5297709319404</v>
      </c>
      <c r="W17" s="5">
        <f t="shared" si="12"/>
        <v>1232.3391852826505</v>
      </c>
      <c r="X17" s="5">
        <f t="shared" si="12"/>
        <v>1241.2120274166857</v>
      </c>
      <c r="Y17" s="5">
        <f t="shared" si="12"/>
        <v>1250.1487540140861</v>
      </c>
    </row>
    <row r="18" spans="1:25">
      <c r="B18" s="327" t="s">
        <v>38</v>
      </c>
      <c r="C18" s="5">
        <f t="shared" ref="C18:Y18" si="13">C15-C17</f>
        <v>1064.209034</v>
      </c>
      <c r="D18" s="5">
        <f t="shared" si="13"/>
        <v>1074.522925</v>
      </c>
      <c r="E18" s="5">
        <f t="shared" si="13"/>
        <v>1080.609383</v>
      </c>
      <c r="F18" s="5">
        <f t="shared" si="13"/>
        <v>1090.5717165000001</v>
      </c>
      <c r="G18" s="5">
        <f t="shared" si="13"/>
        <v>1098.6991399999999</v>
      </c>
      <c r="H18" s="5">
        <f t="shared" si="13"/>
        <v>1106.6097738080002</v>
      </c>
      <c r="I18" s="5">
        <f t="shared" si="13"/>
        <v>1114.5773641794178</v>
      </c>
      <c r="J18" s="5">
        <f t="shared" si="13"/>
        <v>1122.6023212015098</v>
      </c>
      <c r="K18" s="5">
        <f t="shared" si="13"/>
        <v>1130.6850579141608</v>
      </c>
      <c r="L18" s="5">
        <f t="shared" si="13"/>
        <v>1138.8259903311427</v>
      </c>
      <c r="M18" s="5">
        <f t="shared" si="13"/>
        <v>1147.0255374615272</v>
      </c>
      <c r="N18" s="5">
        <f t="shared" si="13"/>
        <v>1155.2841213312502</v>
      </c>
      <c r="O18" s="5">
        <f t="shared" si="13"/>
        <v>1163.6021670048353</v>
      </c>
      <c r="P18" s="5">
        <f t="shared" si="13"/>
        <v>1171.9801026072703</v>
      </c>
      <c r="Q18" s="5">
        <f t="shared" si="13"/>
        <v>1180.4183593460427</v>
      </c>
      <c r="R18" s="5">
        <f t="shared" si="13"/>
        <v>1188.9173715333345</v>
      </c>
      <c r="S18" s="5">
        <f t="shared" si="13"/>
        <v>1197.4775766083746</v>
      </c>
      <c r="T18" s="5">
        <f t="shared" si="13"/>
        <v>1206.099415159955</v>
      </c>
      <c r="U18" s="5">
        <f t="shared" si="13"/>
        <v>1214.7833309491068</v>
      </c>
      <c r="V18" s="5">
        <f t="shared" si="13"/>
        <v>1223.5297709319404</v>
      </c>
      <c r="W18" s="5">
        <f t="shared" si="13"/>
        <v>1232.3391852826505</v>
      </c>
      <c r="X18" s="5">
        <f t="shared" si="13"/>
        <v>1241.2120274166857</v>
      </c>
      <c r="Y18" s="5">
        <f t="shared" si="13"/>
        <v>1250.1487540140861</v>
      </c>
    </row>
    <row r="19" spans="1:25">
      <c r="B19" s="32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>
      <c r="B20" s="327" t="s">
        <v>333</v>
      </c>
      <c r="L20" s="381"/>
      <c r="M20" s="381"/>
      <c r="N20" s="381">
        <v>0.1</v>
      </c>
      <c r="O20" s="381">
        <v>0.2</v>
      </c>
      <c r="P20" s="381">
        <v>0.4</v>
      </c>
      <c r="Q20" s="381">
        <v>0.6</v>
      </c>
      <c r="R20" s="381">
        <v>0.75</v>
      </c>
      <c r="S20" s="381">
        <v>0.75</v>
      </c>
      <c r="T20" s="381">
        <v>0.75</v>
      </c>
      <c r="U20" s="381">
        <v>0.75</v>
      </c>
      <c r="V20" s="381">
        <v>0.75</v>
      </c>
      <c r="W20" s="381">
        <v>0.75</v>
      </c>
      <c r="X20" s="381">
        <v>0.75</v>
      </c>
      <c r="Y20" s="381">
        <v>0.75</v>
      </c>
    </row>
    <row r="21" spans="1:25">
      <c r="B21" s="327" t="s">
        <v>334</v>
      </c>
      <c r="L21" s="380"/>
      <c r="M21" s="381"/>
      <c r="N21" s="381">
        <v>0.01</v>
      </c>
      <c r="O21" s="381">
        <v>0.05</v>
      </c>
      <c r="P21" s="381">
        <v>0.13</v>
      </c>
      <c r="Q21" s="381">
        <v>0.2</v>
      </c>
      <c r="R21" s="381">
        <v>0.22</v>
      </c>
      <c r="S21" s="381">
        <v>0.23</v>
      </c>
      <c r="T21" s="381">
        <v>0.24</v>
      </c>
      <c r="U21" s="381">
        <v>0.25</v>
      </c>
      <c r="V21" s="381">
        <v>0.25</v>
      </c>
      <c r="W21" s="381">
        <v>0.25</v>
      </c>
      <c r="X21" s="381">
        <v>0.25</v>
      </c>
      <c r="Y21" s="381">
        <v>0.25</v>
      </c>
    </row>
    <row r="22" spans="1:25">
      <c r="B22" s="328"/>
    </row>
    <row r="23" spans="1:25">
      <c r="B23" s="327" t="s">
        <v>64</v>
      </c>
      <c r="C23" s="5">
        <f t="shared" ref="C23:Y23" si="14">C20*C17</f>
        <v>0</v>
      </c>
      <c r="D23" s="5">
        <f t="shared" si="14"/>
        <v>0</v>
      </c>
      <c r="E23" s="5">
        <f t="shared" si="14"/>
        <v>0</v>
      </c>
      <c r="F23" s="5">
        <f t="shared" si="14"/>
        <v>0</v>
      </c>
      <c r="G23" s="5">
        <f t="shared" si="14"/>
        <v>0</v>
      </c>
      <c r="H23" s="5">
        <f t="shared" si="14"/>
        <v>0</v>
      </c>
      <c r="I23" s="5">
        <f t="shared" si="14"/>
        <v>0</v>
      </c>
      <c r="J23" s="5">
        <f t="shared" si="14"/>
        <v>0</v>
      </c>
      <c r="K23" s="5">
        <f t="shared" si="14"/>
        <v>0</v>
      </c>
      <c r="L23" s="5">
        <f t="shared" si="14"/>
        <v>0</v>
      </c>
      <c r="M23" s="5">
        <f t="shared" si="14"/>
        <v>0</v>
      </c>
      <c r="N23" s="5">
        <f t="shared" si="14"/>
        <v>115.52841213312502</v>
      </c>
      <c r="O23" s="5">
        <f t="shared" si="14"/>
        <v>232.72043340096707</v>
      </c>
      <c r="P23" s="5">
        <f t="shared" si="14"/>
        <v>468.79204104290812</v>
      </c>
      <c r="Q23" s="5">
        <f t="shared" si="14"/>
        <v>708.25101560762562</v>
      </c>
      <c r="R23" s="5">
        <f t="shared" si="14"/>
        <v>891.68802865000089</v>
      </c>
      <c r="S23" s="5">
        <f t="shared" si="14"/>
        <v>898.10818245628093</v>
      </c>
      <c r="T23" s="5">
        <f t="shared" si="14"/>
        <v>904.5745613699662</v>
      </c>
      <c r="U23" s="5">
        <f t="shared" si="14"/>
        <v>911.08749821183005</v>
      </c>
      <c r="V23" s="5">
        <f t="shared" si="14"/>
        <v>917.64732819895539</v>
      </c>
      <c r="W23" s="5">
        <f t="shared" si="14"/>
        <v>924.25438896198784</v>
      </c>
      <c r="X23" s="5">
        <f t="shared" si="14"/>
        <v>930.90902056251434</v>
      </c>
      <c r="Y23" s="5">
        <f t="shared" si="14"/>
        <v>937.61156551056456</v>
      </c>
    </row>
    <row r="24" spans="1:25">
      <c r="B24" s="327" t="s">
        <v>63</v>
      </c>
      <c r="C24" s="5">
        <f t="shared" ref="C24:Y24" si="15">C21*C18</f>
        <v>0</v>
      </c>
      <c r="D24" s="5">
        <f t="shared" si="15"/>
        <v>0</v>
      </c>
      <c r="E24" s="5">
        <f t="shared" si="15"/>
        <v>0</v>
      </c>
      <c r="F24" s="5">
        <f t="shared" si="15"/>
        <v>0</v>
      </c>
      <c r="G24" s="5">
        <f t="shared" si="15"/>
        <v>0</v>
      </c>
      <c r="H24" s="5">
        <f t="shared" si="15"/>
        <v>0</v>
      </c>
      <c r="I24" s="5">
        <f t="shared" si="15"/>
        <v>0</v>
      </c>
      <c r="J24" s="5">
        <f t="shared" si="15"/>
        <v>0</v>
      </c>
      <c r="K24" s="5">
        <f t="shared" si="15"/>
        <v>0</v>
      </c>
      <c r="L24" s="5">
        <f t="shared" si="15"/>
        <v>0</v>
      </c>
      <c r="M24" s="5">
        <f t="shared" si="15"/>
        <v>0</v>
      </c>
      <c r="N24" s="5">
        <f t="shared" si="15"/>
        <v>11.552841213312503</v>
      </c>
      <c r="O24" s="5">
        <f t="shared" si="15"/>
        <v>58.180108350241767</v>
      </c>
      <c r="P24" s="5">
        <f t="shared" si="15"/>
        <v>152.35741333894515</v>
      </c>
      <c r="Q24" s="5">
        <f t="shared" si="15"/>
        <v>236.08367186920856</v>
      </c>
      <c r="R24" s="5">
        <f t="shared" si="15"/>
        <v>261.56182173733362</v>
      </c>
      <c r="S24" s="5">
        <f t="shared" si="15"/>
        <v>275.41984261992616</v>
      </c>
      <c r="T24" s="5">
        <f t="shared" si="15"/>
        <v>289.46385963838918</v>
      </c>
      <c r="U24" s="5">
        <f t="shared" si="15"/>
        <v>303.6958327372767</v>
      </c>
      <c r="V24" s="5">
        <f t="shared" si="15"/>
        <v>305.88244273298511</v>
      </c>
      <c r="W24" s="5">
        <f t="shared" si="15"/>
        <v>308.08479632066263</v>
      </c>
      <c r="X24" s="5">
        <f t="shared" si="15"/>
        <v>310.30300685417143</v>
      </c>
      <c r="Y24" s="5">
        <f t="shared" si="15"/>
        <v>312.53718850352152</v>
      </c>
    </row>
    <row r="25" spans="1:25">
      <c r="B25" s="328"/>
    </row>
    <row r="26" spans="1:25">
      <c r="B26" s="327" t="s">
        <v>62</v>
      </c>
      <c r="C26" s="5">
        <f t="shared" ref="C26:Y26" si="16">C23+C24</f>
        <v>0</v>
      </c>
      <c r="D26" s="5">
        <f t="shared" si="16"/>
        <v>0</v>
      </c>
      <c r="E26" s="5">
        <f t="shared" si="16"/>
        <v>0</v>
      </c>
      <c r="F26" s="5">
        <f t="shared" si="16"/>
        <v>0</v>
      </c>
      <c r="G26" s="5">
        <f t="shared" si="16"/>
        <v>0</v>
      </c>
      <c r="H26" s="5">
        <f t="shared" si="16"/>
        <v>0</v>
      </c>
      <c r="I26" s="5">
        <f t="shared" si="16"/>
        <v>0</v>
      </c>
      <c r="J26" s="5">
        <f t="shared" si="16"/>
        <v>0</v>
      </c>
      <c r="K26" s="5">
        <f t="shared" si="16"/>
        <v>0</v>
      </c>
      <c r="L26" s="5">
        <f t="shared" si="16"/>
        <v>0</v>
      </c>
      <c r="M26" s="5">
        <f t="shared" si="16"/>
        <v>0</v>
      </c>
      <c r="N26" s="5">
        <f t="shared" si="16"/>
        <v>127.08125334643752</v>
      </c>
      <c r="O26" s="5">
        <f t="shared" si="16"/>
        <v>290.90054175120883</v>
      </c>
      <c r="P26" s="5">
        <f t="shared" si="16"/>
        <v>621.14945438185327</v>
      </c>
      <c r="Q26" s="5">
        <f t="shared" si="16"/>
        <v>944.33468747683423</v>
      </c>
      <c r="R26" s="5">
        <f t="shared" si="16"/>
        <v>1153.2498503873344</v>
      </c>
      <c r="S26" s="5">
        <f t="shared" si="16"/>
        <v>1173.5280250762071</v>
      </c>
      <c r="T26" s="5">
        <f t="shared" si="16"/>
        <v>1194.0384210083553</v>
      </c>
      <c r="U26" s="5">
        <f t="shared" si="16"/>
        <v>1214.7833309491068</v>
      </c>
      <c r="V26" s="5">
        <f t="shared" si="16"/>
        <v>1223.5297709319404</v>
      </c>
      <c r="W26" s="5">
        <f t="shared" si="16"/>
        <v>1232.3391852826505</v>
      </c>
      <c r="X26" s="5">
        <f t="shared" si="16"/>
        <v>1241.2120274166857</v>
      </c>
      <c r="Y26" s="5">
        <f t="shared" si="16"/>
        <v>1250.1487540140861</v>
      </c>
    </row>
    <row r="27" spans="1:25">
      <c r="B27" s="328"/>
    </row>
    <row r="28" spans="1:25">
      <c r="B28" s="327" t="s">
        <v>61</v>
      </c>
      <c r="L28" s="402">
        <v>125000</v>
      </c>
      <c r="M28" s="402">
        <v>125000</v>
      </c>
      <c r="N28" s="80">
        <v>100000</v>
      </c>
      <c r="O28" s="80">
        <f t="shared" ref="O28:Y28" si="17">N28*(1+O29)</f>
        <v>102499.99999999999</v>
      </c>
      <c r="P28" s="80">
        <f t="shared" si="17"/>
        <v>105062.49999999997</v>
      </c>
      <c r="Q28" s="80">
        <f t="shared" si="17"/>
        <v>107689.06249999996</v>
      </c>
      <c r="R28" s="80">
        <f t="shared" si="17"/>
        <v>110381.28906249994</v>
      </c>
      <c r="S28" s="80">
        <f t="shared" si="17"/>
        <v>113140.82128906243</v>
      </c>
      <c r="T28" s="80">
        <f t="shared" si="17"/>
        <v>115969.34182128898</v>
      </c>
      <c r="U28" s="80">
        <f t="shared" si="17"/>
        <v>118868.5753668212</v>
      </c>
      <c r="V28" s="80">
        <f t="shared" si="17"/>
        <v>121840.28975099172</v>
      </c>
      <c r="W28" s="80">
        <f t="shared" si="17"/>
        <v>124886.29699476651</v>
      </c>
      <c r="X28" s="80">
        <f t="shared" si="17"/>
        <v>128008.45441963566</v>
      </c>
      <c r="Y28" s="80">
        <f t="shared" si="17"/>
        <v>131208.66578012652</v>
      </c>
    </row>
    <row r="29" spans="1:25" ht="15.75" thickBot="1">
      <c r="B29" s="328" t="s">
        <v>213</v>
      </c>
      <c r="M29" s="403"/>
      <c r="N29" s="403">
        <v>2.5000000000000001E-2</v>
      </c>
      <c r="O29" s="404">
        <f t="shared" ref="O29:Y29" si="18">N29</f>
        <v>2.5000000000000001E-2</v>
      </c>
      <c r="P29" s="404">
        <f t="shared" si="18"/>
        <v>2.5000000000000001E-2</v>
      </c>
      <c r="Q29" s="404">
        <f t="shared" si="18"/>
        <v>2.5000000000000001E-2</v>
      </c>
      <c r="R29" s="404">
        <f t="shared" si="18"/>
        <v>2.5000000000000001E-2</v>
      </c>
      <c r="S29" s="404">
        <f t="shared" si="18"/>
        <v>2.5000000000000001E-2</v>
      </c>
      <c r="T29" s="404">
        <f t="shared" si="18"/>
        <v>2.5000000000000001E-2</v>
      </c>
      <c r="U29" s="404">
        <f t="shared" si="18"/>
        <v>2.5000000000000001E-2</v>
      </c>
      <c r="V29" s="404">
        <f t="shared" si="18"/>
        <v>2.5000000000000001E-2</v>
      </c>
      <c r="W29" s="404">
        <f t="shared" si="18"/>
        <v>2.5000000000000001E-2</v>
      </c>
      <c r="X29" s="404">
        <f t="shared" si="18"/>
        <v>2.5000000000000001E-2</v>
      </c>
      <c r="Y29" s="404">
        <f t="shared" si="18"/>
        <v>2.5000000000000001E-2</v>
      </c>
    </row>
    <row r="30" spans="1:25" s="10" customFormat="1" ht="15.75" thickBot="1">
      <c r="A30" s="57"/>
      <c r="B30" s="349" t="s">
        <v>60</v>
      </c>
      <c r="C30" s="350">
        <f t="shared" ref="C30:Y30" si="19">C28*C26</f>
        <v>0</v>
      </c>
      <c r="D30" s="350">
        <f t="shared" si="19"/>
        <v>0</v>
      </c>
      <c r="E30" s="350">
        <f t="shared" si="19"/>
        <v>0</v>
      </c>
      <c r="F30" s="350">
        <f t="shared" si="19"/>
        <v>0</v>
      </c>
      <c r="G30" s="350">
        <f t="shared" si="19"/>
        <v>0</v>
      </c>
      <c r="H30" s="350">
        <f t="shared" si="19"/>
        <v>0</v>
      </c>
      <c r="I30" s="350">
        <f t="shared" si="19"/>
        <v>0</v>
      </c>
      <c r="J30" s="350">
        <f t="shared" si="19"/>
        <v>0</v>
      </c>
      <c r="K30" s="350">
        <f t="shared" si="19"/>
        <v>0</v>
      </c>
      <c r="L30" s="350">
        <f t="shared" si="19"/>
        <v>0</v>
      </c>
      <c r="M30" s="350">
        <f t="shared" si="19"/>
        <v>0</v>
      </c>
      <c r="N30" s="350">
        <f t="shared" si="19"/>
        <v>12708125.334643751</v>
      </c>
      <c r="O30" s="350">
        <f t="shared" si="19"/>
        <v>29817305.529498901</v>
      </c>
      <c r="P30" s="350">
        <f t="shared" si="19"/>
        <v>65259514.550993443</v>
      </c>
      <c r="Q30" s="350">
        <f t="shared" si="19"/>
        <v>101694517.18061073</v>
      </c>
      <c r="R30" s="350">
        <f t="shared" si="19"/>
        <v>127297205.09688917</v>
      </c>
      <c r="S30" s="350">
        <f t="shared" si="19"/>
        <v>132773924.56285352</v>
      </c>
      <c r="T30" s="350">
        <f t="shared" si="19"/>
        <v>138471849.79367012</v>
      </c>
      <c r="U30" s="350">
        <f t="shared" si="19"/>
        <v>144399563.92928201</v>
      </c>
      <c r="V30" s="350">
        <f t="shared" si="19"/>
        <v>149075221.80931216</v>
      </c>
      <c r="W30" s="350">
        <f t="shared" si="19"/>
        <v>153902277.4914977</v>
      </c>
      <c r="X30" s="350">
        <f t="shared" si="19"/>
        <v>158885633.23667237</v>
      </c>
      <c r="Y30" s="351">
        <f t="shared" si="19"/>
        <v>164030350.04087582</v>
      </c>
    </row>
    <row r="31" spans="1:25">
      <c r="C31" s="27"/>
    </row>
    <row r="32" spans="1:25" ht="15.75" thickBot="1">
      <c r="B32" s="325" t="s">
        <v>59</v>
      </c>
    </row>
    <row r="33" spans="2:25" ht="15.75" hidden="1" outlineLevel="1" thickTop="1">
      <c r="B33" s="327" t="s">
        <v>58</v>
      </c>
      <c r="H33" s="26">
        <v>38000</v>
      </c>
    </row>
    <row r="34" spans="2:25" hidden="1" outlineLevel="1">
      <c r="B34" s="327" t="s">
        <v>50</v>
      </c>
      <c r="H34" s="19">
        <f>H33*10%</f>
        <v>3800</v>
      </c>
    </row>
    <row r="35" spans="2:25" hidden="1" outlineLevel="1">
      <c r="B35" s="327" t="s">
        <v>48</v>
      </c>
      <c r="H35" s="19">
        <f>H33*3%</f>
        <v>1140</v>
      </c>
    </row>
    <row r="36" spans="2:25" hidden="1" outlineLevel="1">
      <c r="B36" s="327" t="s">
        <v>46</v>
      </c>
      <c r="H36" s="19">
        <f>H33*15%</f>
        <v>5700</v>
      </c>
    </row>
    <row r="37" spans="2:25" ht="15.75" hidden="1" outlineLevel="1" thickBot="1">
      <c r="B37" s="327" t="s">
        <v>44</v>
      </c>
      <c r="H37" s="19">
        <f>H33*12%</f>
        <v>4560</v>
      </c>
    </row>
    <row r="38" spans="2:25" ht="15.75" hidden="1" outlineLevel="1" thickBot="1">
      <c r="B38" s="327" t="s">
        <v>57</v>
      </c>
      <c r="H38" s="25">
        <f>SUM(H34:H37)</f>
        <v>15200</v>
      </c>
    </row>
    <row r="39" spans="2:25" hidden="1" outlineLevel="1">
      <c r="B39" s="327" t="s">
        <v>42</v>
      </c>
      <c r="H39" s="19">
        <f>H33*3%</f>
        <v>1140</v>
      </c>
    </row>
    <row r="40" spans="2:25" hidden="1" outlineLevel="1">
      <c r="B40" s="328"/>
    </row>
    <row r="41" spans="2:25" hidden="1" outlineLevel="1">
      <c r="B41" s="327" t="s">
        <v>40</v>
      </c>
      <c r="H41" s="19">
        <f>H33*25%</f>
        <v>9500</v>
      </c>
    </row>
    <row r="42" spans="2:25" ht="15.75" hidden="1" outlineLevel="1" thickBot="1">
      <c r="B42" s="328"/>
      <c r="H42" s="5"/>
    </row>
    <row r="43" spans="2:25" ht="15.75" hidden="1" outlineLevel="1" thickBot="1">
      <c r="B43" s="328"/>
      <c r="G43" s="24" t="s">
        <v>35</v>
      </c>
      <c r="H43" s="23">
        <f>H41+H39+H37+H36+H35+H34</f>
        <v>25840</v>
      </c>
    </row>
    <row r="44" spans="2:25" hidden="1" outlineLevel="1">
      <c r="B44" s="328"/>
      <c r="H44" s="17">
        <f>H43/H33</f>
        <v>0.68</v>
      </c>
    </row>
    <row r="45" spans="2:25" hidden="1" outlineLevel="1">
      <c r="B45" s="328"/>
      <c r="H45" s="17"/>
    </row>
    <row r="46" spans="2:25" ht="15.75" collapsed="1" thickTop="1">
      <c r="B46" s="327" t="s">
        <v>56</v>
      </c>
      <c r="H46" s="5">
        <v>571</v>
      </c>
      <c r="I46" s="5">
        <f t="shared" ref="I46:Y46" si="20">H46*1.005</f>
        <v>573.8549999999999</v>
      </c>
      <c r="J46" s="5">
        <f t="shared" si="20"/>
        <v>576.72427499999981</v>
      </c>
      <c r="K46" s="5">
        <f t="shared" si="20"/>
        <v>579.60789637499977</v>
      </c>
      <c r="L46" s="5">
        <f t="shared" si="20"/>
        <v>582.50593585687466</v>
      </c>
      <c r="M46" s="5">
        <f t="shared" si="20"/>
        <v>585.41846553615892</v>
      </c>
      <c r="N46" s="5">
        <f t="shared" si="20"/>
        <v>588.34555786383964</v>
      </c>
      <c r="O46" s="5">
        <f t="shared" si="20"/>
        <v>591.28728565315873</v>
      </c>
      <c r="P46" s="5">
        <f t="shared" si="20"/>
        <v>594.24372208142449</v>
      </c>
      <c r="Q46" s="5">
        <f t="shared" si="20"/>
        <v>597.21494069183154</v>
      </c>
      <c r="R46" s="5">
        <f t="shared" si="20"/>
        <v>600.2010153952906</v>
      </c>
      <c r="S46" s="5">
        <f t="shared" si="20"/>
        <v>603.20202047226701</v>
      </c>
      <c r="T46" s="5">
        <f t="shared" si="20"/>
        <v>606.2180305746283</v>
      </c>
      <c r="U46" s="5">
        <f t="shared" si="20"/>
        <v>609.24912072750135</v>
      </c>
      <c r="V46" s="5">
        <f t="shared" si="20"/>
        <v>612.29536633113878</v>
      </c>
      <c r="W46" s="5">
        <f t="shared" si="20"/>
        <v>615.35684316279446</v>
      </c>
      <c r="X46" s="5">
        <f t="shared" si="20"/>
        <v>618.43362737860832</v>
      </c>
      <c r="Y46" s="5">
        <f t="shared" si="20"/>
        <v>621.52579551550127</v>
      </c>
    </row>
    <row r="47" spans="2:25">
      <c r="B47" s="327" t="s">
        <v>55</v>
      </c>
      <c r="H47" s="5">
        <v>1500</v>
      </c>
      <c r="I47" s="19">
        <f t="shared" ref="I47:Y47" si="21">H47*(1-0.18%)</f>
        <v>1497.3</v>
      </c>
      <c r="J47" s="19">
        <f t="shared" si="21"/>
        <v>1494.6048599999999</v>
      </c>
      <c r="K47" s="19">
        <f t="shared" si="21"/>
        <v>1491.9145712519999</v>
      </c>
      <c r="L47" s="19">
        <f t="shared" si="21"/>
        <v>1489.2291250237463</v>
      </c>
      <c r="M47" s="19">
        <f t="shared" si="21"/>
        <v>1486.5485125987036</v>
      </c>
      <c r="N47" s="19">
        <f t="shared" si="21"/>
        <v>1483.8727252760259</v>
      </c>
      <c r="O47" s="19">
        <f t="shared" si="21"/>
        <v>1481.201754370529</v>
      </c>
      <c r="P47" s="19">
        <f t="shared" si="21"/>
        <v>1478.535591212662</v>
      </c>
      <c r="Q47" s="19">
        <f t="shared" si="21"/>
        <v>1475.8742271484791</v>
      </c>
      <c r="R47" s="19">
        <f t="shared" si="21"/>
        <v>1473.2176535396118</v>
      </c>
      <c r="S47" s="19">
        <f t="shared" si="21"/>
        <v>1470.5658617632405</v>
      </c>
      <c r="T47" s="19">
        <f t="shared" si="21"/>
        <v>1467.9188432120666</v>
      </c>
      <c r="U47" s="19">
        <f t="shared" si="21"/>
        <v>1465.2765892942848</v>
      </c>
      <c r="V47" s="19">
        <f t="shared" si="21"/>
        <v>1462.639091433555</v>
      </c>
      <c r="W47" s="19">
        <f t="shared" si="21"/>
        <v>1460.0063410689745</v>
      </c>
      <c r="X47" s="19">
        <f t="shared" si="21"/>
        <v>1457.3783296550503</v>
      </c>
      <c r="Y47" s="19">
        <f t="shared" si="21"/>
        <v>1454.7550486616713</v>
      </c>
    </row>
    <row r="48" spans="2:25">
      <c r="B48" s="327" t="s">
        <v>54</v>
      </c>
      <c r="H48" s="5">
        <v>6500</v>
      </c>
      <c r="I48" s="19">
        <f t="shared" ref="I48:Y48" si="22">H48*(1+0.3%)</f>
        <v>6519.4999999999991</v>
      </c>
      <c r="J48" s="19">
        <f t="shared" si="22"/>
        <v>6539.0584999999983</v>
      </c>
      <c r="K48" s="19">
        <f t="shared" si="22"/>
        <v>6558.6756754999979</v>
      </c>
      <c r="L48" s="19">
        <f t="shared" si="22"/>
        <v>6578.3517025264973</v>
      </c>
      <c r="M48" s="19">
        <f t="shared" si="22"/>
        <v>6598.0867576340761</v>
      </c>
      <c r="N48" s="19">
        <f t="shared" si="22"/>
        <v>6617.8810179069778</v>
      </c>
      <c r="O48" s="19">
        <f t="shared" si="22"/>
        <v>6637.7346609606984</v>
      </c>
      <c r="P48" s="19">
        <f t="shared" si="22"/>
        <v>6657.6478649435794</v>
      </c>
      <c r="Q48" s="19">
        <f t="shared" si="22"/>
        <v>6677.6208085384096</v>
      </c>
      <c r="R48" s="19">
        <f t="shared" si="22"/>
        <v>6697.6536709640241</v>
      </c>
      <c r="S48" s="19">
        <f t="shared" si="22"/>
        <v>6717.7466319769155</v>
      </c>
      <c r="T48" s="19">
        <f t="shared" si="22"/>
        <v>6737.8998718728453</v>
      </c>
      <c r="U48" s="19">
        <f t="shared" si="22"/>
        <v>6758.1135714884631</v>
      </c>
      <c r="V48" s="19">
        <f t="shared" si="22"/>
        <v>6778.3879122029275</v>
      </c>
      <c r="W48" s="19">
        <f t="shared" si="22"/>
        <v>6798.7230759395352</v>
      </c>
      <c r="X48" s="19">
        <f t="shared" si="22"/>
        <v>6819.1192451673533</v>
      </c>
      <c r="Y48" s="19">
        <f t="shared" si="22"/>
        <v>6839.5766029028546</v>
      </c>
    </row>
    <row r="49" spans="1:25">
      <c r="B49" s="327" t="s">
        <v>53</v>
      </c>
      <c r="H49" s="5">
        <v>113</v>
      </c>
      <c r="I49" s="19">
        <f t="shared" ref="I49:Y49" si="23">H49*(1+0.73%)</f>
        <v>113.82490000000001</v>
      </c>
      <c r="J49" s="19">
        <f t="shared" si="23"/>
        <v>114.65582177000002</v>
      </c>
      <c r="K49" s="19">
        <f t="shared" si="23"/>
        <v>115.49280926892102</v>
      </c>
      <c r="L49" s="19">
        <f t="shared" si="23"/>
        <v>116.33590677658415</v>
      </c>
      <c r="M49" s="19">
        <f t="shared" si="23"/>
        <v>117.18515889605322</v>
      </c>
      <c r="N49" s="19">
        <f t="shared" si="23"/>
        <v>118.04061055599442</v>
      </c>
      <c r="O49" s="19">
        <f t="shared" si="23"/>
        <v>118.90230701305319</v>
      </c>
      <c r="P49" s="19">
        <f t="shared" si="23"/>
        <v>119.77029385424849</v>
      </c>
      <c r="Q49" s="19">
        <f t="shared" si="23"/>
        <v>120.64461699938451</v>
      </c>
      <c r="R49" s="19">
        <f t="shared" si="23"/>
        <v>121.52532270348003</v>
      </c>
      <c r="S49" s="19">
        <f t="shared" si="23"/>
        <v>122.41245755921544</v>
      </c>
      <c r="T49" s="19">
        <f t="shared" si="23"/>
        <v>123.30606849939772</v>
      </c>
      <c r="U49" s="19">
        <f t="shared" si="23"/>
        <v>124.20620279944333</v>
      </c>
      <c r="V49" s="19">
        <f t="shared" si="23"/>
        <v>125.11290807987928</v>
      </c>
      <c r="W49" s="19">
        <f t="shared" si="23"/>
        <v>126.0262323088624</v>
      </c>
      <c r="X49" s="19">
        <f t="shared" si="23"/>
        <v>126.94622380471711</v>
      </c>
      <c r="Y49" s="19">
        <f t="shared" si="23"/>
        <v>127.87293123849155</v>
      </c>
    </row>
    <row r="50" spans="1:25">
      <c r="B50" s="327" t="s">
        <v>52</v>
      </c>
      <c r="H50" s="5">
        <v>920</v>
      </c>
      <c r="I50" s="19">
        <f t="shared" ref="I50:Y50" si="24">H50*(1+0.8%)</f>
        <v>927.36</v>
      </c>
      <c r="J50" s="19">
        <f t="shared" si="24"/>
        <v>934.77888000000007</v>
      </c>
      <c r="K50" s="19">
        <f t="shared" si="24"/>
        <v>942.25711104000004</v>
      </c>
      <c r="L50" s="19">
        <f t="shared" si="24"/>
        <v>949.7951679283201</v>
      </c>
      <c r="M50" s="19">
        <f t="shared" si="24"/>
        <v>957.39352927174662</v>
      </c>
      <c r="N50" s="19">
        <f t="shared" si="24"/>
        <v>965.05267750592054</v>
      </c>
      <c r="O50" s="19">
        <f t="shared" si="24"/>
        <v>972.77309892596793</v>
      </c>
      <c r="P50" s="19">
        <f t="shared" si="24"/>
        <v>980.55528371737569</v>
      </c>
      <c r="Q50" s="19">
        <f t="shared" si="24"/>
        <v>988.39972598711472</v>
      </c>
      <c r="R50" s="19">
        <f t="shared" si="24"/>
        <v>996.3069237950117</v>
      </c>
      <c r="S50" s="19">
        <f t="shared" si="24"/>
        <v>1004.2773791853718</v>
      </c>
      <c r="T50" s="19">
        <f t="shared" si="24"/>
        <v>1012.3115982188548</v>
      </c>
      <c r="U50" s="19">
        <f t="shared" si="24"/>
        <v>1020.4100910046056</v>
      </c>
      <c r="V50" s="19">
        <f t="shared" si="24"/>
        <v>1028.5733717326425</v>
      </c>
      <c r="W50" s="19">
        <f t="shared" si="24"/>
        <v>1036.8019587065037</v>
      </c>
      <c r="X50" s="19">
        <f t="shared" si="24"/>
        <v>1045.0963743761556</v>
      </c>
      <c r="Y50" s="19">
        <f t="shared" si="24"/>
        <v>1053.4571453711649</v>
      </c>
    </row>
    <row r="51" spans="1:25">
      <c r="B51" s="329" t="s">
        <v>51</v>
      </c>
      <c r="H51" s="5">
        <v>3241</v>
      </c>
      <c r="I51" s="19">
        <f t="shared" ref="I51:Y51" si="25">H51*(1-0.2%)</f>
        <v>3234.518</v>
      </c>
      <c r="J51" s="19">
        <f t="shared" si="25"/>
        <v>3228.0489640000001</v>
      </c>
      <c r="K51" s="19">
        <f t="shared" si="25"/>
        <v>3221.5928660720001</v>
      </c>
      <c r="L51" s="19">
        <f t="shared" si="25"/>
        <v>3215.1496803398559</v>
      </c>
      <c r="M51" s="19">
        <f t="shared" si="25"/>
        <v>3208.7193809791761</v>
      </c>
      <c r="N51" s="19">
        <f t="shared" si="25"/>
        <v>3202.3019422172179</v>
      </c>
      <c r="O51" s="19">
        <f t="shared" si="25"/>
        <v>3195.8973383327834</v>
      </c>
      <c r="P51" s="19">
        <f t="shared" si="25"/>
        <v>3189.5055436561179</v>
      </c>
      <c r="Q51" s="19">
        <f t="shared" si="25"/>
        <v>3183.1265325688055</v>
      </c>
      <c r="R51" s="19">
        <f t="shared" si="25"/>
        <v>3176.7602795036678</v>
      </c>
      <c r="S51" s="19">
        <f t="shared" si="25"/>
        <v>3170.4067589446604</v>
      </c>
      <c r="T51" s="19">
        <f t="shared" si="25"/>
        <v>3164.0659454267711</v>
      </c>
      <c r="U51" s="19">
        <f t="shared" si="25"/>
        <v>3157.7378135359177</v>
      </c>
      <c r="V51" s="19">
        <f t="shared" si="25"/>
        <v>3151.4223379088457</v>
      </c>
      <c r="W51" s="19">
        <f t="shared" si="25"/>
        <v>3145.1194932330282</v>
      </c>
      <c r="X51" s="19">
        <f t="shared" si="25"/>
        <v>3138.829254246562</v>
      </c>
      <c r="Y51" s="19">
        <f t="shared" si="25"/>
        <v>3132.551595738069</v>
      </c>
    </row>
    <row r="52" spans="1:25">
      <c r="B52" s="21"/>
    </row>
    <row r="53" spans="1:25" ht="15.75" thickBot="1">
      <c r="B53" s="325" t="s">
        <v>50</v>
      </c>
    </row>
    <row r="54" spans="1:25" s="18" customFormat="1" ht="15.75" thickTop="1">
      <c r="A54" s="81"/>
      <c r="B54" s="326" t="s">
        <v>39</v>
      </c>
      <c r="C54" s="20">
        <v>0.5</v>
      </c>
      <c r="D54" s="20">
        <v>0.5</v>
      </c>
      <c r="E54" s="20">
        <v>0.5</v>
      </c>
      <c r="F54" s="20">
        <v>0.5</v>
      </c>
      <c r="G54" s="20">
        <v>0.5</v>
      </c>
      <c r="H54" s="20">
        <v>0.5</v>
      </c>
      <c r="I54" s="20">
        <v>0.5</v>
      </c>
      <c r="J54" s="20">
        <v>0.5</v>
      </c>
      <c r="K54" s="20">
        <v>0.5</v>
      </c>
      <c r="L54" s="20">
        <v>0.5</v>
      </c>
      <c r="M54" s="20">
        <v>0.5</v>
      </c>
      <c r="N54" s="20">
        <v>0.5</v>
      </c>
      <c r="O54" s="20">
        <v>0.5</v>
      </c>
      <c r="P54" s="20">
        <v>0.5</v>
      </c>
      <c r="Q54" s="20">
        <v>0.5</v>
      </c>
      <c r="R54" s="20">
        <v>0.5</v>
      </c>
      <c r="S54" s="20">
        <v>0.5</v>
      </c>
      <c r="T54" s="20">
        <v>0.5</v>
      </c>
      <c r="U54" s="20">
        <v>0.5</v>
      </c>
      <c r="V54" s="20">
        <v>0.5</v>
      </c>
      <c r="W54" s="20">
        <v>0.5</v>
      </c>
      <c r="X54" s="20">
        <v>0.5</v>
      </c>
      <c r="Y54" s="20">
        <v>0.5</v>
      </c>
    </row>
    <row r="55" spans="1:25">
      <c r="B55" s="327" t="s">
        <v>322</v>
      </c>
      <c r="C55" s="19">
        <f t="shared" ref="C55:Y55" si="26">C54*C46</f>
        <v>0</v>
      </c>
      <c r="D55" s="19">
        <f t="shared" si="26"/>
        <v>0</v>
      </c>
      <c r="E55" s="19">
        <f t="shared" si="26"/>
        <v>0</v>
      </c>
      <c r="F55" s="19">
        <f t="shared" si="26"/>
        <v>0</v>
      </c>
      <c r="G55" s="19">
        <f t="shared" si="26"/>
        <v>0</v>
      </c>
      <c r="H55" s="19">
        <f t="shared" si="26"/>
        <v>285.5</v>
      </c>
      <c r="I55" s="19">
        <f t="shared" si="26"/>
        <v>286.92749999999995</v>
      </c>
      <c r="J55" s="19">
        <f t="shared" si="26"/>
        <v>288.3621374999999</v>
      </c>
      <c r="K55" s="19">
        <f t="shared" si="26"/>
        <v>289.80394818749988</v>
      </c>
      <c r="L55" s="19">
        <f t="shared" si="26"/>
        <v>291.25296792843733</v>
      </c>
      <c r="M55" s="19">
        <f t="shared" si="26"/>
        <v>292.70923276807946</v>
      </c>
      <c r="N55" s="19">
        <f t="shared" si="26"/>
        <v>294.17277893191982</v>
      </c>
      <c r="O55" s="19">
        <f t="shared" si="26"/>
        <v>295.64364282657937</v>
      </c>
      <c r="P55" s="19">
        <f t="shared" si="26"/>
        <v>297.12186104071225</v>
      </c>
      <c r="Q55" s="19">
        <f t="shared" si="26"/>
        <v>298.60747034591577</v>
      </c>
      <c r="R55" s="19">
        <f t="shared" si="26"/>
        <v>300.1005076976453</v>
      </c>
      <c r="S55" s="19">
        <f t="shared" si="26"/>
        <v>301.6010102361335</v>
      </c>
      <c r="T55" s="19">
        <f t="shared" si="26"/>
        <v>303.10901528731415</v>
      </c>
      <c r="U55" s="19">
        <f t="shared" si="26"/>
        <v>304.62456036375067</v>
      </c>
      <c r="V55" s="19">
        <f t="shared" si="26"/>
        <v>306.14768316556939</v>
      </c>
      <c r="W55" s="19">
        <f t="shared" si="26"/>
        <v>307.67842158139723</v>
      </c>
      <c r="X55" s="19">
        <f t="shared" si="26"/>
        <v>309.21681368930416</v>
      </c>
      <c r="Y55" s="19">
        <f t="shared" si="26"/>
        <v>310.76289775775064</v>
      </c>
    </row>
    <row r="56" spans="1:25">
      <c r="B56" s="327" t="s">
        <v>38</v>
      </c>
      <c r="C56" s="5">
        <f t="shared" ref="C56:Y56" si="27">C46-C55</f>
        <v>0</v>
      </c>
      <c r="D56" s="5">
        <f t="shared" si="27"/>
        <v>0</v>
      </c>
      <c r="E56" s="5">
        <f t="shared" si="27"/>
        <v>0</v>
      </c>
      <c r="F56" s="5">
        <f t="shared" si="27"/>
        <v>0</v>
      </c>
      <c r="G56" s="5">
        <f t="shared" si="27"/>
        <v>0</v>
      </c>
      <c r="H56" s="5">
        <f t="shared" si="27"/>
        <v>285.5</v>
      </c>
      <c r="I56" s="5">
        <f t="shared" si="27"/>
        <v>286.92749999999995</v>
      </c>
      <c r="J56" s="5">
        <f t="shared" si="27"/>
        <v>288.3621374999999</v>
      </c>
      <c r="K56" s="5">
        <f t="shared" si="27"/>
        <v>289.80394818749988</v>
      </c>
      <c r="L56" s="5">
        <f t="shared" si="27"/>
        <v>291.25296792843733</v>
      </c>
      <c r="M56" s="5">
        <f t="shared" si="27"/>
        <v>292.70923276807946</v>
      </c>
      <c r="N56" s="5">
        <f t="shared" si="27"/>
        <v>294.17277893191982</v>
      </c>
      <c r="O56" s="5">
        <f t="shared" si="27"/>
        <v>295.64364282657937</v>
      </c>
      <c r="P56" s="5">
        <f t="shared" si="27"/>
        <v>297.12186104071225</v>
      </c>
      <c r="Q56" s="5">
        <f t="shared" si="27"/>
        <v>298.60747034591577</v>
      </c>
      <c r="R56" s="5">
        <f t="shared" si="27"/>
        <v>300.1005076976453</v>
      </c>
      <c r="S56" s="5">
        <f t="shared" si="27"/>
        <v>301.6010102361335</v>
      </c>
      <c r="T56" s="5">
        <f t="shared" si="27"/>
        <v>303.10901528731415</v>
      </c>
      <c r="U56" s="5">
        <f t="shared" si="27"/>
        <v>304.62456036375067</v>
      </c>
      <c r="V56" s="5">
        <f t="shared" si="27"/>
        <v>306.14768316556939</v>
      </c>
      <c r="W56" s="5">
        <f t="shared" si="27"/>
        <v>307.67842158139723</v>
      </c>
      <c r="X56" s="5">
        <f t="shared" si="27"/>
        <v>309.21681368930416</v>
      </c>
      <c r="Y56" s="5">
        <f t="shared" si="27"/>
        <v>310.76289775775064</v>
      </c>
    </row>
    <row r="57" spans="1:25">
      <c r="B57" s="327" t="s">
        <v>333</v>
      </c>
      <c r="C57" s="5"/>
      <c r="D57" s="5"/>
      <c r="E57" s="5"/>
      <c r="F57" s="5"/>
      <c r="G57" s="5"/>
      <c r="H57" s="5"/>
      <c r="I57" s="5"/>
      <c r="J57" s="5"/>
      <c r="K57" s="5"/>
      <c r="L57" s="381"/>
      <c r="M57" s="381"/>
      <c r="N57" s="381">
        <v>0.05</v>
      </c>
      <c r="O57" s="381">
        <v>0.12</v>
      </c>
      <c r="P57" s="381">
        <v>0.19</v>
      </c>
      <c r="Q57" s="381">
        <v>0.25</v>
      </c>
      <c r="R57" s="381">
        <v>0.3</v>
      </c>
      <c r="S57" s="381">
        <v>0.35</v>
      </c>
      <c r="T57" s="381">
        <v>0.4</v>
      </c>
      <c r="U57" s="381">
        <v>0.45</v>
      </c>
      <c r="V57" s="381">
        <v>0.5</v>
      </c>
      <c r="W57" s="381">
        <v>0.55000000000000004</v>
      </c>
      <c r="X57" s="381">
        <v>0.57999999999999996</v>
      </c>
      <c r="Y57" s="381">
        <v>0.6</v>
      </c>
    </row>
    <row r="58" spans="1:25">
      <c r="B58" s="327" t="s">
        <v>334</v>
      </c>
      <c r="C58" s="5"/>
      <c r="D58" s="5"/>
      <c r="E58" s="5"/>
      <c r="F58" s="5"/>
      <c r="G58" s="5"/>
      <c r="H58" s="5"/>
      <c r="I58" s="5"/>
      <c r="J58" s="5"/>
      <c r="K58" s="5"/>
      <c r="L58" s="380"/>
      <c r="M58" s="381"/>
      <c r="N58" s="381">
        <v>0.01</v>
      </c>
      <c r="O58" s="381">
        <v>0.04</v>
      </c>
      <c r="P58" s="381">
        <v>7.0000000000000007E-2</v>
      </c>
      <c r="Q58" s="381">
        <v>0.1</v>
      </c>
      <c r="R58" s="381">
        <v>0.12</v>
      </c>
      <c r="S58" s="381">
        <v>0.15</v>
      </c>
      <c r="T58" s="381">
        <v>0.17</v>
      </c>
      <c r="U58" s="381">
        <v>0.2</v>
      </c>
      <c r="V58" s="381">
        <v>0.22</v>
      </c>
      <c r="W58" s="381">
        <v>0.25</v>
      </c>
      <c r="X58" s="381">
        <v>0.27</v>
      </c>
      <c r="Y58" s="381">
        <v>0.27</v>
      </c>
    </row>
    <row r="59" spans="1:25">
      <c r="B59" s="327" t="s">
        <v>37</v>
      </c>
      <c r="C59" s="5"/>
      <c r="D59" s="5"/>
      <c r="E59" s="5"/>
      <c r="F59" s="5"/>
      <c r="G59" s="5"/>
      <c r="H59" s="5"/>
      <c r="I59" s="5"/>
      <c r="J59" s="5"/>
      <c r="K59" s="5"/>
      <c r="L59" s="5">
        <f>$L$28*0.7</f>
        <v>87500</v>
      </c>
      <c r="M59" s="5">
        <f>L59*(1+M60)</f>
        <v>87500</v>
      </c>
      <c r="N59" s="5">
        <f t="shared" ref="N59:Y59" si="28">M59*(1+N60)</f>
        <v>87500</v>
      </c>
      <c r="O59" s="5">
        <f t="shared" si="28"/>
        <v>89250</v>
      </c>
      <c r="P59" s="5">
        <f t="shared" si="28"/>
        <v>91035</v>
      </c>
      <c r="Q59" s="5">
        <f t="shared" si="28"/>
        <v>92855.7</v>
      </c>
      <c r="R59" s="5">
        <f t="shared" si="28"/>
        <v>94712.813999999998</v>
      </c>
      <c r="S59" s="5">
        <f t="shared" si="28"/>
        <v>96607.07028</v>
      </c>
      <c r="T59" s="5">
        <f t="shared" si="28"/>
        <v>98539.211685600007</v>
      </c>
      <c r="U59" s="5">
        <f t="shared" si="28"/>
        <v>100509.99591931202</v>
      </c>
      <c r="V59" s="5">
        <f t="shared" si="28"/>
        <v>102520.19583769825</v>
      </c>
      <c r="W59" s="5">
        <f t="shared" si="28"/>
        <v>104570.59975445223</v>
      </c>
      <c r="X59" s="5">
        <f t="shared" si="28"/>
        <v>106662.01174954127</v>
      </c>
      <c r="Y59" s="5">
        <f t="shared" si="28"/>
        <v>108795.25198453209</v>
      </c>
    </row>
    <row r="60" spans="1:25" s="164" customFormat="1">
      <c r="A60" s="165"/>
      <c r="B60" s="327" t="s">
        <v>213</v>
      </c>
      <c r="C60" s="5"/>
      <c r="D60" s="5"/>
      <c r="E60" s="5"/>
      <c r="F60" s="5"/>
      <c r="G60" s="5"/>
      <c r="H60" s="5"/>
      <c r="I60" s="5"/>
      <c r="J60" s="5"/>
      <c r="K60" s="5"/>
      <c r="L60" s="5"/>
      <c r="M60" s="382">
        <v>0</v>
      </c>
      <c r="N60" s="382">
        <f>M60</f>
        <v>0</v>
      </c>
      <c r="O60" s="382">
        <v>0.02</v>
      </c>
      <c r="P60" s="382">
        <f t="shared" ref="P60:Y60" si="29">O60</f>
        <v>0.02</v>
      </c>
      <c r="Q60" s="382">
        <f t="shared" si="29"/>
        <v>0.02</v>
      </c>
      <c r="R60" s="382">
        <f t="shared" si="29"/>
        <v>0.02</v>
      </c>
      <c r="S60" s="382">
        <f t="shared" si="29"/>
        <v>0.02</v>
      </c>
      <c r="T60" s="382">
        <f t="shared" si="29"/>
        <v>0.02</v>
      </c>
      <c r="U60" s="382">
        <f t="shared" si="29"/>
        <v>0.02</v>
      </c>
      <c r="V60" s="382">
        <f t="shared" si="29"/>
        <v>0.02</v>
      </c>
      <c r="W60" s="382">
        <f t="shared" si="29"/>
        <v>0.02</v>
      </c>
      <c r="X60" s="382">
        <f t="shared" si="29"/>
        <v>0.02</v>
      </c>
      <c r="Y60" s="382">
        <f t="shared" si="29"/>
        <v>0.02</v>
      </c>
    </row>
    <row r="61" spans="1:25" s="18" customFormat="1" ht="15.75" thickBot="1">
      <c r="A61" s="81"/>
      <c r="B61" s="345" t="s">
        <v>49</v>
      </c>
      <c r="C61" s="347"/>
      <c r="D61" s="347"/>
      <c r="E61" s="347"/>
      <c r="F61" s="347"/>
      <c r="G61" s="347"/>
      <c r="H61" s="347"/>
      <c r="I61" s="347"/>
      <c r="J61" s="347"/>
      <c r="K61" s="347"/>
      <c r="L61" s="347">
        <f t="shared" ref="L61:Y61" si="30">((L57*L55)+(L58*L56))*L59</f>
        <v>0</v>
      </c>
      <c r="M61" s="347">
        <f t="shared" si="30"/>
        <v>0</v>
      </c>
      <c r="N61" s="347">
        <f t="shared" si="30"/>
        <v>1544407.0893925789</v>
      </c>
      <c r="O61" s="347">
        <f t="shared" si="30"/>
        <v>4221791.2195635531</v>
      </c>
      <c r="P61" s="347">
        <f t="shared" si="30"/>
        <v>7032607.0411587236</v>
      </c>
      <c r="Q61" s="347">
        <f t="shared" si="30"/>
        <v>9704591.9894697387</v>
      </c>
      <c r="R61" s="347">
        <f t="shared" si="30"/>
        <v>11937812.698086511</v>
      </c>
      <c r="S61" s="347">
        <f t="shared" si="30"/>
        <v>14568394.996200575</v>
      </c>
      <c r="T61" s="347">
        <f t="shared" si="30"/>
        <v>17024830.350089941</v>
      </c>
      <c r="U61" s="347">
        <f t="shared" si="30"/>
        <v>19901578.657403819</v>
      </c>
      <c r="V61" s="347">
        <f t="shared" si="30"/>
        <v>22598150.712042075</v>
      </c>
      <c r="W61" s="347">
        <f t="shared" si="30"/>
        <v>25739293.661015924</v>
      </c>
      <c r="X61" s="347">
        <f t="shared" si="30"/>
        <v>28034434.302651633</v>
      </c>
      <c r="Y61" s="347">
        <f t="shared" si="30"/>
        <v>29414289.159028143</v>
      </c>
    </row>
    <row r="62" spans="1:25" ht="15.75" thickTop="1"/>
    <row r="63" spans="1:25" ht="15.75" thickBot="1">
      <c r="B63" s="325" t="s">
        <v>48</v>
      </c>
    </row>
    <row r="64" spans="1:25" s="18" customFormat="1" ht="15.75" thickTop="1">
      <c r="A64" s="81"/>
      <c r="B64" s="326" t="s">
        <v>39</v>
      </c>
      <c r="C64" s="20">
        <v>0.5</v>
      </c>
      <c r="D64" s="20">
        <v>0.5</v>
      </c>
      <c r="E64" s="20">
        <v>0.5</v>
      </c>
      <c r="F64" s="20">
        <v>0.5</v>
      </c>
      <c r="G64" s="20">
        <v>0.5</v>
      </c>
      <c r="H64" s="20">
        <v>0.5</v>
      </c>
      <c r="I64" s="20">
        <v>0.5</v>
      </c>
      <c r="J64" s="20">
        <v>0.5</v>
      </c>
      <c r="K64" s="20">
        <v>0.5</v>
      </c>
      <c r="L64" s="20">
        <v>0.5</v>
      </c>
      <c r="M64" s="20">
        <v>0.5</v>
      </c>
      <c r="N64" s="20">
        <v>0.5</v>
      </c>
      <c r="O64" s="20">
        <v>0.5</v>
      </c>
      <c r="P64" s="20">
        <v>0.5</v>
      </c>
      <c r="Q64" s="20">
        <v>0.5</v>
      </c>
      <c r="R64" s="20">
        <v>0.5</v>
      </c>
      <c r="S64" s="20">
        <v>0.5</v>
      </c>
      <c r="T64" s="20">
        <v>0.5</v>
      </c>
      <c r="U64" s="20">
        <v>0.5</v>
      </c>
      <c r="V64" s="20">
        <v>0.5</v>
      </c>
      <c r="W64" s="20">
        <v>0.5</v>
      </c>
      <c r="X64" s="20">
        <v>0.5</v>
      </c>
      <c r="Y64" s="20">
        <v>0.5</v>
      </c>
    </row>
    <row r="65" spans="1:25">
      <c r="B65" s="327" t="s">
        <v>322</v>
      </c>
      <c r="C65" s="19">
        <f t="shared" ref="C65:Y65" si="31">C64*C47</f>
        <v>0</v>
      </c>
      <c r="D65" s="19">
        <f t="shared" si="31"/>
        <v>0</v>
      </c>
      <c r="E65" s="19">
        <f t="shared" si="31"/>
        <v>0</v>
      </c>
      <c r="F65" s="19">
        <f t="shared" si="31"/>
        <v>0</v>
      </c>
      <c r="G65" s="19">
        <f t="shared" si="31"/>
        <v>0</v>
      </c>
      <c r="H65" s="19">
        <f t="shared" si="31"/>
        <v>750</v>
      </c>
      <c r="I65" s="19">
        <f t="shared" si="31"/>
        <v>748.65</v>
      </c>
      <c r="J65" s="19">
        <f t="shared" si="31"/>
        <v>747.30242999999996</v>
      </c>
      <c r="K65" s="19">
        <f t="shared" si="31"/>
        <v>745.95728562599993</v>
      </c>
      <c r="L65" s="19">
        <f t="shared" si="31"/>
        <v>744.61456251187315</v>
      </c>
      <c r="M65" s="19">
        <f t="shared" si="31"/>
        <v>743.2742562993518</v>
      </c>
      <c r="N65" s="19">
        <f t="shared" si="31"/>
        <v>741.93636263801295</v>
      </c>
      <c r="O65" s="19">
        <f t="shared" si="31"/>
        <v>740.60087718526449</v>
      </c>
      <c r="P65" s="19">
        <f t="shared" si="31"/>
        <v>739.26779560633099</v>
      </c>
      <c r="Q65" s="19">
        <f t="shared" si="31"/>
        <v>737.93711357423956</v>
      </c>
      <c r="R65" s="19">
        <f t="shared" si="31"/>
        <v>736.60882676980589</v>
      </c>
      <c r="S65" s="19">
        <f t="shared" si="31"/>
        <v>735.28293088162025</v>
      </c>
      <c r="T65" s="19">
        <f t="shared" si="31"/>
        <v>733.95942160603329</v>
      </c>
      <c r="U65" s="19">
        <f t="shared" si="31"/>
        <v>732.6382946471424</v>
      </c>
      <c r="V65" s="19">
        <f t="shared" si="31"/>
        <v>731.3195457167775</v>
      </c>
      <c r="W65" s="19">
        <f t="shared" si="31"/>
        <v>730.00317053448725</v>
      </c>
      <c r="X65" s="19">
        <f t="shared" si="31"/>
        <v>728.68916482752513</v>
      </c>
      <c r="Y65" s="19">
        <f t="shared" si="31"/>
        <v>727.37752433083563</v>
      </c>
    </row>
    <row r="66" spans="1:25">
      <c r="B66" s="327" t="s">
        <v>38</v>
      </c>
      <c r="C66" s="5">
        <f t="shared" ref="C66:Y66" si="32">C47-C65</f>
        <v>0</v>
      </c>
      <c r="D66" s="5">
        <f t="shared" si="32"/>
        <v>0</v>
      </c>
      <c r="E66" s="5">
        <f t="shared" si="32"/>
        <v>0</v>
      </c>
      <c r="F66" s="5">
        <f t="shared" si="32"/>
        <v>0</v>
      </c>
      <c r="G66" s="5">
        <f t="shared" si="32"/>
        <v>0</v>
      </c>
      <c r="H66" s="5">
        <f t="shared" si="32"/>
        <v>750</v>
      </c>
      <c r="I66" s="5">
        <f t="shared" si="32"/>
        <v>748.65</v>
      </c>
      <c r="J66" s="5">
        <f t="shared" si="32"/>
        <v>747.30242999999996</v>
      </c>
      <c r="K66" s="5">
        <f t="shared" si="32"/>
        <v>745.95728562599993</v>
      </c>
      <c r="L66" s="5">
        <f t="shared" si="32"/>
        <v>744.61456251187315</v>
      </c>
      <c r="M66" s="5">
        <f t="shared" si="32"/>
        <v>743.2742562993518</v>
      </c>
      <c r="N66" s="5">
        <f t="shared" si="32"/>
        <v>741.93636263801295</v>
      </c>
      <c r="O66" s="5">
        <f t="shared" si="32"/>
        <v>740.60087718526449</v>
      </c>
      <c r="P66" s="5">
        <f t="shared" si="32"/>
        <v>739.26779560633099</v>
      </c>
      <c r="Q66" s="5">
        <f t="shared" si="32"/>
        <v>737.93711357423956</v>
      </c>
      <c r="R66" s="5">
        <f t="shared" si="32"/>
        <v>736.60882676980589</v>
      </c>
      <c r="S66" s="5">
        <f t="shared" si="32"/>
        <v>735.28293088162025</v>
      </c>
      <c r="T66" s="5">
        <f t="shared" si="32"/>
        <v>733.95942160603329</v>
      </c>
      <c r="U66" s="5">
        <f t="shared" si="32"/>
        <v>732.6382946471424</v>
      </c>
      <c r="V66" s="5">
        <f t="shared" si="32"/>
        <v>731.3195457167775</v>
      </c>
      <c r="W66" s="5">
        <f t="shared" si="32"/>
        <v>730.00317053448725</v>
      </c>
      <c r="X66" s="5">
        <f t="shared" si="32"/>
        <v>728.68916482752513</v>
      </c>
      <c r="Y66" s="5">
        <f t="shared" si="32"/>
        <v>727.37752433083563</v>
      </c>
    </row>
    <row r="67" spans="1:25">
      <c r="B67" s="327" t="s">
        <v>333</v>
      </c>
      <c r="C67" s="5"/>
      <c r="D67" s="5"/>
      <c r="E67" s="5"/>
      <c r="F67" s="5"/>
      <c r="G67" s="5"/>
      <c r="H67" s="5"/>
      <c r="I67" s="5"/>
      <c r="J67" s="5"/>
      <c r="K67" s="5"/>
      <c r="L67" s="381"/>
      <c r="M67" s="381"/>
      <c r="N67" s="381">
        <v>0.05</v>
      </c>
      <c r="O67" s="381">
        <v>0.12</v>
      </c>
      <c r="P67" s="381">
        <v>0.19</v>
      </c>
      <c r="Q67" s="381">
        <v>0.25</v>
      </c>
      <c r="R67" s="381">
        <v>0.3</v>
      </c>
      <c r="S67" s="381">
        <v>0.35</v>
      </c>
      <c r="T67" s="381">
        <v>0.4</v>
      </c>
      <c r="U67" s="381">
        <v>0.45</v>
      </c>
      <c r="V67" s="381">
        <v>0.5</v>
      </c>
      <c r="W67" s="381">
        <v>0.55000000000000004</v>
      </c>
      <c r="X67" s="381">
        <v>0.57999999999999996</v>
      </c>
      <c r="Y67" s="381">
        <v>0.6</v>
      </c>
    </row>
    <row r="68" spans="1:25">
      <c r="B68" s="327" t="s">
        <v>334</v>
      </c>
      <c r="C68" s="5"/>
      <c r="D68" s="5"/>
      <c r="E68" s="5"/>
      <c r="F68" s="5"/>
      <c r="G68" s="5"/>
      <c r="H68" s="5"/>
      <c r="I68" s="5"/>
      <c r="J68" s="5"/>
      <c r="K68" s="5"/>
      <c r="L68" s="380"/>
      <c r="M68" s="381"/>
      <c r="N68" s="381">
        <v>0.01</v>
      </c>
      <c r="O68" s="381">
        <v>0.04</v>
      </c>
      <c r="P68" s="381">
        <v>7.0000000000000007E-2</v>
      </c>
      <c r="Q68" s="381">
        <v>0.1</v>
      </c>
      <c r="R68" s="381">
        <v>0.12</v>
      </c>
      <c r="S68" s="381">
        <v>0.15</v>
      </c>
      <c r="T68" s="381">
        <v>0.17</v>
      </c>
      <c r="U68" s="381">
        <v>0.2</v>
      </c>
      <c r="V68" s="381">
        <v>0.22</v>
      </c>
      <c r="W68" s="381">
        <v>0.25</v>
      </c>
      <c r="X68" s="381">
        <v>0.27</v>
      </c>
      <c r="Y68" s="381">
        <v>0.27</v>
      </c>
    </row>
    <row r="69" spans="1:25">
      <c r="B69" s="327" t="s">
        <v>37</v>
      </c>
      <c r="C69" s="5"/>
      <c r="D69" s="5"/>
      <c r="E69" s="5"/>
      <c r="F69" s="5"/>
      <c r="G69" s="5"/>
      <c r="H69" s="5"/>
      <c r="I69" s="5"/>
      <c r="J69" s="5"/>
      <c r="K69" s="5"/>
      <c r="L69" s="5">
        <f>$L$28*0.7</f>
        <v>87500</v>
      </c>
      <c r="M69" s="5">
        <f>L69*(1+M70)</f>
        <v>87500</v>
      </c>
      <c r="N69" s="5">
        <f t="shared" ref="N69:Y69" si="33">M69*(1+N70)</f>
        <v>87500</v>
      </c>
      <c r="O69" s="5">
        <f t="shared" si="33"/>
        <v>89250</v>
      </c>
      <c r="P69" s="5">
        <f t="shared" si="33"/>
        <v>91035</v>
      </c>
      <c r="Q69" s="5">
        <f t="shared" si="33"/>
        <v>92855.7</v>
      </c>
      <c r="R69" s="5">
        <f t="shared" si="33"/>
        <v>94712.813999999998</v>
      </c>
      <c r="S69" s="5">
        <f t="shared" si="33"/>
        <v>96607.07028</v>
      </c>
      <c r="T69" s="5">
        <f t="shared" si="33"/>
        <v>98539.211685600007</v>
      </c>
      <c r="U69" s="5">
        <f t="shared" si="33"/>
        <v>100509.99591931202</v>
      </c>
      <c r="V69" s="5">
        <f t="shared" si="33"/>
        <v>102520.19583769825</v>
      </c>
      <c r="W69" s="5">
        <f t="shared" si="33"/>
        <v>104570.59975445223</v>
      </c>
      <c r="X69" s="5">
        <f t="shared" si="33"/>
        <v>106662.01174954127</v>
      </c>
      <c r="Y69" s="5">
        <f t="shared" si="33"/>
        <v>108795.25198453209</v>
      </c>
    </row>
    <row r="70" spans="1:25" s="164" customFormat="1">
      <c r="A70" s="165"/>
      <c r="B70" s="327" t="s">
        <v>213</v>
      </c>
      <c r="C70" s="5"/>
      <c r="D70" s="5"/>
      <c r="E70" s="5"/>
      <c r="F70" s="5"/>
      <c r="G70" s="5"/>
      <c r="H70" s="5"/>
      <c r="I70" s="5"/>
      <c r="J70" s="5"/>
      <c r="K70" s="5"/>
      <c r="L70" s="5"/>
      <c r="M70" s="382">
        <v>0</v>
      </c>
      <c r="N70" s="382">
        <f>M70</f>
        <v>0</v>
      </c>
      <c r="O70" s="382">
        <v>0.02</v>
      </c>
      <c r="P70" s="382">
        <f t="shared" ref="P70:Y70" si="34">O70</f>
        <v>0.02</v>
      </c>
      <c r="Q70" s="382">
        <f t="shared" si="34"/>
        <v>0.02</v>
      </c>
      <c r="R70" s="382">
        <f t="shared" si="34"/>
        <v>0.02</v>
      </c>
      <c r="S70" s="382">
        <f t="shared" si="34"/>
        <v>0.02</v>
      </c>
      <c r="T70" s="382">
        <f t="shared" si="34"/>
        <v>0.02</v>
      </c>
      <c r="U70" s="382">
        <f t="shared" si="34"/>
        <v>0.02</v>
      </c>
      <c r="V70" s="382">
        <f t="shared" si="34"/>
        <v>0.02</v>
      </c>
      <c r="W70" s="382">
        <f t="shared" si="34"/>
        <v>0.02</v>
      </c>
      <c r="X70" s="382">
        <f t="shared" si="34"/>
        <v>0.02</v>
      </c>
      <c r="Y70" s="382">
        <f t="shared" si="34"/>
        <v>0.02</v>
      </c>
    </row>
    <row r="71" spans="1:25" s="18" customFormat="1" ht="15.75" thickBot="1">
      <c r="A71" s="81"/>
      <c r="B71" s="345" t="s">
        <v>47</v>
      </c>
      <c r="C71" s="347"/>
      <c r="D71" s="347"/>
      <c r="E71" s="347"/>
      <c r="F71" s="347"/>
      <c r="G71" s="347"/>
      <c r="H71" s="347"/>
      <c r="I71" s="347"/>
      <c r="J71" s="347"/>
      <c r="K71" s="347"/>
      <c r="L71" s="347">
        <f t="shared" ref="L71:Y71" si="35">((L67*L65)+(L68*L66))*L69</f>
        <v>0</v>
      </c>
      <c r="M71" s="347">
        <f t="shared" si="35"/>
        <v>0</v>
      </c>
      <c r="N71" s="347">
        <f t="shared" si="35"/>
        <v>3895165.9038495682</v>
      </c>
      <c r="O71" s="347">
        <f t="shared" si="35"/>
        <v>10575780.526205577</v>
      </c>
      <c r="P71" s="347">
        <f t="shared" si="35"/>
        <v>17497803.380985811</v>
      </c>
      <c r="Q71" s="347">
        <f t="shared" si="35"/>
        <v>23982583.532920431</v>
      </c>
      <c r="R71" s="347">
        <f t="shared" si="35"/>
        <v>29301843.816254873</v>
      </c>
      <c r="S71" s="347">
        <f t="shared" si="35"/>
        <v>35516764.889682531</v>
      </c>
      <c r="T71" s="347">
        <f t="shared" si="35"/>
        <v>41224556.204138152</v>
      </c>
      <c r="U71" s="347">
        <f t="shared" si="35"/>
        <v>47864356.803455405</v>
      </c>
      <c r="V71" s="347">
        <f t="shared" si="35"/>
        <v>53982016.593710795</v>
      </c>
      <c r="W71" s="347">
        <f t="shared" si="35"/>
        <v>61069495.4923544</v>
      </c>
      <c r="X71" s="347">
        <f t="shared" si="35"/>
        <v>66064934.421507373</v>
      </c>
      <c r="Y71" s="347">
        <f t="shared" si="35"/>
        <v>68847642.311288804</v>
      </c>
    </row>
    <row r="72" spans="1:25" ht="15.75" thickTop="1"/>
    <row r="73" spans="1:25" ht="15.75" thickBot="1">
      <c r="B73" s="325" t="s">
        <v>46</v>
      </c>
    </row>
    <row r="74" spans="1:25" s="18" customFormat="1" ht="15.75" thickTop="1">
      <c r="A74" s="81"/>
      <c r="B74" s="326" t="s">
        <v>39</v>
      </c>
      <c r="C74" s="20">
        <v>0.5</v>
      </c>
      <c r="D74" s="20">
        <v>0.5</v>
      </c>
      <c r="E74" s="20">
        <v>0.5</v>
      </c>
      <c r="F74" s="20">
        <v>0.5</v>
      </c>
      <c r="G74" s="20">
        <v>0.5</v>
      </c>
      <c r="H74" s="20">
        <v>0.5</v>
      </c>
      <c r="I74" s="20">
        <v>0.5</v>
      </c>
      <c r="J74" s="20">
        <v>0.5</v>
      </c>
      <c r="K74" s="20">
        <v>0.5</v>
      </c>
      <c r="L74" s="20">
        <v>0.5</v>
      </c>
      <c r="M74" s="20">
        <v>0.5</v>
      </c>
      <c r="N74" s="20">
        <v>0.5</v>
      </c>
      <c r="O74" s="20">
        <v>0.5</v>
      </c>
      <c r="P74" s="20">
        <v>0.5</v>
      </c>
      <c r="Q74" s="20">
        <v>0.5</v>
      </c>
      <c r="R74" s="20">
        <v>0.5</v>
      </c>
      <c r="S74" s="20">
        <v>0.5</v>
      </c>
      <c r="T74" s="20">
        <v>0.5</v>
      </c>
      <c r="U74" s="20">
        <v>0.5</v>
      </c>
      <c r="V74" s="20">
        <v>0.5</v>
      </c>
      <c r="W74" s="20">
        <v>0.5</v>
      </c>
      <c r="X74" s="20">
        <v>0.5</v>
      </c>
      <c r="Y74" s="20">
        <v>0.5</v>
      </c>
    </row>
    <row r="75" spans="1:25">
      <c r="B75" s="327" t="s">
        <v>322</v>
      </c>
      <c r="C75" s="19">
        <f t="shared" ref="C75:Y75" si="36">C74*C48</f>
        <v>0</v>
      </c>
      <c r="D75" s="19">
        <f t="shared" si="36"/>
        <v>0</v>
      </c>
      <c r="E75" s="19">
        <f t="shared" si="36"/>
        <v>0</v>
      </c>
      <c r="F75" s="19">
        <f t="shared" si="36"/>
        <v>0</v>
      </c>
      <c r="G75" s="19">
        <f t="shared" si="36"/>
        <v>0</v>
      </c>
      <c r="H75" s="19">
        <f t="shared" si="36"/>
        <v>3250</v>
      </c>
      <c r="I75" s="19">
        <f t="shared" si="36"/>
        <v>3259.7499999999995</v>
      </c>
      <c r="J75" s="19">
        <f t="shared" si="36"/>
        <v>3269.5292499999991</v>
      </c>
      <c r="K75" s="19">
        <f t="shared" si="36"/>
        <v>3279.3378377499989</v>
      </c>
      <c r="L75" s="19">
        <f t="shared" si="36"/>
        <v>3289.1758512632487</v>
      </c>
      <c r="M75" s="19">
        <f t="shared" si="36"/>
        <v>3299.043378817038</v>
      </c>
      <c r="N75" s="19">
        <f t="shared" si="36"/>
        <v>3308.9405089534889</v>
      </c>
      <c r="O75" s="19">
        <f t="shared" si="36"/>
        <v>3318.8673304803492</v>
      </c>
      <c r="P75" s="19">
        <f t="shared" si="36"/>
        <v>3328.8239324717897</v>
      </c>
      <c r="Q75" s="19">
        <f t="shared" si="36"/>
        <v>3338.8104042692048</v>
      </c>
      <c r="R75" s="19">
        <f t="shared" si="36"/>
        <v>3348.826835482012</v>
      </c>
      <c r="S75" s="19">
        <f t="shared" si="36"/>
        <v>3358.8733159884578</v>
      </c>
      <c r="T75" s="19">
        <f t="shared" si="36"/>
        <v>3368.9499359364227</v>
      </c>
      <c r="U75" s="19">
        <f t="shared" si="36"/>
        <v>3379.0567857442315</v>
      </c>
      <c r="V75" s="19">
        <f t="shared" si="36"/>
        <v>3389.1939561014638</v>
      </c>
      <c r="W75" s="19">
        <f t="shared" si="36"/>
        <v>3399.3615379697676</v>
      </c>
      <c r="X75" s="19">
        <f t="shared" si="36"/>
        <v>3409.5596225836766</v>
      </c>
      <c r="Y75" s="19">
        <f t="shared" si="36"/>
        <v>3419.7883014514273</v>
      </c>
    </row>
    <row r="76" spans="1:25">
      <c r="B76" s="327" t="s">
        <v>38</v>
      </c>
      <c r="C76" s="19">
        <f t="shared" ref="C76:Y76" si="37">C48-C75</f>
        <v>0</v>
      </c>
      <c r="D76" s="19">
        <f t="shared" si="37"/>
        <v>0</v>
      </c>
      <c r="E76" s="19">
        <f t="shared" si="37"/>
        <v>0</v>
      </c>
      <c r="F76" s="19">
        <f t="shared" si="37"/>
        <v>0</v>
      </c>
      <c r="G76" s="19">
        <f t="shared" si="37"/>
        <v>0</v>
      </c>
      <c r="H76" s="19">
        <f t="shared" si="37"/>
        <v>3250</v>
      </c>
      <c r="I76" s="19">
        <f t="shared" si="37"/>
        <v>3259.7499999999995</v>
      </c>
      <c r="J76" s="19">
        <f t="shared" si="37"/>
        <v>3269.5292499999991</v>
      </c>
      <c r="K76" s="19">
        <f t="shared" si="37"/>
        <v>3279.3378377499989</v>
      </c>
      <c r="L76" s="19">
        <f t="shared" si="37"/>
        <v>3289.1758512632487</v>
      </c>
      <c r="M76" s="19">
        <f t="shared" si="37"/>
        <v>3299.043378817038</v>
      </c>
      <c r="N76" s="19">
        <f t="shared" si="37"/>
        <v>3308.9405089534889</v>
      </c>
      <c r="O76" s="19">
        <f t="shared" si="37"/>
        <v>3318.8673304803492</v>
      </c>
      <c r="P76" s="19">
        <f t="shared" si="37"/>
        <v>3328.8239324717897</v>
      </c>
      <c r="Q76" s="19">
        <f t="shared" si="37"/>
        <v>3338.8104042692048</v>
      </c>
      <c r="R76" s="19">
        <f t="shared" si="37"/>
        <v>3348.826835482012</v>
      </c>
      <c r="S76" s="19">
        <f t="shared" si="37"/>
        <v>3358.8733159884578</v>
      </c>
      <c r="T76" s="19">
        <f t="shared" si="37"/>
        <v>3368.9499359364227</v>
      </c>
      <c r="U76" s="19">
        <f t="shared" si="37"/>
        <v>3379.0567857442315</v>
      </c>
      <c r="V76" s="19">
        <f t="shared" si="37"/>
        <v>3389.1939561014638</v>
      </c>
      <c r="W76" s="19">
        <f t="shared" si="37"/>
        <v>3399.3615379697676</v>
      </c>
      <c r="X76" s="19">
        <f t="shared" si="37"/>
        <v>3409.5596225836766</v>
      </c>
      <c r="Y76" s="19">
        <f t="shared" si="37"/>
        <v>3419.7883014514273</v>
      </c>
    </row>
    <row r="77" spans="1:25">
      <c r="B77" s="327" t="s">
        <v>333</v>
      </c>
      <c r="C77" s="19"/>
      <c r="D77" s="19"/>
      <c r="E77" s="19"/>
      <c r="F77" s="19"/>
      <c r="G77" s="19"/>
      <c r="H77" s="19"/>
      <c r="I77" s="19"/>
      <c r="J77" s="19"/>
      <c r="K77" s="19"/>
      <c r="L77" s="381"/>
      <c r="M77" s="381"/>
      <c r="N77" s="381">
        <v>0.04</v>
      </c>
      <c r="O77" s="381">
        <v>0.1</v>
      </c>
      <c r="P77" s="381">
        <v>0.19</v>
      </c>
      <c r="Q77" s="381">
        <v>0.25</v>
      </c>
      <c r="R77" s="381">
        <v>0.3</v>
      </c>
      <c r="S77" s="381">
        <v>0.35</v>
      </c>
      <c r="T77" s="381">
        <v>0.4</v>
      </c>
      <c r="U77" s="381">
        <v>0.45</v>
      </c>
      <c r="V77" s="381">
        <v>0.5</v>
      </c>
      <c r="W77" s="381">
        <v>0.55000000000000004</v>
      </c>
      <c r="X77" s="381">
        <v>0.57999999999999996</v>
      </c>
      <c r="Y77" s="381">
        <v>0.6</v>
      </c>
    </row>
    <row r="78" spans="1:25">
      <c r="B78" s="327" t="s">
        <v>334</v>
      </c>
      <c r="C78" s="19"/>
      <c r="D78" s="19"/>
      <c r="E78" s="19"/>
      <c r="F78" s="19"/>
      <c r="G78" s="19"/>
      <c r="H78" s="19"/>
      <c r="I78" s="19"/>
      <c r="J78" s="19"/>
      <c r="K78" s="19"/>
      <c r="L78" s="380"/>
      <c r="M78" s="381"/>
      <c r="N78" s="381">
        <v>0.01</v>
      </c>
      <c r="O78" s="381">
        <v>0.04</v>
      </c>
      <c r="P78" s="381">
        <v>7.0000000000000007E-2</v>
      </c>
      <c r="Q78" s="381">
        <v>0.1</v>
      </c>
      <c r="R78" s="381">
        <v>0.12</v>
      </c>
      <c r="S78" s="381">
        <v>0.15</v>
      </c>
      <c r="T78" s="381">
        <v>0.17</v>
      </c>
      <c r="U78" s="381">
        <v>0.2</v>
      </c>
      <c r="V78" s="381">
        <v>0.22</v>
      </c>
      <c r="W78" s="381">
        <v>0.25</v>
      </c>
      <c r="X78" s="381">
        <v>0.27</v>
      </c>
      <c r="Y78" s="381">
        <v>0.27</v>
      </c>
    </row>
    <row r="79" spans="1:25">
      <c r="B79" s="327" t="s">
        <v>37</v>
      </c>
      <c r="C79" s="19"/>
      <c r="D79" s="19"/>
      <c r="E79" s="19"/>
      <c r="F79" s="19"/>
      <c r="G79" s="19"/>
      <c r="H79" s="19"/>
      <c r="I79" s="19"/>
      <c r="J79" s="19"/>
      <c r="K79" s="19"/>
      <c r="L79" s="5">
        <f>$L$28*0.7</f>
        <v>87500</v>
      </c>
      <c r="M79" s="5">
        <f>L79*(1+M80)</f>
        <v>87500</v>
      </c>
      <c r="N79" s="5">
        <f t="shared" ref="N79:Y79" si="38">M79*(1+N80)</f>
        <v>87500</v>
      </c>
      <c r="O79" s="5">
        <f t="shared" si="38"/>
        <v>89250</v>
      </c>
      <c r="P79" s="5">
        <f t="shared" si="38"/>
        <v>91035</v>
      </c>
      <c r="Q79" s="5">
        <f t="shared" si="38"/>
        <v>92855.7</v>
      </c>
      <c r="R79" s="5">
        <f t="shared" si="38"/>
        <v>94712.813999999998</v>
      </c>
      <c r="S79" s="5">
        <f t="shared" si="38"/>
        <v>96607.07028</v>
      </c>
      <c r="T79" s="5">
        <f t="shared" si="38"/>
        <v>98539.211685600007</v>
      </c>
      <c r="U79" s="5">
        <f t="shared" si="38"/>
        <v>100509.99591931202</v>
      </c>
      <c r="V79" s="5">
        <f t="shared" si="38"/>
        <v>102520.19583769825</v>
      </c>
      <c r="W79" s="5">
        <f t="shared" si="38"/>
        <v>104570.59975445223</v>
      </c>
      <c r="X79" s="5">
        <f t="shared" si="38"/>
        <v>106662.01174954127</v>
      </c>
      <c r="Y79" s="5">
        <f t="shared" si="38"/>
        <v>108795.25198453209</v>
      </c>
    </row>
    <row r="80" spans="1:25" s="164" customFormat="1">
      <c r="A80" s="165"/>
      <c r="B80" s="327" t="s">
        <v>213</v>
      </c>
      <c r="C80" s="80"/>
      <c r="D80" s="80"/>
      <c r="E80" s="80"/>
      <c r="F80" s="80"/>
      <c r="G80" s="80"/>
      <c r="H80" s="80"/>
      <c r="I80" s="80"/>
      <c r="J80" s="80"/>
      <c r="K80" s="80"/>
      <c r="L80" s="5"/>
      <c r="M80" s="382">
        <v>0</v>
      </c>
      <c r="N80" s="382">
        <f>M80</f>
        <v>0</v>
      </c>
      <c r="O80" s="382">
        <v>0.02</v>
      </c>
      <c r="P80" s="382">
        <f t="shared" ref="P80:Y80" si="39">O80</f>
        <v>0.02</v>
      </c>
      <c r="Q80" s="382">
        <f t="shared" si="39"/>
        <v>0.02</v>
      </c>
      <c r="R80" s="382">
        <f t="shared" si="39"/>
        <v>0.02</v>
      </c>
      <c r="S80" s="382">
        <f t="shared" si="39"/>
        <v>0.02</v>
      </c>
      <c r="T80" s="382">
        <f t="shared" si="39"/>
        <v>0.02</v>
      </c>
      <c r="U80" s="382">
        <f t="shared" si="39"/>
        <v>0.02</v>
      </c>
      <c r="V80" s="382">
        <f t="shared" si="39"/>
        <v>0.02</v>
      </c>
      <c r="W80" s="382">
        <f t="shared" si="39"/>
        <v>0.02</v>
      </c>
      <c r="X80" s="382">
        <f t="shared" si="39"/>
        <v>0.02</v>
      </c>
      <c r="Y80" s="382">
        <f t="shared" si="39"/>
        <v>0.02</v>
      </c>
    </row>
    <row r="81" spans="1:25" s="18" customFormat="1" ht="15.75" thickBot="1">
      <c r="A81" s="81"/>
      <c r="B81" s="345" t="s">
        <v>45</v>
      </c>
      <c r="C81" s="348"/>
      <c r="D81" s="348"/>
      <c r="E81" s="348"/>
      <c r="F81" s="348"/>
      <c r="G81" s="348"/>
      <c r="H81" s="348"/>
      <c r="I81" s="348"/>
      <c r="J81" s="348"/>
      <c r="K81" s="348"/>
      <c r="L81" s="347">
        <f t="shared" ref="L81:Y81" si="40">((L77*L75)+(L78*L76))*L79</f>
        <v>0</v>
      </c>
      <c r="M81" s="347">
        <f t="shared" si="40"/>
        <v>0</v>
      </c>
      <c r="N81" s="347">
        <f t="shared" si="40"/>
        <v>14476614.726671515</v>
      </c>
      <c r="O81" s="347">
        <f t="shared" si="40"/>
        <v>41469247.294351965</v>
      </c>
      <c r="P81" s="347">
        <f t="shared" si="40"/>
        <v>78790266.540068045</v>
      </c>
      <c r="Q81" s="347">
        <f t="shared" si="40"/>
        <v>108509652.03949499</v>
      </c>
      <c r="R81" s="347">
        <f t="shared" si="40"/>
        <v>133214261.53863089</v>
      </c>
      <c r="S81" s="347">
        <f t="shared" si="40"/>
        <v>162245455.2496568</v>
      </c>
      <c r="T81" s="347">
        <f t="shared" si="40"/>
        <v>189224992.41039383</v>
      </c>
      <c r="U81" s="347">
        <f t="shared" si="40"/>
        <v>220758839.43507957</v>
      </c>
      <c r="V81" s="347">
        <f t="shared" si="40"/>
        <v>250171796.24025506</v>
      </c>
      <c r="W81" s="347">
        <f t="shared" si="40"/>
        <v>284378619.84617257</v>
      </c>
      <c r="X81" s="347">
        <f t="shared" si="40"/>
        <v>309119915.24606436</v>
      </c>
      <c r="Y81" s="347">
        <f t="shared" si="40"/>
        <v>323689355.09144181</v>
      </c>
    </row>
    <row r="82" spans="1:25" ht="15.75" thickTop="1"/>
    <row r="83" spans="1:25" ht="15.75" thickBot="1">
      <c r="B83" s="325" t="s">
        <v>44</v>
      </c>
    </row>
    <row r="84" spans="1:25" s="18" customFormat="1" ht="15.75" thickTop="1">
      <c r="A84" s="81"/>
      <c r="B84" s="326" t="s">
        <v>39</v>
      </c>
      <c r="C84" s="20">
        <v>0.5</v>
      </c>
      <c r="D84" s="20">
        <v>0.5</v>
      </c>
      <c r="E84" s="20">
        <v>0.5</v>
      </c>
      <c r="F84" s="20">
        <v>0.5</v>
      </c>
      <c r="G84" s="20">
        <v>0.5</v>
      </c>
      <c r="H84" s="20">
        <v>0.5</v>
      </c>
      <c r="I84" s="20">
        <v>0.5</v>
      </c>
      <c r="J84" s="20">
        <v>0.5</v>
      </c>
      <c r="K84" s="20">
        <v>0.5</v>
      </c>
      <c r="L84" s="20">
        <v>0.5</v>
      </c>
      <c r="M84" s="20">
        <v>0.5</v>
      </c>
      <c r="N84" s="20">
        <v>0.5</v>
      </c>
      <c r="O84" s="20">
        <v>0.5</v>
      </c>
      <c r="P84" s="20">
        <v>0.5</v>
      </c>
      <c r="Q84" s="20">
        <v>0.5</v>
      </c>
      <c r="R84" s="20">
        <v>0.5</v>
      </c>
      <c r="S84" s="20">
        <v>0.5</v>
      </c>
      <c r="T84" s="20">
        <v>0.5</v>
      </c>
      <c r="U84" s="20">
        <v>0.5</v>
      </c>
      <c r="V84" s="20">
        <v>0.5</v>
      </c>
      <c r="W84" s="20">
        <v>0.5</v>
      </c>
      <c r="X84" s="20">
        <v>0.5</v>
      </c>
      <c r="Y84" s="20">
        <v>0.5</v>
      </c>
    </row>
    <row r="85" spans="1:25">
      <c r="B85" s="327" t="s">
        <v>322</v>
      </c>
      <c r="C85" s="19">
        <f t="shared" ref="C85:Y85" si="41">C84*C49</f>
        <v>0</v>
      </c>
      <c r="D85" s="19">
        <f t="shared" si="41"/>
        <v>0</v>
      </c>
      <c r="E85" s="19">
        <f t="shared" si="41"/>
        <v>0</v>
      </c>
      <c r="F85" s="19">
        <f t="shared" si="41"/>
        <v>0</v>
      </c>
      <c r="G85" s="19">
        <f t="shared" si="41"/>
        <v>0</v>
      </c>
      <c r="H85" s="19">
        <f t="shared" si="41"/>
        <v>56.5</v>
      </c>
      <c r="I85" s="19">
        <f t="shared" si="41"/>
        <v>56.912450000000007</v>
      </c>
      <c r="J85" s="19">
        <f t="shared" si="41"/>
        <v>57.327910885000009</v>
      </c>
      <c r="K85" s="19">
        <f t="shared" si="41"/>
        <v>57.746404634460511</v>
      </c>
      <c r="L85" s="19">
        <f t="shared" si="41"/>
        <v>58.167953388292077</v>
      </c>
      <c r="M85" s="19">
        <f t="shared" si="41"/>
        <v>58.592579448026612</v>
      </c>
      <c r="N85" s="19">
        <f t="shared" si="41"/>
        <v>59.02030527799721</v>
      </c>
      <c r="O85" s="19">
        <f t="shared" si="41"/>
        <v>59.451153506526595</v>
      </c>
      <c r="P85" s="19">
        <f t="shared" si="41"/>
        <v>59.885146927124246</v>
      </c>
      <c r="Q85" s="19">
        <f t="shared" si="41"/>
        <v>60.322308499692255</v>
      </c>
      <c r="R85" s="19">
        <f t="shared" si="41"/>
        <v>60.762661351740014</v>
      </c>
      <c r="S85" s="19">
        <f t="shared" si="41"/>
        <v>61.20622877960772</v>
      </c>
      <c r="T85" s="19">
        <f t="shared" si="41"/>
        <v>61.653034249698862</v>
      </c>
      <c r="U85" s="19">
        <f t="shared" si="41"/>
        <v>62.103101399721666</v>
      </c>
      <c r="V85" s="19">
        <f t="shared" si="41"/>
        <v>62.556454039939638</v>
      </c>
      <c r="W85" s="19">
        <f t="shared" si="41"/>
        <v>63.013116154431202</v>
      </c>
      <c r="X85" s="19">
        <f t="shared" si="41"/>
        <v>63.473111902358553</v>
      </c>
      <c r="Y85" s="19">
        <f t="shared" si="41"/>
        <v>63.936465619245773</v>
      </c>
    </row>
    <row r="86" spans="1:25">
      <c r="B86" s="327" t="s">
        <v>38</v>
      </c>
      <c r="C86" s="19">
        <f t="shared" ref="C86:Y86" si="42">C49-C85</f>
        <v>0</v>
      </c>
      <c r="D86" s="19">
        <f t="shared" si="42"/>
        <v>0</v>
      </c>
      <c r="E86" s="19">
        <f t="shared" si="42"/>
        <v>0</v>
      </c>
      <c r="F86" s="19">
        <f t="shared" si="42"/>
        <v>0</v>
      </c>
      <c r="G86" s="19">
        <f t="shared" si="42"/>
        <v>0</v>
      </c>
      <c r="H86" s="19">
        <f t="shared" si="42"/>
        <v>56.5</v>
      </c>
      <c r="I86" s="19">
        <f t="shared" si="42"/>
        <v>56.912450000000007</v>
      </c>
      <c r="J86" s="19">
        <f t="shared" si="42"/>
        <v>57.327910885000009</v>
      </c>
      <c r="K86" s="19">
        <f t="shared" si="42"/>
        <v>57.746404634460511</v>
      </c>
      <c r="L86" s="19">
        <f t="shared" si="42"/>
        <v>58.167953388292077</v>
      </c>
      <c r="M86" s="19">
        <f t="shared" si="42"/>
        <v>58.592579448026612</v>
      </c>
      <c r="N86" s="19">
        <f t="shared" si="42"/>
        <v>59.02030527799721</v>
      </c>
      <c r="O86" s="19">
        <f t="shared" si="42"/>
        <v>59.451153506526595</v>
      </c>
      <c r="P86" s="19">
        <f t="shared" si="42"/>
        <v>59.885146927124246</v>
      </c>
      <c r="Q86" s="19">
        <f t="shared" si="42"/>
        <v>60.322308499692255</v>
      </c>
      <c r="R86" s="19">
        <f t="shared" si="42"/>
        <v>60.762661351740014</v>
      </c>
      <c r="S86" s="19">
        <f t="shared" si="42"/>
        <v>61.20622877960772</v>
      </c>
      <c r="T86" s="19">
        <f t="shared" si="42"/>
        <v>61.653034249698862</v>
      </c>
      <c r="U86" s="19">
        <f t="shared" si="42"/>
        <v>62.103101399721666</v>
      </c>
      <c r="V86" s="19">
        <f t="shared" si="42"/>
        <v>62.556454039939638</v>
      </c>
      <c r="W86" s="19">
        <f t="shared" si="42"/>
        <v>63.013116154431202</v>
      </c>
      <c r="X86" s="19">
        <f t="shared" si="42"/>
        <v>63.473111902358553</v>
      </c>
      <c r="Y86" s="19">
        <f t="shared" si="42"/>
        <v>63.936465619245773</v>
      </c>
    </row>
    <row r="87" spans="1:25">
      <c r="B87" s="327" t="s">
        <v>333</v>
      </c>
      <c r="C87" s="19"/>
      <c r="D87" s="19"/>
      <c r="E87" s="19"/>
      <c r="F87" s="19"/>
      <c r="G87" s="19"/>
      <c r="H87" s="19"/>
      <c r="I87" s="19"/>
      <c r="J87" s="19"/>
      <c r="K87" s="19"/>
      <c r="L87" s="381"/>
      <c r="M87" s="381"/>
      <c r="N87" s="381">
        <v>0.05</v>
      </c>
      <c r="O87" s="381">
        <v>0.12</v>
      </c>
      <c r="P87" s="381">
        <v>0.19</v>
      </c>
      <c r="Q87" s="381">
        <v>0.25</v>
      </c>
      <c r="R87" s="381">
        <v>0.3</v>
      </c>
      <c r="S87" s="381">
        <v>0.35</v>
      </c>
      <c r="T87" s="381">
        <v>0.4</v>
      </c>
      <c r="U87" s="381">
        <v>0.45</v>
      </c>
      <c r="V87" s="381">
        <v>0.5</v>
      </c>
      <c r="W87" s="381">
        <v>0.55000000000000004</v>
      </c>
      <c r="X87" s="381">
        <v>0.57999999999999996</v>
      </c>
      <c r="Y87" s="381">
        <v>0.6</v>
      </c>
    </row>
    <row r="88" spans="1:25">
      <c r="B88" s="327" t="s">
        <v>334</v>
      </c>
      <c r="C88" s="19"/>
      <c r="D88" s="19"/>
      <c r="E88" s="19"/>
      <c r="F88" s="19"/>
      <c r="G88" s="19"/>
      <c r="H88" s="19"/>
      <c r="I88" s="19"/>
      <c r="J88" s="19"/>
      <c r="K88" s="19"/>
      <c r="L88" s="380"/>
      <c r="M88" s="381"/>
      <c r="N88" s="381">
        <v>0.01</v>
      </c>
      <c r="O88" s="381">
        <v>0.04</v>
      </c>
      <c r="P88" s="381">
        <v>7.0000000000000007E-2</v>
      </c>
      <c r="Q88" s="381">
        <v>0.1</v>
      </c>
      <c r="R88" s="381">
        <v>0.12</v>
      </c>
      <c r="S88" s="381">
        <v>0.15</v>
      </c>
      <c r="T88" s="381">
        <v>0.17</v>
      </c>
      <c r="U88" s="381">
        <v>0.2</v>
      </c>
      <c r="V88" s="381">
        <v>0.22</v>
      </c>
      <c r="W88" s="381">
        <v>0.25</v>
      </c>
      <c r="X88" s="381">
        <v>0.27</v>
      </c>
      <c r="Y88" s="381">
        <v>0.27</v>
      </c>
    </row>
    <row r="89" spans="1:25">
      <c r="B89" s="327" t="s">
        <v>37</v>
      </c>
      <c r="C89" s="19"/>
      <c r="D89" s="19"/>
      <c r="E89" s="19"/>
      <c r="F89" s="19"/>
      <c r="G89" s="19"/>
      <c r="H89" s="19"/>
      <c r="I89" s="19"/>
      <c r="J89" s="19"/>
      <c r="K89" s="19"/>
      <c r="L89" s="5">
        <f>$L$28*0.7</f>
        <v>87500</v>
      </c>
      <c r="M89" s="5">
        <f>L89*(1+M90)</f>
        <v>87500</v>
      </c>
      <c r="N89" s="5">
        <f t="shared" ref="N89:Y89" si="43">M89*(1+N90)</f>
        <v>87500</v>
      </c>
      <c r="O89" s="5">
        <f t="shared" si="43"/>
        <v>89250</v>
      </c>
      <c r="P89" s="5">
        <f t="shared" si="43"/>
        <v>91035</v>
      </c>
      <c r="Q89" s="5">
        <f t="shared" si="43"/>
        <v>92855.7</v>
      </c>
      <c r="R89" s="5">
        <f t="shared" si="43"/>
        <v>94712.813999999998</v>
      </c>
      <c r="S89" s="5">
        <f t="shared" si="43"/>
        <v>96607.07028</v>
      </c>
      <c r="T89" s="5">
        <f t="shared" si="43"/>
        <v>98539.211685600007</v>
      </c>
      <c r="U89" s="5">
        <f t="shared" si="43"/>
        <v>100509.99591931202</v>
      </c>
      <c r="V89" s="5">
        <f t="shared" si="43"/>
        <v>102520.19583769825</v>
      </c>
      <c r="W89" s="5">
        <f t="shared" si="43"/>
        <v>104570.59975445223</v>
      </c>
      <c r="X89" s="5">
        <f t="shared" si="43"/>
        <v>106662.01174954127</v>
      </c>
      <c r="Y89" s="5">
        <f t="shared" si="43"/>
        <v>108795.25198453209</v>
      </c>
    </row>
    <row r="90" spans="1:25" s="164" customFormat="1">
      <c r="A90" s="165"/>
      <c r="B90" s="327" t="s">
        <v>213</v>
      </c>
      <c r="C90" s="80"/>
      <c r="D90" s="80"/>
      <c r="E90" s="80"/>
      <c r="F90" s="80"/>
      <c r="G90" s="80"/>
      <c r="H90" s="80"/>
      <c r="I90" s="80"/>
      <c r="J90" s="80"/>
      <c r="K90" s="80"/>
      <c r="L90" s="5"/>
      <c r="M90" s="382">
        <v>0</v>
      </c>
      <c r="N90" s="382">
        <f>M90</f>
        <v>0</v>
      </c>
      <c r="O90" s="382">
        <v>0.02</v>
      </c>
      <c r="P90" s="382">
        <f t="shared" ref="P90:Y90" si="44">O90</f>
        <v>0.02</v>
      </c>
      <c r="Q90" s="382">
        <f t="shared" si="44"/>
        <v>0.02</v>
      </c>
      <c r="R90" s="382">
        <f t="shared" si="44"/>
        <v>0.02</v>
      </c>
      <c r="S90" s="382">
        <f t="shared" si="44"/>
        <v>0.02</v>
      </c>
      <c r="T90" s="382">
        <f t="shared" si="44"/>
        <v>0.02</v>
      </c>
      <c r="U90" s="382">
        <f t="shared" si="44"/>
        <v>0.02</v>
      </c>
      <c r="V90" s="382">
        <f t="shared" si="44"/>
        <v>0.02</v>
      </c>
      <c r="W90" s="382">
        <f t="shared" si="44"/>
        <v>0.02</v>
      </c>
      <c r="X90" s="382">
        <f t="shared" si="44"/>
        <v>0.02</v>
      </c>
      <c r="Y90" s="382">
        <f t="shared" si="44"/>
        <v>0.02</v>
      </c>
    </row>
    <row r="91" spans="1:25" s="18" customFormat="1" ht="15.75" thickBot="1">
      <c r="A91" s="81"/>
      <c r="B91" s="345" t="s">
        <v>43</v>
      </c>
      <c r="C91" s="348"/>
      <c r="D91" s="348"/>
      <c r="E91" s="348"/>
      <c r="F91" s="348"/>
      <c r="G91" s="348"/>
      <c r="H91" s="348"/>
      <c r="I91" s="348"/>
      <c r="J91" s="348"/>
      <c r="K91" s="348"/>
      <c r="L91" s="347">
        <f t="shared" ref="L91:Y91" si="45">((L87*L85)+(L88*L86))*L89</f>
        <v>0</v>
      </c>
      <c r="M91" s="347">
        <f t="shared" si="45"/>
        <v>0</v>
      </c>
      <c r="N91" s="347">
        <f t="shared" si="45"/>
        <v>309856.60270948539</v>
      </c>
      <c r="O91" s="347">
        <f t="shared" si="45"/>
        <v>848962.47207319981</v>
      </c>
      <c r="P91" s="347">
        <f t="shared" si="45"/>
        <v>1417427.5311327965</v>
      </c>
      <c r="Q91" s="347">
        <f t="shared" si="45"/>
        <v>1960444.563474206</v>
      </c>
      <c r="R91" s="347">
        <f t="shared" si="45"/>
        <v>2417101.1099559828</v>
      </c>
      <c r="S91" s="347">
        <f t="shared" si="45"/>
        <v>2956477.2226426606</v>
      </c>
      <c r="T91" s="347">
        <f t="shared" si="45"/>
        <v>3462887.5940046553</v>
      </c>
      <c r="U91" s="347">
        <f t="shared" si="45"/>
        <v>4057288.6043707198</v>
      </c>
      <c r="V91" s="347">
        <f t="shared" si="45"/>
        <v>4617575.9417423392</v>
      </c>
      <c r="W91" s="347">
        <f t="shared" si="45"/>
        <v>5271455.4789326666</v>
      </c>
      <c r="X91" s="347">
        <f t="shared" si="45"/>
        <v>5754644.3363829181</v>
      </c>
      <c r="Y91" s="347">
        <f t="shared" si="45"/>
        <v>6051705.9826002074</v>
      </c>
    </row>
    <row r="92" spans="1:25" ht="15.75" thickTop="1"/>
    <row r="93" spans="1:25" ht="15.75" thickBot="1">
      <c r="B93" s="325" t="s">
        <v>42</v>
      </c>
    </row>
    <row r="94" spans="1:25" s="18" customFormat="1" ht="15.75" thickTop="1">
      <c r="A94" s="81"/>
      <c r="B94" s="326" t="s">
        <v>39</v>
      </c>
      <c r="C94" s="20">
        <v>0.5</v>
      </c>
      <c r="D94" s="20">
        <v>0.5</v>
      </c>
      <c r="E94" s="20">
        <v>0.5</v>
      </c>
      <c r="F94" s="20">
        <v>0.5</v>
      </c>
      <c r="G94" s="20">
        <v>0.5</v>
      </c>
      <c r="H94" s="20">
        <v>0.5</v>
      </c>
      <c r="I94" s="20">
        <v>0.5</v>
      </c>
      <c r="J94" s="20">
        <v>0.5</v>
      </c>
      <c r="K94" s="20">
        <v>0.5</v>
      </c>
      <c r="L94" s="20">
        <v>0.5</v>
      </c>
      <c r="M94" s="20">
        <v>0.5</v>
      </c>
      <c r="N94" s="20">
        <v>0.5</v>
      </c>
      <c r="O94" s="20">
        <v>0.5</v>
      </c>
      <c r="P94" s="20">
        <v>0.5</v>
      </c>
      <c r="Q94" s="20">
        <v>0.5</v>
      </c>
      <c r="R94" s="20">
        <v>0.5</v>
      </c>
      <c r="S94" s="20">
        <v>0.5</v>
      </c>
      <c r="T94" s="20">
        <v>0.5</v>
      </c>
      <c r="U94" s="20">
        <v>0.5</v>
      </c>
      <c r="V94" s="20">
        <v>0.5</v>
      </c>
      <c r="W94" s="20">
        <v>0.5</v>
      </c>
      <c r="X94" s="20">
        <v>0.5</v>
      </c>
      <c r="Y94" s="20">
        <v>0.5</v>
      </c>
    </row>
    <row r="95" spans="1:25">
      <c r="B95" s="327" t="s">
        <v>322</v>
      </c>
      <c r="C95" s="19">
        <f t="shared" ref="C95:Y95" si="46">C94*C50</f>
        <v>0</v>
      </c>
      <c r="D95" s="19">
        <f t="shared" si="46"/>
        <v>0</v>
      </c>
      <c r="E95" s="19">
        <f t="shared" si="46"/>
        <v>0</v>
      </c>
      <c r="F95" s="19">
        <f t="shared" si="46"/>
        <v>0</v>
      </c>
      <c r="G95" s="19">
        <f t="shared" si="46"/>
        <v>0</v>
      </c>
      <c r="H95" s="19">
        <f t="shared" si="46"/>
        <v>460</v>
      </c>
      <c r="I95" s="19">
        <f t="shared" si="46"/>
        <v>463.68</v>
      </c>
      <c r="J95" s="19">
        <f t="shared" si="46"/>
        <v>467.38944000000004</v>
      </c>
      <c r="K95" s="19">
        <f t="shared" si="46"/>
        <v>471.12855552000002</v>
      </c>
      <c r="L95" s="19">
        <f t="shared" si="46"/>
        <v>474.89758396416005</v>
      </c>
      <c r="M95" s="19">
        <f t="shared" si="46"/>
        <v>478.69676463587331</v>
      </c>
      <c r="N95" s="19">
        <f t="shared" si="46"/>
        <v>482.52633875296027</v>
      </c>
      <c r="O95" s="19">
        <f t="shared" si="46"/>
        <v>486.38654946298396</v>
      </c>
      <c r="P95" s="19">
        <f t="shared" si="46"/>
        <v>490.27764185868784</v>
      </c>
      <c r="Q95" s="19">
        <f t="shared" si="46"/>
        <v>494.19986299355736</v>
      </c>
      <c r="R95" s="19">
        <f t="shared" si="46"/>
        <v>498.15346189750585</v>
      </c>
      <c r="S95" s="19">
        <f t="shared" si="46"/>
        <v>502.13868959268592</v>
      </c>
      <c r="T95" s="19">
        <f t="shared" si="46"/>
        <v>506.15579910942739</v>
      </c>
      <c r="U95" s="19">
        <f t="shared" si="46"/>
        <v>510.20504550230282</v>
      </c>
      <c r="V95" s="19">
        <f t="shared" si="46"/>
        <v>514.28668586632125</v>
      </c>
      <c r="W95" s="19">
        <f t="shared" si="46"/>
        <v>518.40097935325184</v>
      </c>
      <c r="X95" s="19">
        <f t="shared" si="46"/>
        <v>522.5481871880778</v>
      </c>
      <c r="Y95" s="19">
        <f t="shared" si="46"/>
        <v>526.72857268558244</v>
      </c>
    </row>
    <row r="96" spans="1:25">
      <c r="B96" s="327" t="s">
        <v>38</v>
      </c>
      <c r="C96" s="19">
        <f t="shared" ref="C96:Y96" si="47">C50-C95</f>
        <v>0</v>
      </c>
      <c r="D96" s="19">
        <f t="shared" si="47"/>
        <v>0</v>
      </c>
      <c r="E96" s="19">
        <f t="shared" si="47"/>
        <v>0</v>
      </c>
      <c r="F96" s="19">
        <f t="shared" si="47"/>
        <v>0</v>
      </c>
      <c r="G96" s="19">
        <f t="shared" si="47"/>
        <v>0</v>
      </c>
      <c r="H96" s="19">
        <f t="shared" si="47"/>
        <v>460</v>
      </c>
      <c r="I96" s="19">
        <f t="shared" si="47"/>
        <v>463.68</v>
      </c>
      <c r="J96" s="19">
        <f t="shared" si="47"/>
        <v>467.38944000000004</v>
      </c>
      <c r="K96" s="19">
        <f t="shared" si="47"/>
        <v>471.12855552000002</v>
      </c>
      <c r="L96" s="19">
        <f t="shared" si="47"/>
        <v>474.89758396416005</v>
      </c>
      <c r="M96" s="19">
        <f t="shared" si="47"/>
        <v>478.69676463587331</v>
      </c>
      <c r="N96" s="19">
        <f t="shared" si="47"/>
        <v>482.52633875296027</v>
      </c>
      <c r="O96" s="19">
        <f t="shared" si="47"/>
        <v>486.38654946298396</v>
      </c>
      <c r="P96" s="19">
        <f t="shared" si="47"/>
        <v>490.27764185868784</v>
      </c>
      <c r="Q96" s="19">
        <f t="shared" si="47"/>
        <v>494.19986299355736</v>
      </c>
      <c r="R96" s="19">
        <f t="shared" si="47"/>
        <v>498.15346189750585</v>
      </c>
      <c r="S96" s="19">
        <f t="shared" si="47"/>
        <v>502.13868959268592</v>
      </c>
      <c r="T96" s="19">
        <f t="shared" si="47"/>
        <v>506.15579910942739</v>
      </c>
      <c r="U96" s="19">
        <f t="shared" si="47"/>
        <v>510.20504550230282</v>
      </c>
      <c r="V96" s="19">
        <f t="shared" si="47"/>
        <v>514.28668586632125</v>
      </c>
      <c r="W96" s="19">
        <f t="shared" si="47"/>
        <v>518.40097935325184</v>
      </c>
      <c r="X96" s="19">
        <f t="shared" si="47"/>
        <v>522.5481871880778</v>
      </c>
      <c r="Y96" s="19">
        <f t="shared" si="47"/>
        <v>526.72857268558244</v>
      </c>
    </row>
    <row r="97" spans="1:26">
      <c r="B97" s="327" t="s">
        <v>333</v>
      </c>
      <c r="C97" s="19"/>
      <c r="D97" s="19"/>
      <c r="E97" s="19"/>
      <c r="F97" s="19"/>
      <c r="G97" s="19"/>
      <c r="H97" s="19"/>
      <c r="I97" s="19"/>
      <c r="J97" s="19"/>
      <c r="K97" s="19"/>
      <c r="L97" s="381"/>
      <c r="M97" s="381"/>
      <c r="N97" s="381">
        <v>0.05</v>
      </c>
      <c r="O97" s="381">
        <v>0.12</v>
      </c>
      <c r="P97" s="381">
        <v>0.19</v>
      </c>
      <c r="Q97" s="381">
        <v>0.25</v>
      </c>
      <c r="R97" s="381">
        <v>0.3</v>
      </c>
      <c r="S97" s="381">
        <v>0.35</v>
      </c>
      <c r="T97" s="381">
        <v>0.4</v>
      </c>
      <c r="U97" s="381">
        <v>0.45</v>
      </c>
      <c r="V97" s="381">
        <v>0.5</v>
      </c>
      <c r="W97" s="381">
        <v>0.55000000000000004</v>
      </c>
      <c r="X97" s="381">
        <v>0.57999999999999996</v>
      </c>
      <c r="Y97" s="381">
        <v>0.6</v>
      </c>
    </row>
    <row r="98" spans="1:26">
      <c r="B98" s="327" t="s">
        <v>334</v>
      </c>
      <c r="C98" s="19"/>
      <c r="D98" s="19"/>
      <c r="E98" s="19"/>
      <c r="F98" s="19"/>
      <c r="G98" s="19"/>
      <c r="H98" s="19"/>
      <c r="I98" s="19"/>
      <c r="J98" s="19"/>
      <c r="K98" s="19"/>
      <c r="L98" s="380"/>
      <c r="M98" s="381"/>
      <c r="N98" s="381">
        <v>0.01</v>
      </c>
      <c r="O98" s="381">
        <v>0.04</v>
      </c>
      <c r="P98" s="381">
        <v>7.0000000000000007E-2</v>
      </c>
      <c r="Q98" s="381">
        <v>0.1</v>
      </c>
      <c r="R98" s="381">
        <v>0.12</v>
      </c>
      <c r="S98" s="381">
        <v>0.15</v>
      </c>
      <c r="T98" s="381">
        <v>0.17</v>
      </c>
      <c r="U98" s="381">
        <v>0.2</v>
      </c>
      <c r="V98" s="381">
        <v>0.22</v>
      </c>
      <c r="W98" s="381">
        <v>0.25</v>
      </c>
      <c r="X98" s="381">
        <v>0.27</v>
      </c>
      <c r="Y98" s="381">
        <v>0.27</v>
      </c>
    </row>
    <row r="99" spans="1:26">
      <c r="B99" s="327" t="s">
        <v>37</v>
      </c>
      <c r="C99" s="19"/>
      <c r="D99" s="19"/>
      <c r="E99" s="19"/>
      <c r="F99" s="19"/>
      <c r="G99" s="19"/>
      <c r="H99" s="19"/>
      <c r="I99" s="19"/>
      <c r="J99" s="19"/>
      <c r="K99" s="19"/>
      <c r="L99" s="5">
        <f>$L$28*0.7</f>
        <v>87500</v>
      </c>
      <c r="M99" s="5">
        <f>L99*(1+M100)</f>
        <v>87500</v>
      </c>
      <c r="N99" s="5">
        <f t="shared" ref="N99:Y99" si="48">M99*(1+N100)</f>
        <v>87500</v>
      </c>
      <c r="O99" s="5">
        <f t="shared" si="48"/>
        <v>89250</v>
      </c>
      <c r="P99" s="5">
        <f t="shared" si="48"/>
        <v>91035</v>
      </c>
      <c r="Q99" s="5">
        <f t="shared" si="48"/>
        <v>92855.7</v>
      </c>
      <c r="R99" s="5">
        <f t="shared" si="48"/>
        <v>94712.813999999998</v>
      </c>
      <c r="S99" s="5">
        <f t="shared" si="48"/>
        <v>96607.07028</v>
      </c>
      <c r="T99" s="5">
        <f t="shared" si="48"/>
        <v>98539.211685600007</v>
      </c>
      <c r="U99" s="5">
        <f t="shared" si="48"/>
        <v>100509.99591931202</v>
      </c>
      <c r="V99" s="5">
        <f t="shared" si="48"/>
        <v>102520.19583769825</v>
      </c>
      <c r="W99" s="5">
        <f t="shared" si="48"/>
        <v>104570.59975445223</v>
      </c>
      <c r="X99" s="5">
        <f t="shared" si="48"/>
        <v>106662.01174954127</v>
      </c>
      <c r="Y99" s="5">
        <f t="shared" si="48"/>
        <v>108795.25198453209</v>
      </c>
    </row>
    <row r="100" spans="1:26" s="164" customFormat="1">
      <c r="A100" s="165"/>
      <c r="B100" s="327" t="s">
        <v>213</v>
      </c>
      <c r="C100" s="80"/>
      <c r="D100" s="80"/>
      <c r="E100" s="80"/>
      <c r="F100" s="80"/>
      <c r="G100" s="80"/>
      <c r="H100" s="80"/>
      <c r="I100" s="80"/>
      <c r="J100" s="80"/>
      <c r="K100" s="80"/>
      <c r="L100" s="5"/>
      <c r="M100" s="382">
        <v>0</v>
      </c>
      <c r="N100" s="382">
        <f>M100</f>
        <v>0</v>
      </c>
      <c r="O100" s="382">
        <v>0.02</v>
      </c>
      <c r="P100" s="382">
        <f t="shared" ref="P100:Y100" si="49">O100</f>
        <v>0.02</v>
      </c>
      <c r="Q100" s="382">
        <f t="shared" si="49"/>
        <v>0.02</v>
      </c>
      <c r="R100" s="382">
        <f t="shared" si="49"/>
        <v>0.02</v>
      </c>
      <c r="S100" s="382">
        <f t="shared" si="49"/>
        <v>0.02</v>
      </c>
      <c r="T100" s="382">
        <f t="shared" si="49"/>
        <v>0.02</v>
      </c>
      <c r="U100" s="382">
        <f t="shared" si="49"/>
        <v>0.02</v>
      </c>
      <c r="V100" s="382">
        <f t="shared" si="49"/>
        <v>0.02</v>
      </c>
      <c r="W100" s="382">
        <f t="shared" si="49"/>
        <v>0.02</v>
      </c>
      <c r="X100" s="382">
        <f t="shared" si="49"/>
        <v>0.02</v>
      </c>
      <c r="Y100" s="382">
        <f t="shared" si="49"/>
        <v>0.02</v>
      </c>
    </row>
    <row r="101" spans="1:26" s="18" customFormat="1" ht="15.75" thickBot="1">
      <c r="A101" s="81"/>
      <c r="B101" s="345" t="s">
        <v>41</v>
      </c>
      <c r="C101" s="348"/>
      <c r="D101" s="348"/>
      <c r="E101" s="348"/>
      <c r="F101" s="348"/>
      <c r="G101" s="348"/>
      <c r="H101" s="348"/>
      <c r="I101" s="348"/>
      <c r="J101" s="348"/>
      <c r="K101" s="348"/>
      <c r="L101" s="347">
        <f t="shared" ref="L101:Y101" si="50">((L97*L95)+(L98*L96))*L99</f>
        <v>0</v>
      </c>
      <c r="M101" s="347">
        <f t="shared" si="50"/>
        <v>0</v>
      </c>
      <c r="N101" s="347">
        <f t="shared" si="50"/>
        <v>2533263.2784530413</v>
      </c>
      <c r="O101" s="347">
        <f t="shared" si="50"/>
        <v>6945599.9263314111</v>
      </c>
      <c r="P101" s="347">
        <f t="shared" si="50"/>
        <v>11604430.532917468</v>
      </c>
      <c r="Q101" s="347">
        <f t="shared" si="50"/>
        <v>16061245.976359803</v>
      </c>
      <c r="R101" s="347">
        <f t="shared" si="50"/>
        <v>19816236.795664914</v>
      </c>
      <c r="S101" s="347">
        <f t="shared" si="50"/>
        <v>24255073.837893855</v>
      </c>
      <c r="T101" s="347">
        <f t="shared" si="50"/>
        <v>28429430.257572606</v>
      </c>
      <c r="U101" s="347">
        <f t="shared" si="50"/>
        <v>33332459.576941762</v>
      </c>
      <c r="V101" s="347">
        <f t="shared" si="50"/>
        <v>37961835.661249965</v>
      </c>
      <c r="W101" s="347">
        <f t="shared" si="50"/>
        <v>43367601.059411965</v>
      </c>
      <c r="X101" s="347">
        <f t="shared" si="50"/>
        <v>47375634.749322802</v>
      </c>
      <c r="Y101" s="347">
        <f t="shared" si="50"/>
        <v>49855843.979719356</v>
      </c>
    </row>
    <row r="102" spans="1:26" ht="15.75" thickTop="1"/>
    <row r="103" spans="1:26" ht="15.75" thickBot="1">
      <c r="B103" s="325" t="s">
        <v>40</v>
      </c>
    </row>
    <row r="104" spans="1:26" s="18" customFormat="1" ht="15.75" thickTop="1">
      <c r="A104" s="81"/>
      <c r="B104" s="326" t="s">
        <v>39</v>
      </c>
      <c r="C104" s="20">
        <v>0.5</v>
      </c>
      <c r="D104" s="20">
        <v>0.5</v>
      </c>
      <c r="E104" s="20">
        <v>0.5</v>
      </c>
      <c r="F104" s="20">
        <v>0.5</v>
      </c>
      <c r="G104" s="20">
        <v>0.5</v>
      </c>
      <c r="H104" s="20">
        <v>0.5</v>
      </c>
      <c r="I104" s="20">
        <v>0.5</v>
      </c>
      <c r="J104" s="20">
        <v>0.5</v>
      </c>
      <c r="K104" s="20">
        <v>0.5</v>
      </c>
      <c r="L104" s="20">
        <v>0.5</v>
      </c>
      <c r="M104" s="20">
        <v>0.5</v>
      </c>
      <c r="N104" s="20">
        <v>0.5</v>
      </c>
      <c r="O104" s="20">
        <v>0.5</v>
      </c>
      <c r="P104" s="20">
        <v>0.5</v>
      </c>
      <c r="Q104" s="20">
        <v>0.5</v>
      </c>
      <c r="R104" s="20">
        <v>0.5</v>
      </c>
      <c r="S104" s="20">
        <v>0.5</v>
      </c>
      <c r="T104" s="20">
        <v>0.5</v>
      </c>
      <c r="U104" s="20">
        <v>0.5</v>
      </c>
      <c r="V104" s="20">
        <v>0.5</v>
      </c>
      <c r="W104" s="20">
        <v>0.5</v>
      </c>
      <c r="X104" s="20">
        <v>0.5</v>
      </c>
      <c r="Y104" s="20">
        <v>0.5</v>
      </c>
      <c r="Z104" s="20"/>
    </row>
    <row r="105" spans="1:26">
      <c r="B105" s="327" t="s">
        <v>322</v>
      </c>
      <c r="C105" s="19">
        <f t="shared" ref="C105:Y105" si="51">C104*C51</f>
        <v>0</v>
      </c>
      <c r="D105" s="19">
        <f t="shared" si="51"/>
        <v>0</v>
      </c>
      <c r="E105" s="19">
        <f t="shared" si="51"/>
        <v>0</v>
      </c>
      <c r="F105" s="19">
        <f t="shared" si="51"/>
        <v>0</v>
      </c>
      <c r="G105" s="19">
        <f t="shared" si="51"/>
        <v>0</v>
      </c>
      <c r="H105" s="19">
        <f t="shared" si="51"/>
        <v>1620.5</v>
      </c>
      <c r="I105" s="19">
        <f t="shared" si="51"/>
        <v>1617.259</v>
      </c>
      <c r="J105" s="19">
        <f t="shared" si="51"/>
        <v>1614.024482</v>
      </c>
      <c r="K105" s="19">
        <f t="shared" si="51"/>
        <v>1610.7964330360001</v>
      </c>
      <c r="L105" s="19">
        <f t="shared" si="51"/>
        <v>1607.5748401699279</v>
      </c>
      <c r="M105" s="19">
        <f t="shared" si="51"/>
        <v>1604.359690489588</v>
      </c>
      <c r="N105" s="19">
        <f t="shared" si="51"/>
        <v>1601.1509711086089</v>
      </c>
      <c r="O105" s="19">
        <f t="shared" si="51"/>
        <v>1597.9486691663917</v>
      </c>
      <c r="P105" s="19">
        <f t="shared" si="51"/>
        <v>1594.7527718280589</v>
      </c>
      <c r="Q105" s="19">
        <f t="shared" si="51"/>
        <v>1591.5632662844027</v>
      </c>
      <c r="R105" s="19">
        <f t="shared" si="51"/>
        <v>1588.3801397518339</v>
      </c>
      <c r="S105" s="19">
        <f t="shared" si="51"/>
        <v>1585.2033794723302</v>
      </c>
      <c r="T105" s="19">
        <f t="shared" si="51"/>
        <v>1582.0329727133856</v>
      </c>
      <c r="U105" s="19">
        <f t="shared" si="51"/>
        <v>1578.8689067679588</v>
      </c>
      <c r="V105" s="19">
        <f t="shared" si="51"/>
        <v>1575.7111689544229</v>
      </c>
      <c r="W105" s="19">
        <f t="shared" si="51"/>
        <v>1572.5597466165141</v>
      </c>
      <c r="X105" s="19">
        <f t="shared" si="51"/>
        <v>1569.414627123281</v>
      </c>
      <c r="Y105" s="19">
        <f t="shared" si="51"/>
        <v>1566.2757978690345</v>
      </c>
    </row>
    <row r="106" spans="1:26">
      <c r="B106" s="327" t="s">
        <v>38</v>
      </c>
      <c r="C106" s="19">
        <f t="shared" ref="C106:Y106" si="52">C51-C105</f>
        <v>0</v>
      </c>
      <c r="D106" s="19">
        <f t="shared" si="52"/>
        <v>0</v>
      </c>
      <c r="E106" s="19">
        <f t="shared" si="52"/>
        <v>0</v>
      </c>
      <c r="F106" s="19">
        <f t="shared" si="52"/>
        <v>0</v>
      </c>
      <c r="G106" s="19">
        <f t="shared" si="52"/>
        <v>0</v>
      </c>
      <c r="H106" s="19">
        <f t="shared" si="52"/>
        <v>1620.5</v>
      </c>
      <c r="I106" s="19">
        <f t="shared" si="52"/>
        <v>1617.259</v>
      </c>
      <c r="J106" s="19">
        <f t="shared" si="52"/>
        <v>1614.024482</v>
      </c>
      <c r="K106" s="19">
        <f t="shared" si="52"/>
        <v>1610.7964330360001</v>
      </c>
      <c r="L106" s="19">
        <f t="shared" si="52"/>
        <v>1607.5748401699279</v>
      </c>
      <c r="M106" s="19">
        <f t="shared" si="52"/>
        <v>1604.359690489588</v>
      </c>
      <c r="N106" s="19">
        <f t="shared" si="52"/>
        <v>1601.1509711086089</v>
      </c>
      <c r="O106" s="19">
        <f t="shared" si="52"/>
        <v>1597.9486691663917</v>
      </c>
      <c r="P106" s="19">
        <f t="shared" si="52"/>
        <v>1594.7527718280589</v>
      </c>
      <c r="Q106" s="19">
        <f t="shared" si="52"/>
        <v>1591.5632662844027</v>
      </c>
      <c r="R106" s="19">
        <f t="shared" si="52"/>
        <v>1588.3801397518339</v>
      </c>
      <c r="S106" s="19">
        <f t="shared" si="52"/>
        <v>1585.2033794723302</v>
      </c>
      <c r="T106" s="19">
        <f t="shared" si="52"/>
        <v>1582.0329727133856</v>
      </c>
      <c r="U106" s="19">
        <f t="shared" si="52"/>
        <v>1578.8689067679588</v>
      </c>
      <c r="V106" s="19">
        <f t="shared" si="52"/>
        <v>1575.7111689544229</v>
      </c>
      <c r="W106" s="19">
        <f t="shared" si="52"/>
        <v>1572.5597466165141</v>
      </c>
      <c r="X106" s="19">
        <f t="shared" si="52"/>
        <v>1569.414627123281</v>
      </c>
      <c r="Y106" s="19">
        <f t="shared" si="52"/>
        <v>1566.2757978690345</v>
      </c>
    </row>
    <row r="107" spans="1:26">
      <c r="B107" s="327" t="s">
        <v>333</v>
      </c>
      <c r="L107" s="381"/>
      <c r="M107" s="381"/>
      <c r="N107" s="381">
        <v>0.05</v>
      </c>
      <c r="O107" s="381">
        <v>0.12</v>
      </c>
      <c r="P107" s="381">
        <v>0.19</v>
      </c>
      <c r="Q107" s="381">
        <v>0.25</v>
      </c>
      <c r="R107" s="381">
        <v>0.3</v>
      </c>
      <c r="S107" s="381">
        <v>0.35</v>
      </c>
      <c r="T107" s="381">
        <v>0.4</v>
      </c>
      <c r="U107" s="381">
        <v>0.45</v>
      </c>
      <c r="V107" s="381">
        <v>0.5</v>
      </c>
      <c r="W107" s="381">
        <v>0.55000000000000004</v>
      </c>
      <c r="X107" s="381">
        <v>0.57999999999999996</v>
      </c>
      <c r="Y107" s="381">
        <v>0.6</v>
      </c>
    </row>
    <row r="108" spans="1:26">
      <c r="B108" s="327" t="s">
        <v>334</v>
      </c>
      <c r="L108" s="380"/>
      <c r="M108" s="381"/>
      <c r="N108" s="381">
        <v>0.01</v>
      </c>
      <c r="O108" s="381">
        <v>0.04</v>
      </c>
      <c r="P108" s="381">
        <v>7.0000000000000007E-2</v>
      </c>
      <c r="Q108" s="381">
        <v>0.1</v>
      </c>
      <c r="R108" s="381">
        <v>0.12</v>
      </c>
      <c r="S108" s="381">
        <v>0.15</v>
      </c>
      <c r="T108" s="381">
        <v>0.17</v>
      </c>
      <c r="U108" s="381">
        <v>0.2</v>
      </c>
      <c r="V108" s="381">
        <v>0.22</v>
      </c>
      <c r="W108" s="381">
        <v>0.25</v>
      </c>
      <c r="X108" s="381">
        <v>0.27</v>
      </c>
      <c r="Y108" s="381">
        <v>0.27</v>
      </c>
    </row>
    <row r="109" spans="1:26">
      <c r="B109" s="327" t="s">
        <v>37</v>
      </c>
      <c r="L109" s="5">
        <f>$L$28*0.6</f>
        <v>75000</v>
      </c>
      <c r="M109" s="5">
        <f>L109*(1+M110)</f>
        <v>75000</v>
      </c>
      <c r="N109" s="5">
        <f t="shared" ref="N109:Y109" si="53">M109*(1+N110)</f>
        <v>75000</v>
      </c>
      <c r="O109" s="5">
        <f t="shared" si="53"/>
        <v>75000</v>
      </c>
      <c r="P109" s="5">
        <f t="shared" si="53"/>
        <v>75000</v>
      </c>
      <c r="Q109" s="5">
        <f t="shared" si="53"/>
        <v>75000</v>
      </c>
      <c r="R109" s="5">
        <f t="shared" si="53"/>
        <v>75000</v>
      </c>
      <c r="S109" s="5">
        <f t="shared" si="53"/>
        <v>75000</v>
      </c>
      <c r="T109" s="5">
        <f t="shared" si="53"/>
        <v>75000</v>
      </c>
      <c r="U109" s="5">
        <f t="shared" si="53"/>
        <v>75000</v>
      </c>
      <c r="V109" s="5">
        <f t="shared" si="53"/>
        <v>75000</v>
      </c>
      <c r="W109" s="5">
        <f t="shared" si="53"/>
        <v>75000</v>
      </c>
      <c r="X109" s="5">
        <f t="shared" si="53"/>
        <v>75000</v>
      </c>
      <c r="Y109" s="5">
        <f t="shared" si="53"/>
        <v>75000</v>
      </c>
    </row>
    <row r="110" spans="1:26" s="164" customFormat="1">
      <c r="A110" s="165"/>
      <c r="B110" s="327" t="s">
        <v>213</v>
      </c>
      <c r="L110" s="5"/>
      <c r="M110" s="382">
        <v>0</v>
      </c>
      <c r="N110" s="382">
        <f>M110</f>
        <v>0</v>
      </c>
      <c r="O110" s="382">
        <f>N110</f>
        <v>0</v>
      </c>
      <c r="P110" s="382">
        <f t="shared" ref="P110:Y110" si="54">O110</f>
        <v>0</v>
      </c>
      <c r="Q110" s="382">
        <f t="shared" si="54"/>
        <v>0</v>
      </c>
      <c r="R110" s="382">
        <f t="shared" si="54"/>
        <v>0</v>
      </c>
      <c r="S110" s="382">
        <f t="shared" si="54"/>
        <v>0</v>
      </c>
      <c r="T110" s="382">
        <f t="shared" si="54"/>
        <v>0</v>
      </c>
      <c r="U110" s="382">
        <f t="shared" si="54"/>
        <v>0</v>
      </c>
      <c r="V110" s="382">
        <f t="shared" si="54"/>
        <v>0</v>
      </c>
      <c r="W110" s="382">
        <f t="shared" si="54"/>
        <v>0</v>
      </c>
      <c r="X110" s="382">
        <f t="shared" si="54"/>
        <v>0</v>
      </c>
      <c r="Y110" s="382">
        <f t="shared" si="54"/>
        <v>0</v>
      </c>
    </row>
    <row r="111" spans="1:26" s="18" customFormat="1" ht="15.75" thickBot="1">
      <c r="A111" s="81"/>
      <c r="B111" s="345" t="s">
        <v>36</v>
      </c>
      <c r="C111" s="346"/>
      <c r="D111" s="346"/>
      <c r="E111" s="346"/>
      <c r="F111" s="346"/>
      <c r="G111" s="346"/>
      <c r="H111" s="346"/>
      <c r="I111" s="346"/>
      <c r="J111" s="346"/>
      <c r="K111" s="346"/>
      <c r="L111" s="347">
        <f t="shared" ref="L111:Y111" si="55">((L107*L105)+(L108*L106))*L109</f>
        <v>0</v>
      </c>
      <c r="M111" s="347">
        <f t="shared" si="55"/>
        <v>0</v>
      </c>
      <c r="N111" s="347">
        <f t="shared" si="55"/>
        <v>7205179.3699887414</v>
      </c>
      <c r="O111" s="347">
        <f t="shared" si="55"/>
        <v>19175384.029996701</v>
      </c>
      <c r="P111" s="347">
        <f t="shared" si="55"/>
        <v>31097679.050647147</v>
      </c>
      <c r="Q111" s="347">
        <f t="shared" si="55"/>
        <v>41778535.739965573</v>
      </c>
      <c r="R111" s="347">
        <f t="shared" si="55"/>
        <v>50033974.402182765</v>
      </c>
      <c r="S111" s="347">
        <f t="shared" si="55"/>
        <v>59445126.730212383</v>
      </c>
      <c r="T111" s="347">
        <f t="shared" si="55"/>
        <v>67631909.583497226</v>
      </c>
      <c r="U111" s="347">
        <f t="shared" si="55"/>
        <v>76969859.204937994</v>
      </c>
      <c r="V111" s="347">
        <f t="shared" si="55"/>
        <v>85088403.123538837</v>
      </c>
      <c r="W111" s="347">
        <f t="shared" si="55"/>
        <v>94353584.796990842</v>
      </c>
      <c r="X111" s="347">
        <f t="shared" si="55"/>
        <v>100050182.47910915</v>
      </c>
      <c r="Y111" s="347">
        <f t="shared" si="55"/>
        <v>102199495.81095451</v>
      </c>
    </row>
    <row r="112" spans="1:26" ht="15.75" thickTop="1"/>
    <row r="120" spans="7:8">
      <c r="G120" s="149" t="s">
        <v>50</v>
      </c>
      <c r="H120" s="315">
        <v>582.50593585687466</v>
      </c>
    </row>
    <row r="121" spans="7:8">
      <c r="G121" s="149" t="s">
        <v>48</v>
      </c>
      <c r="H121" s="315">
        <v>1489.2291250237463</v>
      </c>
    </row>
    <row r="122" spans="7:8">
      <c r="G122" s="149" t="s">
        <v>46</v>
      </c>
      <c r="H122" s="315">
        <v>6578.3517025264973</v>
      </c>
    </row>
    <row r="123" spans="7:8">
      <c r="G123" s="149" t="s">
        <v>44</v>
      </c>
      <c r="H123" s="315">
        <v>116.33590677658415</v>
      </c>
    </row>
    <row r="124" spans="7:8">
      <c r="G124" s="149" t="s">
        <v>42</v>
      </c>
      <c r="H124" s="315">
        <v>949.7951679283201</v>
      </c>
    </row>
    <row r="125" spans="7:8">
      <c r="G125" s="149" t="s">
        <v>40</v>
      </c>
      <c r="H125" s="315">
        <v>3215.1496803398559</v>
      </c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workbookViewId="0">
      <selection activeCell="B42" sqref="B42"/>
    </sheetView>
  </sheetViews>
  <sheetFormatPr defaultRowHeight="12.75"/>
  <cols>
    <col min="1" max="1" width="29.5703125" style="75" bestFit="1" customWidth="1"/>
    <col min="2" max="2" width="19.85546875" style="744" customWidth="1"/>
    <col min="3" max="3" width="12" style="75" bestFit="1" customWidth="1"/>
    <col min="4" max="256" width="9.140625" style="75"/>
    <col min="257" max="257" width="29.5703125" style="75" bestFit="1" customWidth="1"/>
    <col min="258" max="258" width="19.85546875" style="75" customWidth="1"/>
    <col min="259" max="259" width="12" style="75" bestFit="1" customWidth="1"/>
    <col min="260" max="512" width="9.140625" style="75"/>
    <col min="513" max="513" width="29.5703125" style="75" bestFit="1" customWidth="1"/>
    <col min="514" max="514" width="19.85546875" style="75" customWidth="1"/>
    <col min="515" max="515" width="12" style="75" bestFit="1" customWidth="1"/>
    <col min="516" max="768" width="9.140625" style="75"/>
    <col min="769" max="769" width="29.5703125" style="75" bestFit="1" customWidth="1"/>
    <col min="770" max="770" width="19.85546875" style="75" customWidth="1"/>
    <col min="771" max="771" width="12" style="75" bestFit="1" customWidth="1"/>
    <col min="772" max="1024" width="9.140625" style="75"/>
    <col min="1025" max="1025" width="29.5703125" style="75" bestFit="1" customWidth="1"/>
    <col min="1026" max="1026" width="19.85546875" style="75" customWidth="1"/>
    <col min="1027" max="1027" width="12" style="75" bestFit="1" customWidth="1"/>
    <col min="1028" max="1280" width="9.140625" style="75"/>
    <col min="1281" max="1281" width="29.5703125" style="75" bestFit="1" customWidth="1"/>
    <col min="1282" max="1282" width="19.85546875" style="75" customWidth="1"/>
    <col min="1283" max="1283" width="12" style="75" bestFit="1" customWidth="1"/>
    <col min="1284" max="1536" width="9.140625" style="75"/>
    <col min="1537" max="1537" width="29.5703125" style="75" bestFit="1" customWidth="1"/>
    <col min="1538" max="1538" width="19.85546875" style="75" customWidth="1"/>
    <col min="1539" max="1539" width="12" style="75" bestFit="1" customWidth="1"/>
    <col min="1540" max="1792" width="9.140625" style="75"/>
    <col min="1793" max="1793" width="29.5703125" style="75" bestFit="1" customWidth="1"/>
    <col min="1794" max="1794" width="19.85546875" style="75" customWidth="1"/>
    <col min="1795" max="1795" width="12" style="75" bestFit="1" customWidth="1"/>
    <col min="1796" max="2048" width="9.140625" style="75"/>
    <col min="2049" max="2049" width="29.5703125" style="75" bestFit="1" customWidth="1"/>
    <col min="2050" max="2050" width="19.85546875" style="75" customWidth="1"/>
    <col min="2051" max="2051" width="12" style="75" bestFit="1" customWidth="1"/>
    <col min="2052" max="2304" width="9.140625" style="75"/>
    <col min="2305" max="2305" width="29.5703125" style="75" bestFit="1" customWidth="1"/>
    <col min="2306" max="2306" width="19.85546875" style="75" customWidth="1"/>
    <col min="2307" max="2307" width="12" style="75" bestFit="1" customWidth="1"/>
    <col min="2308" max="2560" width="9.140625" style="75"/>
    <col min="2561" max="2561" width="29.5703125" style="75" bestFit="1" customWidth="1"/>
    <col min="2562" max="2562" width="19.85546875" style="75" customWidth="1"/>
    <col min="2563" max="2563" width="12" style="75" bestFit="1" customWidth="1"/>
    <col min="2564" max="2816" width="9.140625" style="75"/>
    <col min="2817" max="2817" width="29.5703125" style="75" bestFit="1" customWidth="1"/>
    <col min="2818" max="2818" width="19.85546875" style="75" customWidth="1"/>
    <col min="2819" max="2819" width="12" style="75" bestFit="1" customWidth="1"/>
    <col min="2820" max="3072" width="9.140625" style="75"/>
    <col min="3073" max="3073" width="29.5703125" style="75" bestFit="1" customWidth="1"/>
    <col min="3074" max="3074" width="19.85546875" style="75" customWidth="1"/>
    <col min="3075" max="3075" width="12" style="75" bestFit="1" customWidth="1"/>
    <col min="3076" max="3328" width="9.140625" style="75"/>
    <col min="3329" max="3329" width="29.5703125" style="75" bestFit="1" customWidth="1"/>
    <col min="3330" max="3330" width="19.85546875" style="75" customWidth="1"/>
    <col min="3331" max="3331" width="12" style="75" bestFit="1" customWidth="1"/>
    <col min="3332" max="3584" width="9.140625" style="75"/>
    <col min="3585" max="3585" width="29.5703125" style="75" bestFit="1" customWidth="1"/>
    <col min="3586" max="3586" width="19.85546875" style="75" customWidth="1"/>
    <col min="3587" max="3587" width="12" style="75" bestFit="1" customWidth="1"/>
    <col min="3588" max="3840" width="9.140625" style="75"/>
    <col min="3841" max="3841" width="29.5703125" style="75" bestFit="1" customWidth="1"/>
    <col min="3842" max="3842" width="19.85546875" style="75" customWidth="1"/>
    <col min="3843" max="3843" width="12" style="75" bestFit="1" customWidth="1"/>
    <col min="3844" max="4096" width="9.140625" style="75"/>
    <col min="4097" max="4097" width="29.5703125" style="75" bestFit="1" customWidth="1"/>
    <col min="4098" max="4098" width="19.85546875" style="75" customWidth="1"/>
    <col min="4099" max="4099" width="12" style="75" bestFit="1" customWidth="1"/>
    <col min="4100" max="4352" width="9.140625" style="75"/>
    <col min="4353" max="4353" width="29.5703125" style="75" bestFit="1" customWidth="1"/>
    <col min="4354" max="4354" width="19.85546875" style="75" customWidth="1"/>
    <col min="4355" max="4355" width="12" style="75" bestFit="1" customWidth="1"/>
    <col min="4356" max="4608" width="9.140625" style="75"/>
    <col min="4609" max="4609" width="29.5703125" style="75" bestFit="1" customWidth="1"/>
    <col min="4610" max="4610" width="19.85546875" style="75" customWidth="1"/>
    <col min="4611" max="4611" width="12" style="75" bestFit="1" customWidth="1"/>
    <col min="4612" max="4864" width="9.140625" style="75"/>
    <col min="4865" max="4865" width="29.5703125" style="75" bestFit="1" customWidth="1"/>
    <col min="4866" max="4866" width="19.85546875" style="75" customWidth="1"/>
    <col min="4867" max="4867" width="12" style="75" bestFit="1" customWidth="1"/>
    <col min="4868" max="5120" width="9.140625" style="75"/>
    <col min="5121" max="5121" width="29.5703125" style="75" bestFit="1" customWidth="1"/>
    <col min="5122" max="5122" width="19.85546875" style="75" customWidth="1"/>
    <col min="5123" max="5123" width="12" style="75" bestFit="1" customWidth="1"/>
    <col min="5124" max="5376" width="9.140625" style="75"/>
    <col min="5377" max="5377" width="29.5703125" style="75" bestFit="1" customWidth="1"/>
    <col min="5378" max="5378" width="19.85546875" style="75" customWidth="1"/>
    <col min="5379" max="5379" width="12" style="75" bestFit="1" customWidth="1"/>
    <col min="5380" max="5632" width="9.140625" style="75"/>
    <col min="5633" max="5633" width="29.5703125" style="75" bestFit="1" customWidth="1"/>
    <col min="5634" max="5634" width="19.85546875" style="75" customWidth="1"/>
    <col min="5635" max="5635" width="12" style="75" bestFit="1" customWidth="1"/>
    <col min="5636" max="5888" width="9.140625" style="75"/>
    <col min="5889" max="5889" width="29.5703125" style="75" bestFit="1" customWidth="1"/>
    <col min="5890" max="5890" width="19.85546875" style="75" customWidth="1"/>
    <col min="5891" max="5891" width="12" style="75" bestFit="1" customWidth="1"/>
    <col min="5892" max="6144" width="9.140625" style="75"/>
    <col min="6145" max="6145" width="29.5703125" style="75" bestFit="1" customWidth="1"/>
    <col min="6146" max="6146" width="19.85546875" style="75" customWidth="1"/>
    <col min="6147" max="6147" width="12" style="75" bestFit="1" customWidth="1"/>
    <col min="6148" max="6400" width="9.140625" style="75"/>
    <col min="6401" max="6401" width="29.5703125" style="75" bestFit="1" customWidth="1"/>
    <col min="6402" max="6402" width="19.85546875" style="75" customWidth="1"/>
    <col min="6403" max="6403" width="12" style="75" bestFit="1" customWidth="1"/>
    <col min="6404" max="6656" width="9.140625" style="75"/>
    <col min="6657" max="6657" width="29.5703125" style="75" bestFit="1" customWidth="1"/>
    <col min="6658" max="6658" width="19.85546875" style="75" customWidth="1"/>
    <col min="6659" max="6659" width="12" style="75" bestFit="1" customWidth="1"/>
    <col min="6660" max="6912" width="9.140625" style="75"/>
    <col min="6913" max="6913" width="29.5703125" style="75" bestFit="1" customWidth="1"/>
    <col min="6914" max="6914" width="19.85546875" style="75" customWidth="1"/>
    <col min="6915" max="6915" width="12" style="75" bestFit="1" customWidth="1"/>
    <col min="6916" max="7168" width="9.140625" style="75"/>
    <col min="7169" max="7169" width="29.5703125" style="75" bestFit="1" customWidth="1"/>
    <col min="7170" max="7170" width="19.85546875" style="75" customWidth="1"/>
    <col min="7171" max="7171" width="12" style="75" bestFit="1" customWidth="1"/>
    <col min="7172" max="7424" width="9.140625" style="75"/>
    <col min="7425" max="7425" width="29.5703125" style="75" bestFit="1" customWidth="1"/>
    <col min="7426" max="7426" width="19.85546875" style="75" customWidth="1"/>
    <col min="7427" max="7427" width="12" style="75" bestFit="1" customWidth="1"/>
    <col min="7428" max="7680" width="9.140625" style="75"/>
    <col min="7681" max="7681" width="29.5703125" style="75" bestFit="1" customWidth="1"/>
    <col min="7682" max="7682" width="19.85546875" style="75" customWidth="1"/>
    <col min="7683" max="7683" width="12" style="75" bestFit="1" customWidth="1"/>
    <col min="7684" max="7936" width="9.140625" style="75"/>
    <col min="7937" max="7937" width="29.5703125" style="75" bestFit="1" customWidth="1"/>
    <col min="7938" max="7938" width="19.85546875" style="75" customWidth="1"/>
    <col min="7939" max="7939" width="12" style="75" bestFit="1" customWidth="1"/>
    <col min="7940" max="8192" width="9.140625" style="75"/>
    <col min="8193" max="8193" width="29.5703125" style="75" bestFit="1" customWidth="1"/>
    <col min="8194" max="8194" width="19.85546875" style="75" customWidth="1"/>
    <col min="8195" max="8195" width="12" style="75" bestFit="1" customWidth="1"/>
    <col min="8196" max="8448" width="9.140625" style="75"/>
    <col min="8449" max="8449" width="29.5703125" style="75" bestFit="1" customWidth="1"/>
    <col min="8450" max="8450" width="19.85546875" style="75" customWidth="1"/>
    <col min="8451" max="8451" width="12" style="75" bestFit="1" customWidth="1"/>
    <col min="8452" max="8704" width="9.140625" style="75"/>
    <col min="8705" max="8705" width="29.5703125" style="75" bestFit="1" customWidth="1"/>
    <col min="8706" max="8706" width="19.85546875" style="75" customWidth="1"/>
    <col min="8707" max="8707" width="12" style="75" bestFit="1" customWidth="1"/>
    <col min="8708" max="8960" width="9.140625" style="75"/>
    <col min="8961" max="8961" width="29.5703125" style="75" bestFit="1" customWidth="1"/>
    <col min="8962" max="8962" width="19.85546875" style="75" customWidth="1"/>
    <col min="8963" max="8963" width="12" style="75" bestFit="1" customWidth="1"/>
    <col min="8964" max="9216" width="9.140625" style="75"/>
    <col min="9217" max="9217" width="29.5703125" style="75" bestFit="1" customWidth="1"/>
    <col min="9218" max="9218" width="19.85546875" style="75" customWidth="1"/>
    <col min="9219" max="9219" width="12" style="75" bestFit="1" customWidth="1"/>
    <col min="9220" max="9472" width="9.140625" style="75"/>
    <col min="9473" max="9473" width="29.5703125" style="75" bestFit="1" customWidth="1"/>
    <col min="9474" max="9474" width="19.85546875" style="75" customWidth="1"/>
    <col min="9475" max="9475" width="12" style="75" bestFit="1" customWidth="1"/>
    <col min="9476" max="9728" width="9.140625" style="75"/>
    <col min="9729" max="9729" width="29.5703125" style="75" bestFit="1" customWidth="1"/>
    <col min="9730" max="9730" width="19.85546875" style="75" customWidth="1"/>
    <col min="9731" max="9731" width="12" style="75" bestFit="1" customWidth="1"/>
    <col min="9732" max="9984" width="9.140625" style="75"/>
    <col min="9985" max="9985" width="29.5703125" style="75" bestFit="1" customWidth="1"/>
    <col min="9986" max="9986" width="19.85546875" style="75" customWidth="1"/>
    <col min="9987" max="9987" width="12" style="75" bestFit="1" customWidth="1"/>
    <col min="9988" max="10240" width="9.140625" style="75"/>
    <col min="10241" max="10241" width="29.5703125" style="75" bestFit="1" customWidth="1"/>
    <col min="10242" max="10242" width="19.85546875" style="75" customWidth="1"/>
    <col min="10243" max="10243" width="12" style="75" bestFit="1" customWidth="1"/>
    <col min="10244" max="10496" width="9.140625" style="75"/>
    <col min="10497" max="10497" width="29.5703125" style="75" bestFit="1" customWidth="1"/>
    <col min="10498" max="10498" width="19.85546875" style="75" customWidth="1"/>
    <col min="10499" max="10499" width="12" style="75" bestFit="1" customWidth="1"/>
    <col min="10500" max="10752" width="9.140625" style="75"/>
    <col min="10753" max="10753" width="29.5703125" style="75" bestFit="1" customWidth="1"/>
    <col min="10754" max="10754" width="19.85546875" style="75" customWidth="1"/>
    <col min="10755" max="10755" width="12" style="75" bestFit="1" customWidth="1"/>
    <col min="10756" max="11008" width="9.140625" style="75"/>
    <col min="11009" max="11009" width="29.5703125" style="75" bestFit="1" customWidth="1"/>
    <col min="11010" max="11010" width="19.85546875" style="75" customWidth="1"/>
    <col min="11011" max="11011" width="12" style="75" bestFit="1" customWidth="1"/>
    <col min="11012" max="11264" width="9.140625" style="75"/>
    <col min="11265" max="11265" width="29.5703125" style="75" bestFit="1" customWidth="1"/>
    <col min="11266" max="11266" width="19.85546875" style="75" customWidth="1"/>
    <col min="11267" max="11267" width="12" style="75" bestFit="1" customWidth="1"/>
    <col min="11268" max="11520" width="9.140625" style="75"/>
    <col min="11521" max="11521" width="29.5703125" style="75" bestFit="1" customWidth="1"/>
    <col min="11522" max="11522" width="19.85546875" style="75" customWidth="1"/>
    <col min="11523" max="11523" width="12" style="75" bestFit="1" customWidth="1"/>
    <col min="11524" max="11776" width="9.140625" style="75"/>
    <col min="11777" max="11777" width="29.5703125" style="75" bestFit="1" customWidth="1"/>
    <col min="11778" max="11778" width="19.85546875" style="75" customWidth="1"/>
    <col min="11779" max="11779" width="12" style="75" bestFit="1" customWidth="1"/>
    <col min="11780" max="12032" width="9.140625" style="75"/>
    <col min="12033" max="12033" width="29.5703125" style="75" bestFit="1" customWidth="1"/>
    <col min="12034" max="12034" width="19.85546875" style="75" customWidth="1"/>
    <col min="12035" max="12035" width="12" style="75" bestFit="1" customWidth="1"/>
    <col min="12036" max="12288" width="9.140625" style="75"/>
    <col min="12289" max="12289" width="29.5703125" style="75" bestFit="1" customWidth="1"/>
    <col min="12290" max="12290" width="19.85546875" style="75" customWidth="1"/>
    <col min="12291" max="12291" width="12" style="75" bestFit="1" customWidth="1"/>
    <col min="12292" max="12544" width="9.140625" style="75"/>
    <col min="12545" max="12545" width="29.5703125" style="75" bestFit="1" customWidth="1"/>
    <col min="12546" max="12546" width="19.85546875" style="75" customWidth="1"/>
    <col min="12547" max="12547" width="12" style="75" bestFit="1" customWidth="1"/>
    <col min="12548" max="12800" width="9.140625" style="75"/>
    <col min="12801" max="12801" width="29.5703125" style="75" bestFit="1" customWidth="1"/>
    <col min="12802" max="12802" width="19.85546875" style="75" customWidth="1"/>
    <col min="12803" max="12803" width="12" style="75" bestFit="1" customWidth="1"/>
    <col min="12804" max="13056" width="9.140625" style="75"/>
    <col min="13057" max="13057" width="29.5703125" style="75" bestFit="1" customWidth="1"/>
    <col min="13058" max="13058" width="19.85546875" style="75" customWidth="1"/>
    <col min="13059" max="13059" width="12" style="75" bestFit="1" customWidth="1"/>
    <col min="13060" max="13312" width="9.140625" style="75"/>
    <col min="13313" max="13313" width="29.5703125" style="75" bestFit="1" customWidth="1"/>
    <col min="13314" max="13314" width="19.85546875" style="75" customWidth="1"/>
    <col min="13315" max="13315" width="12" style="75" bestFit="1" customWidth="1"/>
    <col min="13316" max="13568" width="9.140625" style="75"/>
    <col min="13569" max="13569" width="29.5703125" style="75" bestFit="1" customWidth="1"/>
    <col min="13570" max="13570" width="19.85546875" style="75" customWidth="1"/>
    <col min="13571" max="13571" width="12" style="75" bestFit="1" customWidth="1"/>
    <col min="13572" max="13824" width="9.140625" style="75"/>
    <col min="13825" max="13825" width="29.5703125" style="75" bestFit="1" customWidth="1"/>
    <col min="13826" max="13826" width="19.85546875" style="75" customWidth="1"/>
    <col min="13827" max="13827" width="12" style="75" bestFit="1" customWidth="1"/>
    <col min="13828" max="14080" width="9.140625" style="75"/>
    <col min="14081" max="14081" width="29.5703125" style="75" bestFit="1" customWidth="1"/>
    <col min="14082" max="14082" width="19.85546875" style="75" customWidth="1"/>
    <col min="14083" max="14083" width="12" style="75" bestFit="1" customWidth="1"/>
    <col min="14084" max="14336" width="9.140625" style="75"/>
    <col min="14337" max="14337" width="29.5703125" style="75" bestFit="1" customWidth="1"/>
    <col min="14338" max="14338" width="19.85546875" style="75" customWidth="1"/>
    <col min="14339" max="14339" width="12" style="75" bestFit="1" customWidth="1"/>
    <col min="14340" max="14592" width="9.140625" style="75"/>
    <col min="14593" max="14593" width="29.5703125" style="75" bestFit="1" customWidth="1"/>
    <col min="14594" max="14594" width="19.85546875" style="75" customWidth="1"/>
    <col min="14595" max="14595" width="12" style="75" bestFit="1" customWidth="1"/>
    <col min="14596" max="14848" width="9.140625" style="75"/>
    <col min="14849" max="14849" width="29.5703125" style="75" bestFit="1" customWidth="1"/>
    <col min="14850" max="14850" width="19.85546875" style="75" customWidth="1"/>
    <col min="14851" max="14851" width="12" style="75" bestFit="1" customWidth="1"/>
    <col min="14852" max="15104" width="9.140625" style="75"/>
    <col min="15105" max="15105" width="29.5703125" style="75" bestFit="1" customWidth="1"/>
    <col min="15106" max="15106" width="19.85546875" style="75" customWidth="1"/>
    <col min="15107" max="15107" width="12" style="75" bestFit="1" customWidth="1"/>
    <col min="15108" max="15360" width="9.140625" style="75"/>
    <col min="15361" max="15361" width="29.5703125" style="75" bestFit="1" customWidth="1"/>
    <col min="15362" max="15362" width="19.85546875" style="75" customWidth="1"/>
    <col min="15363" max="15363" width="12" style="75" bestFit="1" customWidth="1"/>
    <col min="15364" max="15616" width="9.140625" style="75"/>
    <col min="15617" max="15617" width="29.5703125" style="75" bestFit="1" customWidth="1"/>
    <col min="15618" max="15618" width="19.85546875" style="75" customWidth="1"/>
    <col min="15619" max="15619" width="12" style="75" bestFit="1" customWidth="1"/>
    <col min="15620" max="15872" width="9.140625" style="75"/>
    <col min="15873" max="15873" width="29.5703125" style="75" bestFit="1" customWidth="1"/>
    <col min="15874" max="15874" width="19.85546875" style="75" customWidth="1"/>
    <col min="15875" max="15875" width="12" style="75" bestFit="1" customWidth="1"/>
    <col min="15876" max="16128" width="9.140625" style="75"/>
    <col min="16129" max="16129" width="29.5703125" style="75" bestFit="1" customWidth="1"/>
    <col min="16130" max="16130" width="19.85546875" style="75" customWidth="1"/>
    <col min="16131" max="16131" width="12" style="75" bestFit="1" customWidth="1"/>
    <col min="16132" max="16384" width="9.140625" style="75"/>
  </cols>
  <sheetData>
    <row r="1" spans="1:2">
      <c r="A1" s="75" t="s">
        <v>822</v>
      </c>
      <c r="B1" s="743">
        <v>6.1</v>
      </c>
    </row>
    <row r="2" spans="1:2">
      <c r="A2" s="75" t="s">
        <v>823</v>
      </c>
      <c r="B2" s="747">
        <v>43175.446400462963</v>
      </c>
    </row>
    <row r="3" spans="1:2">
      <c r="A3" s="75" t="s">
        <v>824</v>
      </c>
      <c r="B3" s="744" t="s">
        <v>531</v>
      </c>
    </row>
    <row r="4" spans="1:2">
      <c r="A4" s="75" t="s">
        <v>825</v>
      </c>
      <c r="B4" s="744" t="s">
        <v>826</v>
      </c>
    </row>
    <row r="5" spans="1:2">
      <c r="A5" s="75" t="s">
        <v>827</v>
      </c>
      <c r="B5" s="744" t="s">
        <v>828</v>
      </c>
    </row>
    <row r="6" spans="1:2">
      <c r="A6" s="75" t="s">
        <v>829</v>
      </c>
    </row>
    <row r="7" spans="1:2">
      <c r="A7" s="75" t="s">
        <v>830</v>
      </c>
      <c r="B7" s="744" t="s">
        <v>339</v>
      </c>
    </row>
    <row r="8" spans="1:2">
      <c r="A8" s="75" t="s">
        <v>831</v>
      </c>
      <c r="B8" s="744" t="s">
        <v>832</v>
      </c>
    </row>
    <row r="9" spans="1:2">
      <c r="A9" s="75" t="s">
        <v>833</v>
      </c>
      <c r="B9" s="744" t="s">
        <v>871</v>
      </c>
    </row>
    <row r="10" spans="1:2">
      <c r="A10" s="75" t="s">
        <v>834</v>
      </c>
    </row>
    <row r="11" spans="1:2">
      <c r="A11" s="75" t="s">
        <v>835</v>
      </c>
    </row>
    <row r="12" spans="1:2">
      <c r="A12" s="75" t="s">
        <v>836</v>
      </c>
    </row>
    <row r="13" spans="1:2">
      <c r="A13" s="75" t="s">
        <v>837</v>
      </c>
    </row>
    <row r="14" spans="1:2">
      <c r="A14" s="75" t="s">
        <v>838</v>
      </c>
    </row>
    <row r="15" spans="1:2">
      <c r="A15" s="75" t="s">
        <v>839</v>
      </c>
    </row>
    <row r="16" spans="1:2">
      <c r="A16" s="75" t="s">
        <v>840</v>
      </c>
    </row>
    <row r="17" spans="1:4">
      <c r="A17" s="75" t="s">
        <v>841</v>
      </c>
      <c r="B17" s="744" t="s">
        <v>872</v>
      </c>
    </row>
    <row r="18" spans="1:4">
      <c r="A18" s="75" t="s">
        <v>842</v>
      </c>
      <c r="B18" s="744" t="s">
        <v>875</v>
      </c>
    </row>
    <row r="19" spans="1:4">
      <c r="A19" s="75" t="s">
        <v>843</v>
      </c>
      <c r="B19" s="744" t="s">
        <v>338</v>
      </c>
    </row>
    <row r="20" spans="1:4">
      <c r="A20" s="75" t="s">
        <v>844</v>
      </c>
      <c r="B20" s="745" t="s">
        <v>876</v>
      </c>
    </row>
    <row r="21" spans="1:4">
      <c r="A21" s="75" t="s">
        <v>845</v>
      </c>
      <c r="B21" s="744" t="s">
        <v>338</v>
      </c>
    </row>
    <row r="22" spans="1:4">
      <c r="A22" s="75" t="s">
        <v>846</v>
      </c>
      <c r="B22" s="745" t="s">
        <v>498</v>
      </c>
    </row>
    <row r="23" spans="1:4">
      <c r="A23" s="75" t="s">
        <v>349</v>
      </c>
      <c r="B23" s="743">
        <v>44.15</v>
      </c>
    </row>
    <row r="24" spans="1:4">
      <c r="A24" s="75" t="s">
        <v>348</v>
      </c>
      <c r="B24" s="744" t="s">
        <v>337</v>
      </c>
      <c r="D24" s="75" t="s">
        <v>847</v>
      </c>
    </row>
    <row r="25" spans="1:4">
      <c r="A25" s="75" t="s">
        <v>848</v>
      </c>
      <c r="B25" s="744" t="s">
        <v>877</v>
      </c>
    </row>
    <row r="26" spans="1:4">
      <c r="A26" s="75" t="s">
        <v>849</v>
      </c>
      <c r="B26" s="744">
        <v>0</v>
      </c>
    </row>
    <row r="27" spans="1:4">
      <c r="A27" s="75" t="s">
        <v>850</v>
      </c>
      <c r="B27" s="744" t="s">
        <v>851</v>
      </c>
    </row>
    <row r="28" spans="1:4">
      <c r="A28" s="75" t="s">
        <v>852</v>
      </c>
      <c r="B28" s="744" t="s">
        <v>853</v>
      </c>
    </row>
    <row r="29" spans="1:4">
      <c r="A29" s="75" t="s">
        <v>854</v>
      </c>
    </row>
    <row r="30" spans="1:4">
      <c r="A30" s="75" t="s">
        <v>855</v>
      </c>
    </row>
    <row r="31" spans="1:4">
      <c r="A31" s="75" t="s">
        <v>856</v>
      </c>
    </row>
    <row r="32" spans="1:4">
      <c r="A32" s="75" t="s">
        <v>857</v>
      </c>
      <c r="B32" s="743"/>
    </row>
    <row r="33" spans="1:2">
      <c r="A33" s="75" t="s">
        <v>858</v>
      </c>
      <c r="B33" s="743"/>
    </row>
    <row r="34" spans="1:2">
      <c r="A34" s="75" t="s">
        <v>859</v>
      </c>
      <c r="B34" s="743"/>
    </row>
    <row r="35" spans="1:2">
      <c r="A35" s="75" t="s">
        <v>860</v>
      </c>
      <c r="B35" s="744">
        <v>1000000</v>
      </c>
    </row>
    <row r="36" spans="1:2">
      <c r="A36" s="75" t="s">
        <v>861</v>
      </c>
      <c r="B36" s="744" t="s">
        <v>873</v>
      </c>
    </row>
    <row r="37" spans="1:2">
      <c r="A37" s="75" t="s">
        <v>862</v>
      </c>
      <c r="B37" s="744" t="s">
        <v>863</v>
      </c>
    </row>
    <row r="38" spans="1:2">
      <c r="A38" s="75" t="s">
        <v>864</v>
      </c>
      <c r="B38" s="744" t="s">
        <v>865</v>
      </c>
    </row>
    <row r="39" spans="1:2">
      <c r="A39" s="75" t="s">
        <v>866</v>
      </c>
      <c r="B39" s="744" t="s">
        <v>874</v>
      </c>
    </row>
    <row r="40" spans="1:2">
      <c r="A40" s="75" t="s">
        <v>867</v>
      </c>
      <c r="B40" s="744">
        <v>1500004768</v>
      </c>
    </row>
    <row r="41" spans="1:2">
      <c r="A41" s="75" t="s">
        <v>868</v>
      </c>
      <c r="B41" s="744">
        <v>1</v>
      </c>
    </row>
    <row r="42" spans="1:2">
      <c r="A42" s="746" t="s">
        <v>869</v>
      </c>
    </row>
    <row r="43" spans="1:2">
      <c r="A43" s="75" t="s">
        <v>870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workbookViewId="0">
      <selection activeCell="E11" sqref="E11"/>
    </sheetView>
  </sheetViews>
  <sheetFormatPr defaultRowHeight="12.75"/>
  <cols>
    <col min="1" max="1" width="28.5703125" style="75" bestFit="1" customWidth="1"/>
    <col min="2" max="256" width="9.140625" style="75"/>
    <col min="257" max="257" width="28.5703125" style="75" bestFit="1" customWidth="1"/>
    <col min="258" max="512" width="9.140625" style="75"/>
    <col min="513" max="513" width="28.5703125" style="75" bestFit="1" customWidth="1"/>
    <col min="514" max="768" width="9.140625" style="75"/>
    <col min="769" max="769" width="28.5703125" style="75" bestFit="1" customWidth="1"/>
    <col min="770" max="1024" width="9.140625" style="75"/>
    <col min="1025" max="1025" width="28.5703125" style="75" bestFit="1" customWidth="1"/>
    <col min="1026" max="1280" width="9.140625" style="75"/>
    <col min="1281" max="1281" width="28.5703125" style="75" bestFit="1" customWidth="1"/>
    <col min="1282" max="1536" width="9.140625" style="75"/>
    <col min="1537" max="1537" width="28.5703125" style="75" bestFit="1" customWidth="1"/>
    <col min="1538" max="1792" width="9.140625" style="75"/>
    <col min="1793" max="1793" width="28.5703125" style="75" bestFit="1" customWidth="1"/>
    <col min="1794" max="2048" width="9.140625" style="75"/>
    <col min="2049" max="2049" width="28.5703125" style="75" bestFit="1" customWidth="1"/>
    <col min="2050" max="2304" width="9.140625" style="75"/>
    <col min="2305" max="2305" width="28.5703125" style="75" bestFit="1" customWidth="1"/>
    <col min="2306" max="2560" width="9.140625" style="75"/>
    <col min="2561" max="2561" width="28.5703125" style="75" bestFit="1" customWidth="1"/>
    <col min="2562" max="2816" width="9.140625" style="75"/>
    <col min="2817" max="2817" width="28.5703125" style="75" bestFit="1" customWidth="1"/>
    <col min="2818" max="3072" width="9.140625" style="75"/>
    <col min="3073" max="3073" width="28.5703125" style="75" bestFit="1" customWidth="1"/>
    <col min="3074" max="3328" width="9.140625" style="75"/>
    <col min="3329" max="3329" width="28.5703125" style="75" bestFit="1" customWidth="1"/>
    <col min="3330" max="3584" width="9.140625" style="75"/>
    <col min="3585" max="3585" width="28.5703125" style="75" bestFit="1" customWidth="1"/>
    <col min="3586" max="3840" width="9.140625" style="75"/>
    <col min="3841" max="3841" width="28.5703125" style="75" bestFit="1" customWidth="1"/>
    <col min="3842" max="4096" width="9.140625" style="75"/>
    <col min="4097" max="4097" width="28.5703125" style="75" bestFit="1" customWidth="1"/>
    <col min="4098" max="4352" width="9.140625" style="75"/>
    <col min="4353" max="4353" width="28.5703125" style="75" bestFit="1" customWidth="1"/>
    <col min="4354" max="4608" width="9.140625" style="75"/>
    <col min="4609" max="4609" width="28.5703125" style="75" bestFit="1" customWidth="1"/>
    <col min="4610" max="4864" width="9.140625" style="75"/>
    <col min="4865" max="4865" width="28.5703125" style="75" bestFit="1" customWidth="1"/>
    <col min="4866" max="5120" width="9.140625" style="75"/>
    <col min="5121" max="5121" width="28.5703125" style="75" bestFit="1" customWidth="1"/>
    <col min="5122" max="5376" width="9.140625" style="75"/>
    <col min="5377" max="5377" width="28.5703125" style="75" bestFit="1" customWidth="1"/>
    <col min="5378" max="5632" width="9.140625" style="75"/>
    <col min="5633" max="5633" width="28.5703125" style="75" bestFit="1" customWidth="1"/>
    <col min="5634" max="5888" width="9.140625" style="75"/>
    <col min="5889" max="5889" width="28.5703125" style="75" bestFit="1" customWidth="1"/>
    <col min="5890" max="6144" width="9.140625" style="75"/>
    <col min="6145" max="6145" width="28.5703125" style="75" bestFit="1" customWidth="1"/>
    <col min="6146" max="6400" width="9.140625" style="75"/>
    <col min="6401" max="6401" width="28.5703125" style="75" bestFit="1" customWidth="1"/>
    <col min="6402" max="6656" width="9.140625" style="75"/>
    <col min="6657" max="6657" width="28.5703125" style="75" bestFit="1" customWidth="1"/>
    <col min="6658" max="6912" width="9.140625" style="75"/>
    <col min="6913" max="6913" width="28.5703125" style="75" bestFit="1" customWidth="1"/>
    <col min="6914" max="7168" width="9.140625" style="75"/>
    <col min="7169" max="7169" width="28.5703125" style="75" bestFit="1" customWidth="1"/>
    <col min="7170" max="7424" width="9.140625" style="75"/>
    <col min="7425" max="7425" width="28.5703125" style="75" bestFit="1" customWidth="1"/>
    <col min="7426" max="7680" width="9.140625" style="75"/>
    <col min="7681" max="7681" width="28.5703125" style="75" bestFit="1" customWidth="1"/>
    <col min="7682" max="7936" width="9.140625" style="75"/>
    <col min="7937" max="7937" width="28.5703125" style="75" bestFit="1" customWidth="1"/>
    <col min="7938" max="8192" width="9.140625" style="75"/>
    <col min="8193" max="8193" width="28.5703125" style="75" bestFit="1" customWidth="1"/>
    <col min="8194" max="8448" width="9.140625" style="75"/>
    <col min="8449" max="8449" width="28.5703125" style="75" bestFit="1" customWidth="1"/>
    <col min="8450" max="8704" width="9.140625" style="75"/>
    <col min="8705" max="8705" width="28.5703125" style="75" bestFit="1" customWidth="1"/>
    <col min="8706" max="8960" width="9.140625" style="75"/>
    <col min="8961" max="8961" width="28.5703125" style="75" bestFit="1" customWidth="1"/>
    <col min="8962" max="9216" width="9.140625" style="75"/>
    <col min="9217" max="9217" width="28.5703125" style="75" bestFit="1" customWidth="1"/>
    <col min="9218" max="9472" width="9.140625" style="75"/>
    <col min="9473" max="9473" width="28.5703125" style="75" bestFit="1" customWidth="1"/>
    <col min="9474" max="9728" width="9.140625" style="75"/>
    <col min="9729" max="9729" width="28.5703125" style="75" bestFit="1" customWidth="1"/>
    <col min="9730" max="9984" width="9.140625" style="75"/>
    <col min="9985" max="9985" width="28.5703125" style="75" bestFit="1" customWidth="1"/>
    <col min="9986" max="10240" width="9.140625" style="75"/>
    <col min="10241" max="10241" width="28.5703125" style="75" bestFit="1" customWidth="1"/>
    <col min="10242" max="10496" width="9.140625" style="75"/>
    <col min="10497" max="10497" width="28.5703125" style="75" bestFit="1" customWidth="1"/>
    <col min="10498" max="10752" width="9.140625" style="75"/>
    <col min="10753" max="10753" width="28.5703125" style="75" bestFit="1" customWidth="1"/>
    <col min="10754" max="11008" width="9.140625" style="75"/>
    <col min="11009" max="11009" width="28.5703125" style="75" bestFit="1" customWidth="1"/>
    <col min="11010" max="11264" width="9.140625" style="75"/>
    <col min="11265" max="11265" width="28.5703125" style="75" bestFit="1" customWidth="1"/>
    <col min="11266" max="11520" width="9.140625" style="75"/>
    <col min="11521" max="11521" width="28.5703125" style="75" bestFit="1" customWidth="1"/>
    <col min="11522" max="11776" width="9.140625" style="75"/>
    <col min="11777" max="11777" width="28.5703125" style="75" bestFit="1" customWidth="1"/>
    <col min="11778" max="12032" width="9.140625" style="75"/>
    <col min="12033" max="12033" width="28.5703125" style="75" bestFit="1" customWidth="1"/>
    <col min="12034" max="12288" width="9.140625" style="75"/>
    <col min="12289" max="12289" width="28.5703125" style="75" bestFit="1" customWidth="1"/>
    <col min="12290" max="12544" width="9.140625" style="75"/>
    <col min="12545" max="12545" width="28.5703125" style="75" bestFit="1" customWidth="1"/>
    <col min="12546" max="12800" width="9.140625" style="75"/>
    <col min="12801" max="12801" width="28.5703125" style="75" bestFit="1" customWidth="1"/>
    <col min="12802" max="13056" width="9.140625" style="75"/>
    <col min="13057" max="13057" width="28.5703125" style="75" bestFit="1" customWidth="1"/>
    <col min="13058" max="13312" width="9.140625" style="75"/>
    <col min="13313" max="13313" width="28.5703125" style="75" bestFit="1" customWidth="1"/>
    <col min="13314" max="13568" width="9.140625" style="75"/>
    <col min="13569" max="13569" width="28.5703125" style="75" bestFit="1" customWidth="1"/>
    <col min="13570" max="13824" width="9.140625" style="75"/>
    <col min="13825" max="13825" width="28.5703125" style="75" bestFit="1" customWidth="1"/>
    <col min="13826" max="14080" width="9.140625" style="75"/>
    <col min="14081" max="14081" width="28.5703125" style="75" bestFit="1" customWidth="1"/>
    <col min="14082" max="14336" width="9.140625" style="75"/>
    <col min="14337" max="14337" width="28.5703125" style="75" bestFit="1" customWidth="1"/>
    <col min="14338" max="14592" width="9.140625" style="75"/>
    <col min="14593" max="14593" width="28.5703125" style="75" bestFit="1" customWidth="1"/>
    <col min="14594" max="14848" width="9.140625" style="75"/>
    <col min="14849" max="14849" width="28.5703125" style="75" bestFit="1" customWidth="1"/>
    <col min="14850" max="15104" width="9.140625" style="75"/>
    <col min="15105" max="15105" width="28.5703125" style="75" bestFit="1" customWidth="1"/>
    <col min="15106" max="15360" width="9.140625" style="75"/>
    <col min="15361" max="15361" width="28.5703125" style="75" bestFit="1" customWidth="1"/>
    <col min="15362" max="15616" width="9.140625" style="75"/>
    <col min="15617" max="15617" width="28.5703125" style="75" bestFit="1" customWidth="1"/>
    <col min="15618" max="15872" width="9.140625" style="75"/>
    <col min="15873" max="15873" width="28.5703125" style="75" bestFit="1" customWidth="1"/>
    <col min="15874" max="16128" width="9.140625" style="75"/>
    <col min="16129" max="16129" width="28.5703125" style="75" bestFit="1" customWidth="1"/>
    <col min="16130" max="16384" width="9.140625" style="75"/>
  </cols>
  <sheetData>
    <row r="1" spans="1:1">
      <c r="A1" s="748" t="s">
        <v>878</v>
      </c>
    </row>
    <row r="2" spans="1:1">
      <c r="A2" s="748" t="s">
        <v>883</v>
      </c>
    </row>
    <row r="3" spans="1:1">
      <c r="A3" s="748" t="s">
        <v>884</v>
      </c>
    </row>
    <row r="4" spans="1:1">
      <c r="A4" s="748" t="s">
        <v>885</v>
      </c>
    </row>
    <row r="5" spans="1:1">
      <c r="A5" s="748" t="s">
        <v>886</v>
      </c>
    </row>
    <row r="6" spans="1:1">
      <c r="A6" s="748" t="s">
        <v>879</v>
      </c>
    </row>
    <row r="7" spans="1:1">
      <c r="A7" s="748" t="s">
        <v>887</v>
      </c>
    </row>
    <row r="8" spans="1:1">
      <c r="A8" s="748" t="s">
        <v>888</v>
      </c>
    </row>
    <row r="9" spans="1:1">
      <c r="A9" s="748" t="s">
        <v>889</v>
      </c>
    </row>
    <row r="10" spans="1:1">
      <c r="A10" s="748" t="s">
        <v>880</v>
      </c>
    </row>
    <row r="11" spans="1:1">
      <c r="A11" s="748" t="s">
        <v>890</v>
      </c>
    </row>
    <row r="12" spans="1:1">
      <c r="A12" s="748" t="s">
        <v>881</v>
      </c>
    </row>
    <row r="13" spans="1:1">
      <c r="A13" s="748" t="s">
        <v>882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C9C99951-4457-4E2C-A7E5-7A8014AF661F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81</vt:i4>
      </vt:variant>
    </vt:vector>
  </HeadingPairs>
  <TitlesOfParts>
    <vt:vector size="94" baseType="lpstr">
      <vt:lpstr>ImportantDisclosures</vt:lpstr>
      <vt:lpstr>XLRN - IS</vt:lpstr>
      <vt:lpstr>XLRN - BS</vt:lpstr>
      <vt:lpstr>XLRN - CFS</vt:lpstr>
      <vt:lpstr>Valuation</vt:lpstr>
      <vt:lpstr>SOP</vt:lpstr>
      <vt:lpstr>Royalties</vt:lpstr>
      <vt:lpstr>Indication - Drug Models --&gt;</vt:lpstr>
      <vt:lpstr>MDS Revs</vt:lpstr>
      <vt:lpstr>MDS Epi</vt:lpstr>
      <vt:lpstr>B-Thal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Linking_10</vt:lpstr>
      <vt:lpstr>Linking_11</vt:lpstr>
      <vt:lpstr>Linking_12</vt:lpstr>
      <vt:lpstr>Royalties!Linking_3</vt:lpstr>
      <vt:lpstr>Linking_4</vt:lpstr>
      <vt:lpstr>Linking_5</vt:lpstr>
      <vt:lpstr>Linking_6</vt:lpstr>
      <vt:lpstr>Linking_7</vt:lpstr>
      <vt:lpstr>Linking_8</vt:lpstr>
      <vt:lpstr>Linking_9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'XLRN - IS'!Print_Area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2014-06-04T13:23:24Z</dcterms:created>
  <dc:creator>Smith, Thomas J (Research)</dc:creator>
  <cp:lastModifiedBy>Smith, Thomas J (Research)</cp:lastModifiedBy>
  <cp:lastPrinted>2018-02-28T02:55:35Z</cp:lastPrinted>
  <dcterms:modified xsi:type="dcterms:W3CDTF">2018-03-16T14:42:52Z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RModPubTicket" pid="2">
    <vt:lpwstr>NA</vt:lpwstr>
  </property>
  <property fmtid="{D5CDD505-2E9C-101B-9397-08002B2CF9AE}" name="ERCompanyUploadState" pid="3">
    <vt:lpwstr>P</vt:lpwstr>
  </property>
  <property fmtid="{D5CDD505-2E9C-101B-9397-08002B2CF9AE}" name="ModelId" pid="4">
    <vt:lpwstr>756796</vt:lpwstr>
  </property>
  <property fmtid="{D5CDD505-2E9C-101B-9397-08002B2CF9AE}" name="ERModPubCompanyName" pid="5">
    <vt:lpwstr>Acceleron Pharma Inc</vt:lpwstr>
  </property>
  <property fmtid="{D5CDD505-2E9C-101B-9397-08002B2CF9AE}" name="MSDH34TAG" pid="6">
    <vt:lpwstr>.TEZUF76X5TAHATHESADREYAK-00-INB160+*94600-06=54176490/-2928/-11e8/-97c7/-b3450f688ad8,MD=20180316110353/-0400,ZZ=000Z-ab1f.</vt:lpwstr>
  </property>
</Properties>
</file>